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workbookProtection workbookAlgorithmName="SHA-512" workbookHashValue="Pw0AKvf/py6eYdIjxgf37lyvPNnEbFAcHrP0f1mk+w/EfYBWwFaQ9IZaYT7urE58ain3VxjNReDiBlYU6F2hSQ==" workbookSaltValue="FSkPqbh8kjQrgrptwH/FbA==" workbookSpinCount="100000" lockStructure="1"/>
  <bookViews>
    <workbookView xWindow="0" yWindow="0" windowWidth="21570" windowHeight="7845" activeTab="8"/>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7" l="1"/>
  <c r="N73" i="6" l="1"/>
  <c r="M73" i="6"/>
  <c r="L73" i="6"/>
  <c r="N57" i="6"/>
  <c r="M57" i="6"/>
  <c r="L57" i="6"/>
  <c r="L58" i="6"/>
  <c r="L64" i="6"/>
  <c r="L29" i="6"/>
  <c r="F57" i="6"/>
  <c r="F58" i="6"/>
  <c r="F73" i="6"/>
  <c r="F64" i="6"/>
  <c r="F29" i="6"/>
  <c r="F50" i="6"/>
  <c r="K57" i="6"/>
  <c r="J57" i="6"/>
  <c r="I57" i="6"/>
  <c r="H57" i="6"/>
  <c r="G57" i="6"/>
  <c r="E57" i="6"/>
  <c r="D57" i="6"/>
  <c r="C57" i="6"/>
  <c r="B57" i="6"/>
  <c r="C51" i="12" l="1"/>
  <c r="D51" i="12"/>
  <c r="D52" i="11"/>
  <c r="J53" i="10"/>
  <c r="I53" i="10"/>
  <c r="C53" i="10"/>
  <c r="J52" i="11"/>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J63" i="6"/>
  <c r="K62" i="6"/>
  <c r="J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1" i="7"/>
  <c r="M12" i="7"/>
  <c r="M13" i="7"/>
  <c r="M14" i="7"/>
  <c r="M15" i="7"/>
  <c r="M16" i="7"/>
  <c r="M17" i="7"/>
  <c r="M8" i="7"/>
  <c r="L21" i="7"/>
  <c r="L22" i="7"/>
  <c r="L23" i="7"/>
  <c r="L24" i="7"/>
  <c r="L25" i="7"/>
  <c r="L26" i="7"/>
  <c r="L27" i="7"/>
  <c r="L28" i="7"/>
  <c r="L29" i="7"/>
  <c r="L20" i="7"/>
  <c r="L9" i="7"/>
  <c r="L10" i="7"/>
  <c r="L11" i="7"/>
  <c r="L12" i="7"/>
  <c r="L13" i="7"/>
  <c r="L14" i="7"/>
  <c r="L15" i="7"/>
  <c r="L16" i="7"/>
  <c r="L17" i="7"/>
  <c r="K43" i="6"/>
  <c r="K28" i="6"/>
  <c r="K27" i="6"/>
  <c r="K26" i="6"/>
  <c r="K25" i="6"/>
  <c r="K24" i="6"/>
  <c r="K23" i="6"/>
  <c r="K22" i="6"/>
  <c r="K21" i="6"/>
  <c r="K20" i="6"/>
  <c r="K19" i="6"/>
  <c r="K18" i="6"/>
  <c r="K17" i="6"/>
  <c r="K16" i="6"/>
  <c r="K15" i="6"/>
  <c r="K14" i="6"/>
  <c r="K13"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5" i="6"/>
  <c r="K46" i="6"/>
  <c r="K47" i="6"/>
  <c r="K48" i="6"/>
  <c r="K49" i="6"/>
  <c r="K38" i="6"/>
  <c r="J49" i="6"/>
  <c r="J39" i="6"/>
  <c r="J40" i="6"/>
  <c r="J41" i="6"/>
  <c r="J42" i="6"/>
  <c r="J43" i="6"/>
  <c r="J44" i="6"/>
  <c r="J45" i="6"/>
  <c r="J46" i="6"/>
  <c r="J47"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E31" i="7" l="1"/>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M8" i="6"/>
  <c r="J8" i="6"/>
  <c r="L8" i="6" s="1"/>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J69" i="6"/>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L69" i="6"/>
  <c r="O68" i="6"/>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10" i="2" s="1"/>
  <c r="H31" i="2"/>
  <c r="E24" i="5"/>
  <c r="E95" i="5"/>
  <c r="H71" i="2"/>
  <c r="H153" i="2" s="1"/>
  <c r="D90" i="2"/>
  <c r="H154" i="2" s="1"/>
  <c r="D21" i="2"/>
  <c r="C36" i="4" l="1"/>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53" i="11" s="1"/>
  <c r="J13" i="11"/>
  <c r="J17" i="11"/>
  <c r="J21" i="11"/>
  <c r="J25" i="11"/>
  <c r="J29" i="11"/>
  <c r="J33" i="11"/>
  <c r="J37" i="11"/>
  <c r="J41" i="11"/>
  <c r="J45" i="11"/>
  <c r="J49" i="11"/>
  <c r="J15" i="11"/>
  <c r="J23" i="11"/>
  <c r="J27" i="11"/>
  <c r="J35" i="11"/>
  <c r="J47" i="11"/>
  <c r="L15" i="13"/>
  <c r="C16" i="16"/>
  <c r="D10" i="2"/>
  <c r="D149" i="2" s="1"/>
  <c r="H152" i="2"/>
  <c r="G49" i="4" s="1"/>
  <c r="G48" i="4" s="1"/>
  <c r="C38" i="15" s="1"/>
  <c r="F14" i="14"/>
  <c r="D14" i="14"/>
  <c r="D17" i="14"/>
  <c r="D13" i="14"/>
  <c r="D12" i="14"/>
  <c r="D16" i="14"/>
  <c r="D15" i="14"/>
  <c r="C27" i="15"/>
  <c r="C20" i="15" s="1"/>
  <c r="C20" i="18"/>
  <c r="C15" i="18" s="1"/>
  <c r="C18" i="4"/>
  <c r="C11" i="18"/>
  <c r="C10" i="18" s="1"/>
  <c r="C10" i="15"/>
  <c r="G41" i="4"/>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G27" i="14" l="1"/>
  <c r="L14" i="13"/>
  <c r="O69" i="6"/>
  <c r="L18" i="13"/>
  <c r="I11" i="14"/>
  <c r="C23" i="17"/>
  <c r="G23" i="17" s="1"/>
  <c r="C24" i="17"/>
  <c r="G24" i="17" s="1"/>
  <c r="D20" i="17"/>
  <c r="G20" i="17" s="1"/>
  <c r="C54" i="15"/>
  <c r="H12" i="14"/>
  <c r="C11" i="17"/>
  <c r="I149" i="2"/>
  <c r="C24" i="18"/>
  <c r="C25" i="18" s="1"/>
  <c r="I33" i="13"/>
  <c r="C17" i="4"/>
  <c r="C14" i="15" s="1"/>
  <c r="C9" i="15" s="1"/>
  <c r="C56" i="15" s="1"/>
  <c r="C57" i="15" s="1"/>
  <c r="G35" i="4"/>
  <c r="C31" i="15"/>
  <c r="C65" i="15" s="1"/>
  <c r="C66" i="15" s="1"/>
  <c r="D12" i="17"/>
  <c r="G12" i="17" s="1"/>
  <c r="G28" i="14"/>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O13" i="9"/>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O33" i="9"/>
  <c r="O17" i="9"/>
  <c r="L16" i="10"/>
  <c r="O44" i="9"/>
  <c r="O28" i="9"/>
  <c r="O45" i="9"/>
  <c r="G51" i="4"/>
  <c r="L19" i="10"/>
  <c r="O47" i="9"/>
  <c r="O31" i="9"/>
  <c r="O15" i="9"/>
  <c r="L18" i="10"/>
  <c r="O42" i="9"/>
  <c r="O26" i="9"/>
  <c r="L25" i="10"/>
  <c r="O49" i="9"/>
  <c r="O29" i="9"/>
  <c r="O40" i="9"/>
  <c r="O24" i="9"/>
  <c r="L20" i="10"/>
  <c r="C17" i="16"/>
  <c r="C25" i="16"/>
  <c r="C59" i="15"/>
  <c r="C60" i="15" s="1"/>
  <c r="C62" i="15"/>
  <c r="C63" i="15" s="1"/>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L54" i="10" l="1"/>
  <c r="D14" i="17" s="1"/>
  <c r="G14" i="17" s="1"/>
  <c r="L53" i="10"/>
  <c r="O54" i="9"/>
  <c r="D13" i="17" s="1"/>
  <c r="G13" i="17" s="1"/>
  <c r="O53" i="9"/>
  <c r="K25" i="13"/>
  <c r="K26" i="13" s="1"/>
  <c r="K27" i="13" s="1"/>
  <c r="C28" i="16"/>
  <c r="D30"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alcChain>
</file>

<file path=xl/sharedStrings.xml><?xml version="1.0" encoding="utf-8"?>
<sst xmlns="http://schemas.openxmlformats.org/spreadsheetml/2006/main" count="1278" uniqueCount="847">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</sst>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_₮_-;\-* #,##0_₮_-;_-* &quot;-&quot;_₮_-;_-@_-"/>
    <numFmt numFmtId="166" formatCode="_-* #,##0.00_₮_-;\-* #,##0.00_₮_-;_-* &quot;-&quot;??_₮_-;_-@_-"/>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6"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4" fontId="10" fillId="0" borderId="117" xfId="0" applyNumberFormat="1" applyFont="1" applyFill="1" applyBorder="1" applyAlignment="1">
      <alignment horizontal="center" vertical="center" wrapText="1"/>
    </xf>
    <xf numFmtId="164"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4"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5" fontId="8" fillId="0" borderId="13" xfId="0" applyNumberFormat="1" applyFont="1" applyBorder="1" applyAlignment="1" applyProtection="1">
      <alignment horizontal="center" vertical="center"/>
      <protection locked="0"/>
    </xf>
    <xf numFmtId="165" fontId="8" fillId="0" borderId="57" xfId="0" applyNumberFormat="1" applyFont="1" applyBorder="1" applyAlignment="1" applyProtection="1">
      <alignment horizontal="center" vertical="center"/>
      <protection locked="0"/>
    </xf>
    <xf numFmtId="165" fontId="8" fillId="0" borderId="55" xfId="0" applyNumberFormat="1" applyFont="1" applyBorder="1" applyAlignment="1" applyProtection="1">
      <alignment horizontal="center" vertical="center"/>
      <protection locked="0"/>
    </xf>
    <xf numFmtId="165" fontId="8" fillId="0" borderId="43" xfId="0" applyNumberFormat="1" applyFont="1" applyBorder="1" applyAlignment="1" applyProtection="1">
      <alignment horizontal="center" vertical="center"/>
      <protection locked="0"/>
    </xf>
    <xf numFmtId="165" fontId="8" fillId="0" borderId="14" xfId="0" applyNumberFormat="1" applyFont="1" applyBorder="1" applyAlignment="1" applyProtection="1">
      <alignment horizontal="center" vertical="center"/>
      <protection locked="0"/>
    </xf>
    <xf numFmtId="165" fontId="8" fillId="0" borderId="6" xfId="0" applyNumberFormat="1" applyFont="1" applyBorder="1" applyAlignment="1" applyProtection="1">
      <alignment horizontal="center" vertical="center"/>
      <protection locked="0"/>
    </xf>
    <xf numFmtId="165" fontId="8" fillId="0" borderId="7" xfId="0" applyNumberFormat="1" applyFont="1" applyBorder="1" applyAlignment="1" applyProtection="1">
      <alignment horizontal="center" vertical="center"/>
      <protection locked="0"/>
    </xf>
    <xf numFmtId="165" fontId="10" fillId="3" borderId="11" xfId="0" applyNumberFormat="1" applyFont="1" applyFill="1" applyBorder="1" applyAlignment="1" applyProtection="1">
      <alignment horizontal="center" vertical="center"/>
      <protection locked="0"/>
    </xf>
    <xf numFmtId="165"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8" fillId="0" borderId="56" xfId="0" applyFont="1" applyBorder="1" applyProtection="1">
      <protection locked="0"/>
    </xf>
    <xf numFmtId="0" fontId="27" fillId="0" borderId="54" xfId="0" applyFont="1" applyBorder="1" applyProtection="1">
      <protection locked="0"/>
    </xf>
    <xf numFmtId="165" fontId="23" fillId="3" borderId="57" xfId="0" applyNumberFormat="1" applyFont="1" applyFill="1" applyBorder="1" applyProtection="1">
      <protection locked="0"/>
    </xf>
    <xf numFmtId="166"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5"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5"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5"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5" fontId="8" fillId="6" borderId="41" xfId="0" applyNumberFormat="1" applyFont="1" applyFill="1" applyBorder="1" applyAlignment="1" applyProtection="1">
      <alignment horizontal="center" vertical="center"/>
    </xf>
    <xf numFmtId="165"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4" fontId="8" fillId="0" borderId="13" xfId="0" applyNumberFormat="1" applyFont="1" applyBorder="1" applyAlignment="1" applyProtection="1">
      <alignment vertical="center"/>
      <protection locked="0"/>
    </xf>
    <xf numFmtId="164" fontId="8" fillId="0" borderId="4" xfId="0" applyNumberFormat="1" applyFont="1" applyBorder="1" applyAlignment="1" applyProtection="1">
      <alignment vertical="center"/>
      <protection locked="0"/>
    </xf>
    <xf numFmtId="164" fontId="8" fillId="0" borderId="7" xfId="0" applyNumberFormat="1" applyFont="1" applyBorder="1" applyAlignment="1" applyProtection="1">
      <alignment vertical="center"/>
      <protection locked="0"/>
    </xf>
    <xf numFmtId="164" fontId="8" fillId="0" borderId="23" xfId="0" applyNumberFormat="1" applyFont="1" applyBorder="1" applyAlignment="1" applyProtection="1">
      <alignment vertical="center"/>
      <protection locked="0"/>
    </xf>
    <xf numFmtId="164" fontId="8" fillId="0" borderId="24" xfId="0" applyNumberFormat="1" applyFont="1" applyBorder="1" applyAlignment="1" applyProtection="1">
      <alignment vertical="center"/>
      <protection locked="0"/>
    </xf>
    <xf numFmtId="164" fontId="8" fillId="0" borderId="17" xfId="0" applyNumberFormat="1" applyFont="1" applyBorder="1" applyAlignment="1" applyProtection="1">
      <alignment vertical="center"/>
      <protection locked="0"/>
    </xf>
    <xf numFmtId="164" fontId="8" fillId="0" borderId="26" xfId="0" applyNumberFormat="1" applyFont="1" applyBorder="1" applyAlignment="1" applyProtection="1">
      <alignment vertical="center"/>
      <protection locked="0"/>
    </xf>
    <xf numFmtId="164" fontId="7" fillId="0" borderId="13" xfId="0" applyNumberFormat="1" applyFont="1" applyBorder="1" applyAlignment="1" applyProtection="1">
      <alignment vertical="center"/>
      <protection locked="0"/>
    </xf>
    <xf numFmtId="164"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4" fontId="8" fillId="0" borderId="14" xfId="0" applyNumberFormat="1" applyFont="1" applyBorder="1" applyAlignment="1" applyProtection="1">
      <alignment vertical="center"/>
      <protection locked="0"/>
    </xf>
    <xf numFmtId="164" fontId="8" fillId="0" borderId="3" xfId="0" applyNumberFormat="1" applyFont="1" applyBorder="1" applyAlignment="1" applyProtection="1">
      <alignment vertical="center"/>
      <protection locked="0"/>
    </xf>
    <xf numFmtId="164"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4" fontId="10" fillId="2" borderId="10" xfId="0" applyNumberFormat="1" applyFont="1" applyFill="1" applyBorder="1" applyAlignment="1" applyProtection="1">
      <alignment horizontal="center" vertical="center"/>
    </xf>
    <xf numFmtId="164"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4"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4"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4" fontId="8" fillId="2" borderId="11" xfId="0" applyNumberFormat="1" applyFont="1" applyFill="1" applyBorder="1" applyAlignment="1" applyProtection="1">
      <alignment vertical="center"/>
    </xf>
    <xf numFmtId="164"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4"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4"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4"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4"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4"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4" fontId="10" fillId="2" borderId="8" xfId="0" applyNumberFormat="1" applyFont="1" applyFill="1" applyBorder="1" applyAlignment="1" applyProtection="1">
      <alignment horizontal="left" vertical="center"/>
    </xf>
    <xf numFmtId="164"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4"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4" fontId="13" fillId="0" borderId="0" xfId="0" applyNumberFormat="1" applyFont="1" applyAlignment="1" applyProtection="1">
      <alignment vertical="center"/>
    </xf>
    <xf numFmtId="0" fontId="10" fillId="0" borderId="0" xfId="0" applyFont="1" applyAlignment="1" applyProtection="1">
      <alignment vertical="center"/>
    </xf>
    <xf numFmtId="164" fontId="10" fillId="0" borderId="14" xfId="0" applyNumberFormat="1" applyFont="1" applyBorder="1" applyAlignment="1" applyProtection="1">
      <alignment vertical="center"/>
    </xf>
    <xf numFmtId="0" fontId="8" fillId="0" borderId="0" xfId="0" applyFont="1" applyAlignment="1" applyProtection="1">
      <alignment vertical="center" wrapText="1"/>
    </xf>
    <xf numFmtId="164" fontId="8" fillId="0" borderId="14" xfId="0" applyNumberFormat="1" applyFont="1" applyBorder="1" applyAlignment="1" applyProtection="1">
      <alignment vertical="center"/>
    </xf>
    <xf numFmtId="164"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4"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4" fontId="8" fillId="0" borderId="13" xfId="0" applyNumberFormat="1" applyFont="1" applyBorder="1" applyAlignment="1" applyProtection="1">
      <alignment horizontal="right" vertical="center"/>
      <protection locked="0"/>
    </xf>
    <xf numFmtId="164" fontId="8" fillId="3" borderId="14" xfId="0" applyNumberFormat="1" applyFont="1" applyFill="1" applyBorder="1" applyAlignment="1" applyProtection="1">
      <alignment vertical="center"/>
      <protection locked="0"/>
    </xf>
    <xf numFmtId="164" fontId="8" fillId="3" borderId="4" xfId="0" applyNumberFormat="1" applyFont="1" applyFill="1" applyBorder="1" applyAlignment="1" applyProtection="1">
      <alignment vertical="center"/>
      <protection locked="0"/>
    </xf>
    <xf numFmtId="164" fontId="8" fillId="3" borderId="13" xfId="0" applyNumberFormat="1" applyFont="1" applyFill="1" applyBorder="1" applyAlignment="1" applyProtection="1">
      <alignment vertical="center"/>
      <protection locked="0"/>
    </xf>
    <xf numFmtId="164" fontId="8" fillId="0" borderId="4" xfId="0" applyNumberFormat="1" applyFont="1" applyBorder="1" applyAlignment="1" applyProtection="1">
      <alignment horizontal="right" vertical="center"/>
      <protection locked="0"/>
    </xf>
    <xf numFmtId="164" fontId="8" fillId="0" borderId="6" xfId="0" applyNumberFormat="1" applyFont="1" applyBorder="1" applyAlignment="1" applyProtection="1">
      <alignment horizontal="right" vertical="center"/>
      <protection locked="0"/>
    </xf>
    <xf numFmtId="164" fontId="8" fillId="3" borderId="7" xfId="0" applyNumberFormat="1" applyFont="1" applyFill="1" applyBorder="1" applyAlignment="1" applyProtection="1">
      <alignment vertical="center"/>
      <protection locked="0"/>
    </xf>
    <xf numFmtId="164"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4" fontId="8" fillId="3" borderId="11" xfId="0" applyNumberFormat="1" applyFont="1" applyFill="1" applyBorder="1" applyAlignment="1" applyProtection="1">
      <alignment vertical="center"/>
      <protection locked="0"/>
    </xf>
    <xf numFmtId="164" fontId="8" fillId="0" borderId="3" xfId="0" applyNumberFormat="1" applyFont="1" applyBorder="1" applyAlignment="1" applyProtection="1">
      <alignment horizontal="right" vertical="center"/>
      <protection locked="0"/>
    </xf>
    <xf numFmtId="164"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4"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4"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4"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4"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4"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4"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4"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4"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4" fontId="10" fillId="2" borderId="7" xfId="0" applyNumberFormat="1" applyFont="1" applyFill="1" applyBorder="1" applyAlignment="1" applyProtection="1">
      <alignment horizontal="right" vertical="center"/>
    </xf>
    <xf numFmtId="164"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4" fontId="31" fillId="7" borderId="13" xfId="0" applyNumberFormat="1" applyFont="1" applyFill="1" applyBorder="1" applyAlignment="1" applyProtection="1">
      <alignment vertical="center"/>
    </xf>
    <xf numFmtId="164"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4"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4" fontId="35" fillId="0" borderId="0" xfId="0" applyNumberFormat="1" applyFont="1" applyAlignment="1" applyProtection="1">
      <alignment vertical="center"/>
    </xf>
    <xf numFmtId="164"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4" fontId="8" fillId="0" borderId="62" xfId="0" applyNumberFormat="1" applyFont="1" applyBorder="1" applyAlignment="1" applyProtection="1">
      <alignment vertical="center"/>
      <protection locked="0"/>
    </xf>
    <xf numFmtId="164" fontId="8" fillId="0" borderId="43" xfId="0" applyNumberFormat="1" applyFont="1" applyBorder="1" applyAlignment="1" applyProtection="1">
      <alignment vertical="center"/>
      <protection locked="0"/>
    </xf>
    <xf numFmtId="164" fontId="8" fillId="0" borderId="63" xfId="0" applyNumberFormat="1" applyFont="1" applyBorder="1" applyAlignment="1" applyProtection="1">
      <alignment vertical="center"/>
      <protection locked="0"/>
    </xf>
    <xf numFmtId="164" fontId="8" fillId="3" borderId="63" xfId="0" applyNumberFormat="1" applyFont="1" applyFill="1" applyBorder="1" applyAlignment="1" applyProtection="1">
      <alignment vertical="center"/>
      <protection locked="0"/>
    </xf>
    <xf numFmtId="164" fontId="8" fillId="3" borderId="64" xfId="0" applyNumberFormat="1" applyFont="1" applyFill="1" applyBorder="1" applyAlignment="1" applyProtection="1">
      <alignment vertical="center"/>
      <protection locked="0"/>
    </xf>
    <xf numFmtId="164" fontId="8" fillId="3" borderId="72" xfId="0" applyNumberFormat="1" applyFont="1" applyFill="1" applyBorder="1" applyAlignment="1" applyProtection="1">
      <alignment vertical="center"/>
      <protection locked="0"/>
    </xf>
    <xf numFmtId="164"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4"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4" fontId="8" fillId="3" borderId="65" xfId="0" applyNumberFormat="1" applyFont="1" applyFill="1" applyBorder="1" applyAlignment="1" applyProtection="1">
      <alignment vertical="center"/>
      <protection locked="0"/>
    </xf>
    <xf numFmtId="164" fontId="8" fillId="3" borderId="42" xfId="0" applyNumberFormat="1" applyFont="1" applyFill="1" applyBorder="1" applyAlignment="1" applyProtection="1">
      <alignment vertical="center"/>
      <protection locked="0"/>
    </xf>
    <xf numFmtId="164"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4" fontId="8" fillId="0" borderId="14" xfId="0" applyNumberFormat="1" applyFont="1" applyFill="1" applyBorder="1" applyAlignment="1" applyProtection="1">
      <alignment horizontal="right" vertical="center"/>
      <protection locked="0"/>
    </xf>
    <xf numFmtId="164" fontId="8" fillId="0" borderId="69" xfId="0" applyNumberFormat="1" applyFont="1" applyFill="1" applyBorder="1" applyAlignment="1" applyProtection="1">
      <alignment horizontal="right" vertical="center"/>
      <protection locked="0"/>
    </xf>
    <xf numFmtId="164" fontId="8" fillId="0" borderId="68" xfId="0" applyNumberFormat="1" applyFont="1" applyFill="1" applyBorder="1" applyAlignment="1" applyProtection="1">
      <alignment horizontal="right" vertical="center"/>
      <protection locked="0"/>
    </xf>
    <xf numFmtId="164" fontId="8" fillId="0" borderId="21" xfId="0" applyNumberFormat="1" applyFont="1" applyFill="1" applyBorder="1" applyAlignment="1" applyProtection="1">
      <alignment horizontal="right" vertical="center"/>
      <protection locked="0"/>
    </xf>
    <xf numFmtId="164" fontId="8" fillId="0" borderId="71" xfId="0" applyNumberFormat="1" applyFont="1" applyFill="1" applyBorder="1" applyAlignment="1" applyProtection="1">
      <alignment horizontal="right" vertical="center"/>
      <protection locked="0"/>
    </xf>
    <xf numFmtId="164" fontId="8" fillId="0" borderId="67" xfId="0" applyNumberFormat="1" applyFont="1" applyFill="1" applyBorder="1" applyAlignment="1" applyProtection="1">
      <alignment horizontal="right" vertical="center"/>
      <protection locked="0"/>
    </xf>
    <xf numFmtId="164" fontId="8" fillId="0" borderId="0" xfId="0" applyNumberFormat="1" applyFont="1" applyBorder="1" applyAlignment="1" applyProtection="1">
      <alignment vertical="center"/>
      <protection locked="0"/>
    </xf>
    <xf numFmtId="164"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4"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4"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4" fontId="10" fillId="2" borderId="66" xfId="0" applyNumberFormat="1" applyFont="1" applyFill="1" applyBorder="1" applyAlignment="1" applyProtection="1">
      <alignment vertical="center"/>
    </xf>
    <xf numFmtId="164"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4" fontId="10" fillId="2" borderId="55" xfId="0" applyNumberFormat="1" applyFont="1" applyFill="1" applyBorder="1" applyAlignment="1" applyProtection="1">
      <alignment vertical="center"/>
    </xf>
    <xf numFmtId="164"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4" fontId="10" fillId="2" borderId="5" xfId="0" applyNumberFormat="1" applyFont="1" applyFill="1" applyBorder="1" applyAlignment="1" applyProtection="1">
      <alignment vertical="center"/>
    </xf>
    <xf numFmtId="164"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4"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4"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4"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4"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4" fontId="10" fillId="6" borderId="110" xfId="0" applyNumberFormat="1" applyFont="1" applyFill="1" applyBorder="1" applyAlignment="1" applyProtection="1">
      <alignment horizontal="center" vertical="center" wrapText="1"/>
    </xf>
    <xf numFmtId="165" fontId="10" fillId="6" borderId="94" xfId="0" applyNumberFormat="1" applyFont="1" applyFill="1" applyBorder="1" applyAlignment="1" applyProtection="1">
      <alignment horizontal="center" vertical="center"/>
    </xf>
    <xf numFmtId="166"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6"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4" fontId="10" fillId="6" borderId="98" xfId="0" applyNumberFormat="1" applyFont="1" applyFill="1" applyBorder="1" applyAlignment="1" applyProtection="1">
      <alignment horizontal="center" vertical="center"/>
    </xf>
    <xf numFmtId="164"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4"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4"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4" fontId="16" fillId="0" borderId="120" xfId="0" applyNumberFormat="1" applyFont="1" applyFill="1" applyBorder="1" applyAlignment="1" applyProtection="1">
      <alignment horizontal="center" vertical="center"/>
      <protection locked="0"/>
    </xf>
    <xf numFmtId="164"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64" fontId="16" fillId="0" borderId="140" xfId="0" applyNumberFormat="1" applyFont="1" applyFill="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4"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4"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4"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4"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4"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4"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4"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4"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4"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4"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4"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4"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4"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4" fontId="16" fillId="0" borderId="124" xfId="0" applyNumberFormat="1" applyFont="1" applyBorder="1" applyAlignment="1" applyProtection="1">
      <alignment horizontal="center" vertical="center"/>
      <protection locked="0"/>
    </xf>
    <xf numFmtId="164" fontId="16" fillId="0" borderId="117" xfId="0" applyNumberFormat="1" applyFont="1" applyBorder="1" applyAlignment="1" applyProtection="1">
      <alignment horizontal="center" vertical="center"/>
      <protection locked="0"/>
    </xf>
    <xf numFmtId="164" fontId="43" fillId="0" borderId="31" xfId="0" applyNumberFormat="1" applyFont="1" applyFill="1" applyBorder="1" applyAlignment="1" applyProtection="1">
      <alignment horizontal="center" vertical="center"/>
      <protection locked="0"/>
    </xf>
    <xf numFmtId="164"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4" fontId="16" fillId="0" borderId="174" xfId="0" applyNumberFormat="1" applyFont="1" applyBorder="1" applyAlignment="1" applyProtection="1">
      <alignment horizontal="center" vertical="center"/>
      <protection locked="0"/>
    </xf>
    <xf numFmtId="164"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4"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4"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6" fontId="1" fillId="0" borderId="120" xfId="0" applyNumberFormat="1" applyFont="1" applyBorder="1" applyAlignment="1" applyProtection="1">
      <alignment horizontal="right" vertical="center" wrapText="1"/>
      <protection locked="0"/>
    </xf>
    <xf numFmtId="166"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6"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6"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6"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4"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4"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4"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4"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5" fontId="8" fillId="0" borderId="190" xfId="0" applyNumberFormat="1" applyFont="1" applyBorder="1" applyAlignment="1" applyProtection="1">
      <alignment horizontal="center" vertical="center"/>
      <protection locked="0"/>
    </xf>
    <xf numFmtId="165"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5"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5"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4" fontId="1" fillId="0" borderId="95" xfId="0" applyNumberFormat="1" applyFont="1" applyBorder="1" applyProtection="1">
      <protection locked="0"/>
    </xf>
    <xf numFmtId="174" fontId="1" fillId="0" borderId="94" xfId="0" applyNumberFormat="1" applyFont="1" applyBorder="1" applyProtection="1">
      <protection locked="0"/>
    </xf>
    <xf numFmtId="164" fontId="1" fillId="0" borderId="179" xfId="0" applyNumberFormat="1" applyFont="1" applyBorder="1" applyProtection="1">
      <protection locked="0"/>
    </xf>
    <xf numFmtId="174" fontId="1" fillId="0" borderId="96" xfId="0" applyNumberFormat="1" applyFont="1" applyBorder="1" applyProtection="1">
      <protection locked="0"/>
    </xf>
    <xf numFmtId="164" fontId="1" fillId="0" borderId="86" xfId="0" applyNumberFormat="1" applyFont="1" applyBorder="1" applyProtection="1">
      <protection locked="0"/>
    </xf>
    <xf numFmtId="174" fontId="1" fillId="0" borderId="35" xfId="0" applyNumberFormat="1" applyFont="1" applyBorder="1" applyProtection="1">
      <protection locked="0"/>
    </xf>
    <xf numFmtId="164" fontId="1" fillId="0" borderId="180" xfId="0" applyNumberFormat="1" applyFont="1" applyBorder="1" applyProtection="1">
      <protection locked="0"/>
    </xf>
    <xf numFmtId="174" fontId="1" fillId="0" borderId="87" xfId="0" applyNumberFormat="1" applyFont="1" applyBorder="1" applyProtection="1">
      <protection locked="0"/>
    </xf>
    <xf numFmtId="164" fontId="1" fillId="0" borderId="92" xfId="0" applyNumberFormat="1" applyFont="1" applyBorder="1" applyProtection="1">
      <protection locked="0"/>
    </xf>
    <xf numFmtId="174" fontId="1" fillId="0" borderId="33" xfId="0" applyNumberFormat="1" applyFont="1" applyBorder="1" applyProtection="1">
      <protection locked="0"/>
    </xf>
    <xf numFmtId="164"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5"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5"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4" fontId="1" fillId="3" borderId="28" xfId="0" applyNumberFormat="1" applyFont="1" applyFill="1" applyBorder="1" applyAlignment="1" applyProtection="1">
      <alignment horizontal="center" vertical="center"/>
      <protection locked="0"/>
    </xf>
    <xf numFmtId="166" fontId="1" fillId="3" borderId="28"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4" fontId="1" fillId="3" borderId="75" xfId="0" applyNumberFormat="1" applyFont="1" applyFill="1" applyBorder="1" applyAlignment="1" applyProtection="1">
      <alignment horizontal="center" vertical="center"/>
      <protection locked="0"/>
    </xf>
    <xf numFmtId="41" fontId="1" fillId="3" borderId="35" xfId="0" applyNumberFormat="1" applyFont="1" applyFill="1" applyBorder="1" applyAlignment="1" applyProtection="1">
      <alignment horizontal="center" vertical="center"/>
      <protection locked="0"/>
    </xf>
    <xf numFmtId="164" fontId="1" fillId="10" borderId="75" xfId="0" applyNumberFormat="1" applyFont="1" applyFill="1" applyBorder="1" applyAlignment="1" applyProtection="1">
      <alignment horizontal="center" vertical="center"/>
      <protection locked="0"/>
    </xf>
    <xf numFmtId="164" fontId="1" fillId="10" borderId="28" xfId="0" applyNumberFormat="1" applyFont="1" applyFill="1" applyBorder="1" applyAlignment="1" applyProtection="1">
      <alignment horizontal="center" vertical="center"/>
      <protection locked="0"/>
    </xf>
    <xf numFmtId="164" fontId="1" fillId="19" borderId="75" xfId="0" applyNumberFormat="1" applyFont="1" applyFill="1" applyBorder="1" applyAlignment="1" applyProtection="1">
      <alignment horizontal="center" vertical="center"/>
      <protection locked="0"/>
    </xf>
    <xf numFmtId="41" fontId="1" fillId="19" borderId="35" xfId="0" applyNumberFormat="1" applyFont="1" applyFill="1" applyBorder="1" applyAlignment="1" applyProtection="1">
      <alignment horizontal="center" vertical="center"/>
      <protection locked="0"/>
    </xf>
    <xf numFmtId="164" fontId="10" fillId="6" borderId="28" xfId="0" applyNumberFormat="1" applyFont="1" applyFill="1" applyBorder="1" applyAlignment="1" applyProtection="1">
      <alignment horizontal="center" vertical="center"/>
    </xf>
    <xf numFmtId="164"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4"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4" fontId="1" fillId="3" borderId="29" xfId="0" applyNumberFormat="1" applyFont="1" applyFill="1" applyBorder="1" applyAlignment="1" applyProtection="1">
      <alignment horizontal="center" vertical="center"/>
      <protection locked="0"/>
    </xf>
    <xf numFmtId="164" fontId="1" fillId="10" borderId="29" xfId="0" applyNumberFormat="1" applyFont="1" applyFill="1" applyBorder="1" applyAlignment="1" applyProtection="1">
      <alignment horizontal="center" vertical="center"/>
      <protection locked="0"/>
    </xf>
    <xf numFmtId="164" fontId="1" fillId="10" borderId="79" xfId="0" applyNumberFormat="1" applyFont="1" applyFill="1" applyBorder="1" applyAlignment="1" applyProtection="1">
      <alignment horizontal="center" vertical="center"/>
      <protection locked="0"/>
    </xf>
    <xf numFmtId="164" fontId="1" fillId="0" borderId="131" xfId="0" applyNumberFormat="1" applyFont="1" applyFill="1" applyBorder="1" applyAlignment="1" applyProtection="1">
      <alignment horizontal="center" vertical="center" wrapText="1"/>
      <protection locked="0"/>
    </xf>
    <xf numFmtId="164" fontId="1" fillId="0" borderId="131" xfId="0" applyNumberFormat="1" applyFont="1" applyFill="1" applyBorder="1" applyAlignment="1" applyProtection="1">
      <alignment horizontal="center" vertical="center"/>
      <protection locked="0"/>
    </xf>
    <xf numFmtId="164"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4" fontId="1" fillId="11" borderId="131" xfId="0" applyNumberFormat="1" applyFont="1" applyFill="1" applyBorder="1" applyAlignment="1" applyProtection="1">
      <alignment horizontal="center" vertical="center"/>
    </xf>
    <xf numFmtId="164" fontId="1" fillId="11" borderId="124" xfId="0" applyNumberFormat="1" applyFont="1" applyFill="1" applyBorder="1" applyAlignment="1" applyProtection="1">
      <alignment horizontal="center" vertical="center"/>
    </xf>
    <xf numFmtId="164" fontId="1" fillId="11" borderId="117" xfId="0" applyNumberFormat="1" applyFont="1" applyFill="1" applyBorder="1" applyAlignment="1" applyProtection="1">
      <alignment horizontal="center" vertical="center"/>
    </xf>
    <xf numFmtId="164" fontId="1" fillId="0" borderId="95" xfId="0" applyNumberFormat="1" applyFont="1" applyFill="1" applyBorder="1" applyAlignment="1" applyProtection="1">
      <alignment horizontal="center" vertical="center"/>
      <protection locked="0"/>
    </xf>
    <xf numFmtId="164" fontId="1" fillId="0" borderId="80" xfId="0" applyNumberFormat="1" applyFont="1" applyFill="1" applyBorder="1" applyAlignment="1" applyProtection="1">
      <alignment horizontal="center" vertical="center"/>
      <protection locked="0"/>
    </xf>
    <xf numFmtId="164" fontId="1" fillId="0" borderId="86" xfId="0" applyNumberFormat="1" applyFont="1" applyFill="1" applyBorder="1" applyAlignment="1" applyProtection="1">
      <alignment horizontal="center" vertical="center"/>
      <protection locked="0"/>
    </xf>
    <xf numFmtId="164" fontId="1" fillId="0" borderId="31" xfId="0" applyNumberFormat="1" applyFont="1" applyFill="1" applyBorder="1" applyAlignment="1" applyProtection="1">
      <alignment horizontal="center" vertical="center"/>
      <protection locked="0"/>
    </xf>
    <xf numFmtId="164" fontId="1" fillId="0" borderId="181" xfId="0" applyNumberFormat="1" applyFont="1" applyFill="1" applyBorder="1" applyAlignment="1" applyProtection="1">
      <alignment horizontal="center" vertical="center"/>
      <protection locked="0"/>
    </xf>
    <xf numFmtId="164"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4" fontId="1" fillId="0" borderId="128" xfId="0" applyNumberFormat="1" applyFont="1" applyFill="1" applyBorder="1" applyAlignment="1" applyProtection="1">
      <alignment horizontal="center" vertical="center"/>
    </xf>
    <xf numFmtId="164" fontId="1" fillId="0" borderId="130" xfId="0" applyNumberFormat="1" applyFont="1" applyFill="1" applyBorder="1" applyAlignment="1" applyProtection="1">
      <alignment horizontal="center" vertical="center"/>
    </xf>
    <xf numFmtId="164" fontId="1" fillId="0" borderId="143" xfId="0" applyNumberFormat="1" applyFont="1" applyFill="1" applyBorder="1" applyAlignment="1" applyProtection="1">
      <alignment horizontal="center" vertical="center"/>
    </xf>
    <xf numFmtId="164"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4" fontId="1" fillId="0" borderId="184" xfId="0" applyNumberFormat="1" applyFont="1" applyFill="1" applyBorder="1" applyAlignment="1" applyProtection="1">
      <alignment horizontal="center" vertical="center"/>
    </xf>
    <xf numFmtId="164"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4"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4"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4" fontId="1" fillId="0" borderId="120" xfId="0" applyNumberFormat="1" applyFont="1" applyBorder="1" applyAlignment="1" applyProtection="1">
      <alignment horizontal="center" vertical="center" wrapText="1"/>
      <protection locked="0"/>
    </xf>
    <xf numFmtId="164"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4" fontId="1" fillId="0" borderId="117" xfId="0" applyNumberFormat="1" applyFont="1" applyBorder="1" applyAlignment="1" applyProtection="1">
      <alignment horizontal="center" vertical="center" wrapText="1"/>
      <protection locked="0"/>
    </xf>
    <xf numFmtId="164"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4"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4"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4"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4"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6"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5" fontId="1" fillId="0" borderId="120"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4" fontId="16" fillId="0" borderId="141" xfId="0" applyNumberFormat="1" applyFont="1" applyFill="1" applyBorder="1" applyAlignment="1" applyProtection="1">
      <alignment horizontal="center" vertical="center"/>
    </xf>
    <xf numFmtId="164" fontId="43" fillId="0" borderId="130" xfId="0" applyNumberFormat="1" applyFont="1" applyFill="1" applyBorder="1" applyAlignment="1" applyProtection="1">
      <alignment horizontal="center" vertical="center"/>
    </xf>
    <xf numFmtId="164" fontId="16" fillId="0" borderId="126" xfId="0" applyNumberFormat="1" applyFont="1" applyFill="1" applyBorder="1" applyAlignment="1" applyProtection="1">
      <alignment horizontal="center" vertical="center"/>
    </xf>
    <xf numFmtId="164"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4" fontId="43" fillId="0" borderId="132" xfId="0" applyNumberFormat="1" applyFont="1" applyFill="1" applyBorder="1" applyAlignment="1" applyProtection="1">
      <alignment horizontal="center" vertical="center"/>
    </xf>
    <xf numFmtId="164" fontId="43" fillId="0" borderId="134" xfId="0" applyNumberFormat="1" applyFont="1" applyFill="1" applyBorder="1" applyAlignment="1" applyProtection="1">
      <alignment horizontal="center" vertical="center"/>
    </xf>
    <xf numFmtId="164" fontId="43" fillId="4" borderId="38" xfId="0" applyNumberFormat="1" applyFont="1" applyFill="1" applyBorder="1" applyAlignment="1" applyProtection="1">
      <alignment horizontal="center" vertical="center"/>
    </xf>
    <xf numFmtId="164" fontId="43" fillId="4" borderId="125" xfId="0" applyNumberFormat="1" applyFont="1" applyFill="1" applyBorder="1" applyAlignment="1" applyProtection="1">
      <alignment horizontal="center" vertical="center"/>
    </xf>
    <xf numFmtId="164" fontId="43" fillId="4" borderId="123" xfId="0" applyNumberFormat="1" applyFont="1" applyFill="1" applyBorder="1" applyAlignment="1" applyProtection="1">
      <alignment horizontal="center" vertical="center"/>
    </xf>
    <xf numFmtId="164"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4" fontId="43" fillId="4" borderId="122" xfId="0" applyNumberFormat="1" applyFont="1" applyFill="1" applyBorder="1" applyAlignment="1" applyProtection="1">
      <alignment horizontal="center" vertical="center"/>
    </xf>
    <xf numFmtId="164" fontId="16" fillId="0" borderId="120" xfId="0" applyNumberFormat="1" applyFont="1" applyFill="1" applyBorder="1" applyAlignment="1" applyProtection="1">
      <alignment horizontal="center" vertical="center"/>
    </xf>
    <xf numFmtId="164" fontId="16" fillId="0" borderId="124" xfId="0" applyNumberFormat="1" applyFont="1" applyFill="1" applyBorder="1" applyAlignment="1" applyProtection="1">
      <alignment horizontal="center" vertical="center"/>
    </xf>
    <xf numFmtId="164" fontId="16" fillId="0" borderId="117" xfId="0" applyNumberFormat="1" applyFont="1" applyFill="1" applyBorder="1" applyAlignment="1" applyProtection="1">
      <alignment horizontal="center" vertical="center"/>
    </xf>
    <xf numFmtId="164" fontId="16" fillId="0" borderId="132" xfId="0" applyNumberFormat="1" applyFont="1" applyFill="1" applyBorder="1" applyAlignment="1" applyProtection="1">
      <alignment horizontal="center" vertical="center"/>
    </xf>
    <xf numFmtId="164" fontId="18" fillId="4" borderId="122" xfId="0" applyNumberFormat="1" applyFont="1" applyFill="1" applyBorder="1" applyAlignment="1" applyProtection="1">
      <alignment horizontal="center" vertical="center" wrapText="1"/>
    </xf>
    <xf numFmtId="164" fontId="1" fillId="12" borderId="120"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xf>
    <xf numFmtId="164" fontId="1" fillId="12" borderId="118" xfId="0" applyNumberFormat="1" applyFont="1" applyFill="1" applyBorder="1" applyAlignment="1" applyProtection="1">
      <alignment horizontal="center" vertical="center" wrapText="1"/>
    </xf>
    <xf numFmtId="164" fontId="1" fillId="4" borderId="122" xfId="0" applyNumberFormat="1" applyFont="1" applyFill="1" applyBorder="1" applyAlignment="1" applyProtection="1">
      <alignment horizontal="center" vertical="center" wrapText="1"/>
    </xf>
    <xf numFmtId="164" fontId="10" fillId="4" borderId="122" xfId="0" applyNumberFormat="1" applyFont="1" applyFill="1" applyBorder="1" applyAlignment="1" applyProtection="1">
      <alignment horizontal="center" vertical="center" wrapText="1"/>
    </xf>
    <xf numFmtId="164" fontId="18" fillId="4" borderId="122" xfId="4" applyNumberFormat="1" applyFont="1" applyFill="1" applyBorder="1" applyAlignment="1" applyProtection="1">
      <alignment horizontal="center" vertical="center"/>
      <protection locked="0"/>
    </xf>
    <xf numFmtId="164" fontId="1" fillId="12" borderId="120" xfId="0" applyNumberFormat="1" applyFont="1" applyFill="1" applyBorder="1" applyAlignment="1" applyProtection="1">
      <alignment horizontal="center" vertical="center" wrapText="1"/>
      <protection locked="0"/>
    </xf>
    <xf numFmtId="164" fontId="1" fillId="12" borderId="117" xfId="0" applyNumberFormat="1" applyFont="1" applyFill="1" applyBorder="1" applyAlignment="1" applyProtection="1">
      <alignment horizontal="center" vertical="center" wrapText="1"/>
      <protection locked="0"/>
    </xf>
    <xf numFmtId="164" fontId="10" fillId="12" borderId="117" xfId="0" applyNumberFormat="1" applyFont="1" applyFill="1" applyBorder="1" applyAlignment="1" applyProtection="1">
      <alignment horizontal="center" vertical="center" wrapText="1"/>
    </xf>
    <xf numFmtId="164" fontId="1" fillId="12" borderId="118" xfId="0" applyNumberFormat="1" applyFont="1" applyFill="1" applyBorder="1" applyAlignment="1" applyProtection="1">
      <alignment horizontal="center" vertical="center" wrapText="1"/>
      <protection locked="0"/>
    </xf>
    <xf numFmtId="164" fontId="10" fillId="4" borderId="117" xfId="0" applyNumberFormat="1" applyFont="1" applyFill="1" applyBorder="1" applyAlignment="1">
      <alignment horizontal="center" vertical="center"/>
    </xf>
    <xf numFmtId="164" fontId="1" fillId="0" borderId="124" xfId="0" applyNumberFormat="1" applyFont="1" applyFill="1" applyBorder="1" applyAlignment="1">
      <alignment horizontal="center" vertical="center"/>
    </xf>
    <xf numFmtId="164" fontId="1" fillId="0" borderId="117" xfId="0" applyNumberFormat="1" applyFont="1" applyFill="1" applyBorder="1" applyAlignment="1">
      <alignment horizontal="center" vertical="center"/>
    </xf>
    <xf numFmtId="164"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4" fontId="8" fillId="0" borderId="44" xfId="0" applyNumberFormat="1" applyFont="1" applyBorder="1" applyAlignment="1" applyProtection="1">
      <alignment vertical="center"/>
      <protection locked="0"/>
    </xf>
    <xf numFmtId="164" fontId="8" fillId="0" borderId="195" xfId="0" applyNumberFormat="1" applyFont="1" applyBorder="1" applyAlignment="1" applyProtection="1">
      <alignment vertical="center"/>
      <protection locked="0"/>
    </xf>
    <xf numFmtId="0" fontId="2" fillId="0" borderId="0" xfId="0" applyFont="1" applyProtection="1">
      <protection locked="0"/>
    </xf>
    <xf numFmtId="165" fontId="39" fillId="2" borderId="41" xfId="0" applyNumberFormat="1" applyFont="1" applyFill="1" applyBorder="1" applyAlignment="1" applyProtection="1">
      <alignment horizontal="center" vertical="center"/>
    </xf>
    <xf numFmtId="165" fontId="39" fillId="6" borderId="41" xfId="0" applyNumberFormat="1" applyFont="1" applyFill="1" applyBorder="1" applyAlignment="1" applyProtection="1">
      <alignment horizontal="center" vertical="center"/>
    </xf>
    <xf numFmtId="164"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4" fontId="43" fillId="4" borderId="121" xfId="0" applyNumberFormat="1" applyFont="1" applyFill="1" applyBorder="1" applyAlignment="1" applyProtection="1">
      <alignment horizontal="center" vertical="center"/>
    </xf>
    <xf numFmtId="164"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4"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4"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4"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4" fontId="39" fillId="0" borderId="0" xfId="0" applyNumberFormat="1" applyFont="1" applyAlignment="1" applyProtection="1">
      <alignment horizontal="center" vertical="center"/>
    </xf>
    <xf numFmtId="164" fontId="1" fillId="0" borderId="0" xfId="0" applyNumberFormat="1" applyFont="1" applyAlignment="1" applyProtection="1">
      <alignment horizontal="center" vertical="center"/>
    </xf>
    <xf numFmtId="164" fontId="8" fillId="0" borderId="0" xfId="0" applyNumberFormat="1" applyFont="1" applyAlignment="1" applyProtection="1">
      <alignment horizontal="center" vertical="center"/>
    </xf>
    <xf numFmtId="164"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4"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4" fontId="16" fillId="4" borderId="90" xfId="0" applyNumberFormat="1" applyFont="1" applyFill="1" applyBorder="1" applyAlignment="1" applyProtection="1">
      <alignment horizontal="center" vertical="center"/>
    </xf>
    <xf numFmtId="164" fontId="16" fillId="4" borderId="154" xfId="0" applyNumberFormat="1" applyFont="1" applyFill="1" applyBorder="1" applyAlignment="1" applyProtection="1">
      <alignment horizontal="center" vertical="center"/>
    </xf>
    <xf numFmtId="164" fontId="16" fillId="4" borderId="0" xfId="0" applyNumberFormat="1" applyFont="1" applyFill="1" applyBorder="1" applyAlignment="1" applyProtection="1">
      <alignment horizontal="center" vertical="center"/>
    </xf>
    <xf numFmtId="164"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4" fontId="10" fillId="12" borderId="120" xfId="0" applyNumberFormat="1" applyFont="1" applyFill="1" applyBorder="1" applyAlignment="1" applyProtection="1">
      <alignment horizontal="center" vertical="center" wrapText="1"/>
    </xf>
    <xf numFmtId="164" fontId="10" fillId="12" borderId="117" xfId="0" applyNumberFormat="1" applyFont="1" applyFill="1" applyBorder="1" applyAlignment="1" applyProtection="1">
      <alignment horizontal="center" vertical="center" wrapText="1"/>
    </xf>
    <xf numFmtId="164" fontId="10" fillId="12" borderId="118" xfId="0" applyNumberFormat="1" applyFont="1" applyFill="1" applyBorder="1" applyAlignment="1" applyProtection="1">
      <alignment horizontal="center" vertical="center" wrapText="1"/>
    </xf>
    <xf numFmtId="164" fontId="10" fillId="12" borderId="136" xfId="0" applyNumberFormat="1" applyFont="1" applyFill="1" applyBorder="1" applyAlignment="1" applyProtection="1">
      <alignment horizontal="center" vertical="center" wrapText="1"/>
    </xf>
    <xf numFmtId="164" fontId="10" fillId="12" borderId="132" xfId="0" applyNumberFormat="1" applyFont="1" applyFill="1" applyBorder="1" applyAlignment="1" applyProtection="1">
      <alignment horizontal="center" vertical="center" wrapText="1"/>
    </xf>
    <xf numFmtId="164"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8"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83" customFormat="1">
      <c r="A28" s="983">
        <v>11</v>
      </c>
    </row>
    <row r="29" spans="1:8">
      <c r="B29" s="57"/>
    </row>
    <row r="30" spans="1:8">
      <c r="B30" s="55"/>
    </row>
    <row r="32" spans="1:8">
      <c r="B32" s="56"/>
    </row>
  </sheetData>
  <sheetProtection algorithmName="SHA-512" hashValue="FE1RD4uYYSyjgs/HdeEv/ffAfnMtr8r2v6SEKSMN4qbToU1WBvL/Xa76MFcHJ043A80pxdIIW5JpHxwtOYKGbg==" saltValue="KkAbdWeJ18vjSUi+rdHogQ==" spinCount="100000" sheet="1" objects="1" scenarios="1" formatCells="0" formatColumns="0" formatRows="0" insertColumns="0" insertRows="0" insertHyperlinks="0" deleteColumns="0" deleteRows="0" sort="0" autoFilter="0" pivotTables="0"/>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37" workbookViewId="0">
      <selection activeCell="L53" sqref="L53"/>
    </sheetView>
  </sheetViews>
  <sheetFormatPr defaultRowHeight="12.75"/>
  <cols>
    <col min="1" max="1" width="3.28515625" style="542" bestFit="1" customWidth="1"/>
    <col min="2" max="4" width="16.5703125" style="542" customWidth="1"/>
    <col min="5" max="5" width="13.42578125" style="542" bestFit="1" customWidth="1"/>
    <col min="6" max="6" width="14.85546875" style="542" bestFit="1" customWidth="1"/>
    <col min="7" max="7" width="15.28515625" style="542" bestFit="1" customWidth="1"/>
    <col min="8" max="13" width="16.5703125" style="542" customWidth="1"/>
    <col min="14" max="16384" width="9.140625" style="535"/>
  </cols>
  <sheetData>
    <row r="1" spans="1:12">
      <c r="A1" s="311"/>
      <c r="B1" s="311"/>
      <c r="C1" s="311"/>
      <c r="D1" s="311"/>
      <c r="E1" s="311"/>
      <c r="F1" s="258"/>
      <c r="G1" s="15"/>
      <c r="H1" s="15"/>
      <c r="I1" s="1021" t="s">
        <v>749</v>
      </c>
      <c r="J1" s="1021"/>
      <c r="K1" s="1021"/>
      <c r="L1" s="1021"/>
    </row>
    <row r="2" spans="1:12">
      <c r="A2" s="311"/>
      <c r="B2" s="311"/>
      <c r="C2" s="311"/>
      <c r="D2" s="311"/>
      <c r="E2" s="311"/>
      <c r="F2" s="258"/>
      <c r="G2" s="15"/>
      <c r="H2" s="15"/>
      <c r="I2" s="1021" t="s">
        <v>753</v>
      </c>
      <c r="J2" s="1021"/>
      <c r="K2" s="1021"/>
      <c r="L2" s="1021"/>
    </row>
    <row r="3" spans="1:12">
      <c r="A3" s="311"/>
      <c r="B3" s="311"/>
      <c r="C3" s="311"/>
      <c r="D3" s="311"/>
      <c r="E3" s="311"/>
      <c r="F3" s="311"/>
      <c r="G3" s="311"/>
      <c r="H3" s="311"/>
      <c r="I3" s="311"/>
      <c r="J3" s="311"/>
      <c r="K3" s="311"/>
      <c r="L3" s="311"/>
    </row>
    <row r="4" spans="1:12">
      <c r="A4" s="1010" t="s">
        <v>573</v>
      </c>
      <c r="B4" s="1151"/>
      <c r="C4" s="1151"/>
      <c r="D4" s="1151"/>
      <c r="E4" s="1151"/>
      <c r="F4" s="1151"/>
      <c r="G4" s="1151"/>
      <c r="H4" s="1151"/>
      <c r="I4" s="1151"/>
      <c r="J4" s="1151"/>
      <c r="K4" s="1151"/>
      <c r="L4" s="1151"/>
    </row>
    <row r="5" spans="1:12">
      <c r="A5" s="1032" t="str">
        <f>+STATISTICS!A4</f>
        <v>ХАДГАЛАМЖ, ЗЭЭЛИЙН ХОРШООНЫ НЭР</v>
      </c>
      <c r="B5" s="1151"/>
      <c r="C5" s="1151"/>
      <c r="D5" s="1151"/>
      <c r="E5" s="1151"/>
      <c r="F5" s="1151"/>
      <c r="G5" s="1151"/>
      <c r="H5" s="1151"/>
      <c r="I5" s="1151"/>
      <c r="J5" s="1151"/>
      <c r="K5" s="1151"/>
      <c r="L5" s="1151"/>
    </row>
    <row r="6" spans="1:12">
      <c r="A6" s="1010" t="s">
        <v>4</v>
      </c>
      <c r="B6" s="1151"/>
      <c r="C6" s="1151"/>
      <c r="D6" s="1151"/>
      <c r="E6" s="1151"/>
      <c r="F6" s="1151"/>
      <c r="G6" s="1151"/>
      <c r="H6" s="1151"/>
      <c r="I6" s="1151"/>
      <c r="J6" s="1151"/>
      <c r="K6" s="1151"/>
      <c r="L6" s="1151"/>
    </row>
    <row r="7" spans="1:12">
      <c r="A7" s="311"/>
      <c r="B7" s="311"/>
      <c r="C7" s="311"/>
      <c r="D7" s="311"/>
      <c r="E7" s="311"/>
      <c r="F7" s="311"/>
      <c r="G7" s="311"/>
      <c r="H7" s="311"/>
      <c r="I7" s="311"/>
      <c r="J7" s="311"/>
      <c r="K7" s="311"/>
      <c r="L7" s="311"/>
    </row>
    <row r="8" spans="1:12">
      <c r="A8" s="311"/>
      <c r="B8" s="311"/>
      <c r="C8" s="311"/>
      <c r="D8" s="311"/>
      <c r="E8" s="311"/>
      <c r="F8" s="311"/>
      <c r="G8" s="311"/>
      <c r="H8" s="311"/>
      <c r="I8" s="311"/>
      <c r="J8" s="311"/>
      <c r="K8" s="311"/>
      <c r="L8" s="311"/>
    </row>
    <row r="9" spans="1:12" ht="13.5" thickBot="1">
      <c r="A9" s="1166" t="str">
        <f>+STATISTICS!A7</f>
        <v>Огноо</v>
      </c>
      <c r="B9" s="1167"/>
      <c r="C9" s="554"/>
      <c r="D9" s="554"/>
      <c r="E9" s="554"/>
      <c r="F9" s="554"/>
      <c r="G9" s="311"/>
      <c r="H9" s="311"/>
      <c r="I9" s="311"/>
      <c r="J9" s="311"/>
      <c r="K9" s="311"/>
      <c r="L9" s="391" t="s">
        <v>5</v>
      </c>
    </row>
    <row r="10" spans="1:12">
      <c r="A10" s="1164" t="s">
        <v>237</v>
      </c>
      <c r="B10" s="1162" t="s">
        <v>554</v>
      </c>
      <c r="C10" s="1162" t="s">
        <v>555</v>
      </c>
      <c r="D10" s="1162" t="s">
        <v>556</v>
      </c>
      <c r="E10" s="1162" t="s">
        <v>557</v>
      </c>
      <c r="F10" s="1162" t="s">
        <v>558</v>
      </c>
      <c r="G10" s="1162" t="s">
        <v>559</v>
      </c>
      <c r="H10" s="1162" t="s">
        <v>560</v>
      </c>
      <c r="I10" s="1162" t="s">
        <v>561</v>
      </c>
      <c r="J10" s="1162" t="s">
        <v>562</v>
      </c>
      <c r="K10" s="1162" t="s">
        <v>563</v>
      </c>
      <c r="L10" s="1168" t="s">
        <v>564</v>
      </c>
    </row>
    <row r="11" spans="1:12">
      <c r="A11" s="1170"/>
      <c r="B11" s="1171"/>
      <c r="C11" s="1171"/>
      <c r="D11" s="1171"/>
      <c r="E11" s="1171"/>
      <c r="F11" s="1171"/>
      <c r="G11" s="1171"/>
      <c r="H11" s="1171"/>
      <c r="I11" s="1171"/>
      <c r="J11" s="1171"/>
      <c r="K11" s="1171"/>
      <c r="L11" s="1169"/>
    </row>
    <row r="12" spans="1:12" ht="40.5" customHeight="1" thickBot="1">
      <c r="A12" s="1165"/>
      <c r="B12" s="1163"/>
      <c r="C12" s="1163"/>
      <c r="D12" s="1163"/>
      <c r="E12" s="1163"/>
      <c r="F12" s="1163"/>
      <c r="G12" s="1163"/>
      <c r="H12" s="1163"/>
      <c r="I12" s="1163"/>
      <c r="J12" s="1163"/>
      <c r="K12" s="1163"/>
      <c r="L12" s="1158"/>
    </row>
    <row r="13" spans="1:12">
      <c r="A13" s="555">
        <v>1</v>
      </c>
      <c r="B13" s="551"/>
      <c r="C13" s="764"/>
      <c r="D13" s="765"/>
      <c r="E13" s="766"/>
      <c r="F13" s="766"/>
      <c r="G13" s="766"/>
      <c r="H13" s="767"/>
      <c r="I13" s="764"/>
      <c r="J13" s="764"/>
      <c r="K13" s="765"/>
      <c r="L13" s="556" t="e">
        <f>+J13/BALANCESHEET!G35</f>
        <v>#DIV/0!</v>
      </c>
    </row>
    <row r="14" spans="1:12">
      <c r="A14" s="557">
        <v>2</v>
      </c>
      <c r="B14" s="552"/>
      <c r="C14" s="768"/>
      <c r="D14" s="769"/>
      <c r="E14" s="770"/>
      <c r="F14" s="770"/>
      <c r="G14" s="770"/>
      <c r="H14" s="771"/>
      <c r="I14" s="768"/>
      <c r="J14" s="768"/>
      <c r="K14" s="769"/>
      <c r="L14" s="558" t="e">
        <f>+J14/BALANCESHEET!G35</f>
        <v>#DIV/0!</v>
      </c>
    </row>
    <row r="15" spans="1:12">
      <c r="A15" s="557">
        <v>3</v>
      </c>
      <c r="B15" s="552"/>
      <c r="C15" s="768"/>
      <c r="D15" s="769"/>
      <c r="E15" s="770"/>
      <c r="F15" s="770"/>
      <c r="G15" s="770"/>
      <c r="H15" s="771"/>
      <c r="I15" s="768"/>
      <c r="J15" s="768"/>
      <c r="K15" s="769"/>
      <c r="L15" s="558" t="e">
        <f>+J15/BALANCESHEET!G35</f>
        <v>#DIV/0!</v>
      </c>
    </row>
    <row r="16" spans="1:12">
      <c r="A16" s="557">
        <v>4</v>
      </c>
      <c r="B16" s="552"/>
      <c r="C16" s="768"/>
      <c r="D16" s="769"/>
      <c r="E16" s="770"/>
      <c r="F16" s="770"/>
      <c r="G16" s="770"/>
      <c r="H16" s="771"/>
      <c r="I16" s="768"/>
      <c r="J16" s="768"/>
      <c r="K16" s="769"/>
      <c r="L16" s="558" t="e">
        <f>+J16/BALANCESHEET!G35</f>
        <v>#DIV/0!</v>
      </c>
    </row>
    <row r="17" spans="1:12">
      <c r="A17" s="557">
        <v>5</v>
      </c>
      <c r="B17" s="552"/>
      <c r="C17" s="768"/>
      <c r="D17" s="769"/>
      <c r="E17" s="770"/>
      <c r="F17" s="770"/>
      <c r="G17" s="770"/>
      <c r="H17" s="771"/>
      <c r="I17" s="768"/>
      <c r="J17" s="768"/>
      <c r="K17" s="769"/>
      <c r="L17" s="558" t="e">
        <f>+J17/BALANCESHEET!G35</f>
        <v>#DIV/0!</v>
      </c>
    </row>
    <row r="18" spans="1:12">
      <c r="A18" s="557">
        <v>6</v>
      </c>
      <c r="B18" s="552"/>
      <c r="C18" s="768"/>
      <c r="D18" s="769"/>
      <c r="E18" s="770"/>
      <c r="F18" s="770"/>
      <c r="G18" s="770"/>
      <c r="H18" s="771"/>
      <c r="I18" s="768"/>
      <c r="J18" s="768"/>
      <c r="K18" s="769"/>
      <c r="L18" s="558" t="e">
        <f>+J18/BALANCESHEET!G35</f>
        <v>#DIV/0!</v>
      </c>
    </row>
    <row r="19" spans="1:12">
      <c r="A19" s="557">
        <v>7</v>
      </c>
      <c r="B19" s="552"/>
      <c r="C19" s="768"/>
      <c r="D19" s="769"/>
      <c r="E19" s="770"/>
      <c r="F19" s="770"/>
      <c r="G19" s="770"/>
      <c r="H19" s="771"/>
      <c r="I19" s="768"/>
      <c r="J19" s="768"/>
      <c r="K19" s="769"/>
      <c r="L19" s="558" t="e">
        <f>+J19/BALANCESHEET!G35</f>
        <v>#DIV/0!</v>
      </c>
    </row>
    <row r="20" spans="1:12">
      <c r="A20" s="557">
        <v>8</v>
      </c>
      <c r="B20" s="552"/>
      <c r="C20" s="768"/>
      <c r="D20" s="769"/>
      <c r="E20" s="770"/>
      <c r="F20" s="770"/>
      <c r="G20" s="770"/>
      <c r="H20" s="771"/>
      <c r="I20" s="768"/>
      <c r="J20" s="768"/>
      <c r="K20" s="769"/>
      <c r="L20" s="558" t="e">
        <f>+J20/BALANCESHEET!G35</f>
        <v>#DIV/0!</v>
      </c>
    </row>
    <row r="21" spans="1:12">
      <c r="A21" s="557">
        <v>9</v>
      </c>
      <c r="B21" s="552"/>
      <c r="C21" s="768"/>
      <c r="D21" s="769"/>
      <c r="E21" s="770"/>
      <c r="F21" s="770"/>
      <c r="G21" s="770"/>
      <c r="H21" s="771"/>
      <c r="I21" s="768"/>
      <c r="J21" s="768"/>
      <c r="K21" s="769"/>
      <c r="L21" s="558" t="e">
        <f>+J21/BALANCESHEET!G35</f>
        <v>#DIV/0!</v>
      </c>
    </row>
    <row r="22" spans="1:12">
      <c r="A22" s="557">
        <v>10</v>
      </c>
      <c r="B22" s="552"/>
      <c r="C22" s="768"/>
      <c r="D22" s="769"/>
      <c r="E22" s="770"/>
      <c r="F22" s="770"/>
      <c r="G22" s="770"/>
      <c r="H22" s="771"/>
      <c r="I22" s="768"/>
      <c r="J22" s="768"/>
      <c r="K22" s="769"/>
      <c r="L22" s="558" t="e">
        <f>+J22/BALANCESHEET!G35</f>
        <v>#DIV/0!</v>
      </c>
    </row>
    <row r="23" spans="1:12">
      <c r="A23" s="557">
        <v>11</v>
      </c>
      <c r="B23" s="552"/>
      <c r="C23" s="768"/>
      <c r="D23" s="769"/>
      <c r="E23" s="770"/>
      <c r="F23" s="770"/>
      <c r="G23" s="770"/>
      <c r="H23" s="771"/>
      <c r="I23" s="768"/>
      <c r="J23" s="768"/>
      <c r="K23" s="769"/>
      <c r="L23" s="558" t="e">
        <f>+J23/BALANCESHEET!G35</f>
        <v>#DIV/0!</v>
      </c>
    </row>
    <row r="24" spans="1:12">
      <c r="A24" s="557">
        <v>12</v>
      </c>
      <c r="B24" s="552"/>
      <c r="C24" s="768"/>
      <c r="D24" s="769"/>
      <c r="E24" s="770"/>
      <c r="F24" s="770"/>
      <c r="G24" s="770"/>
      <c r="H24" s="771"/>
      <c r="I24" s="768"/>
      <c r="J24" s="768"/>
      <c r="K24" s="769"/>
      <c r="L24" s="558" t="e">
        <f>+J24/BALANCESHEET!G35</f>
        <v>#DIV/0!</v>
      </c>
    </row>
    <row r="25" spans="1:12">
      <c r="A25" s="557">
        <v>13</v>
      </c>
      <c r="B25" s="552"/>
      <c r="C25" s="768"/>
      <c r="D25" s="769"/>
      <c r="E25" s="770"/>
      <c r="F25" s="770"/>
      <c r="G25" s="770"/>
      <c r="H25" s="771"/>
      <c r="I25" s="768"/>
      <c r="J25" s="768"/>
      <c r="K25" s="769"/>
      <c r="L25" s="558" t="e">
        <f>+J25/BALANCESHEET!G35</f>
        <v>#DIV/0!</v>
      </c>
    </row>
    <row r="26" spans="1:12">
      <c r="A26" s="557">
        <v>14</v>
      </c>
      <c r="B26" s="552"/>
      <c r="C26" s="768"/>
      <c r="D26" s="769"/>
      <c r="E26" s="770"/>
      <c r="F26" s="770"/>
      <c r="G26" s="770"/>
      <c r="H26" s="771"/>
      <c r="I26" s="768"/>
      <c r="J26" s="768"/>
      <c r="K26" s="769"/>
      <c r="L26" s="558" t="e">
        <f>+J26/BALANCESHEET!G35</f>
        <v>#DIV/0!</v>
      </c>
    </row>
    <row r="27" spans="1:12">
      <c r="A27" s="557">
        <v>15</v>
      </c>
      <c r="B27" s="552"/>
      <c r="C27" s="768"/>
      <c r="D27" s="769"/>
      <c r="E27" s="770"/>
      <c r="F27" s="770"/>
      <c r="G27" s="770"/>
      <c r="H27" s="771"/>
      <c r="I27" s="768"/>
      <c r="J27" s="768"/>
      <c r="K27" s="769"/>
      <c r="L27" s="558" t="e">
        <f>+J27/BALANCESHEET!G35</f>
        <v>#DIV/0!</v>
      </c>
    </row>
    <row r="28" spans="1:12">
      <c r="A28" s="557">
        <v>16</v>
      </c>
      <c r="B28" s="552"/>
      <c r="C28" s="768"/>
      <c r="D28" s="769"/>
      <c r="E28" s="770"/>
      <c r="F28" s="770"/>
      <c r="G28" s="770"/>
      <c r="H28" s="771"/>
      <c r="I28" s="768"/>
      <c r="J28" s="768"/>
      <c r="K28" s="769"/>
      <c r="L28" s="558" t="e">
        <f>+J28/BALANCESHEET!G35</f>
        <v>#DIV/0!</v>
      </c>
    </row>
    <row r="29" spans="1:12">
      <c r="A29" s="557">
        <v>17</v>
      </c>
      <c r="B29" s="552"/>
      <c r="C29" s="768"/>
      <c r="D29" s="769"/>
      <c r="E29" s="770"/>
      <c r="F29" s="770"/>
      <c r="G29" s="770"/>
      <c r="H29" s="771"/>
      <c r="I29" s="768"/>
      <c r="J29" s="768"/>
      <c r="K29" s="769"/>
      <c r="L29" s="558" t="e">
        <f>+J29/BALANCESHEET!G35</f>
        <v>#DIV/0!</v>
      </c>
    </row>
    <row r="30" spans="1:12">
      <c r="A30" s="557">
        <v>18</v>
      </c>
      <c r="B30" s="552"/>
      <c r="C30" s="768"/>
      <c r="D30" s="769"/>
      <c r="E30" s="770"/>
      <c r="F30" s="770"/>
      <c r="G30" s="770"/>
      <c r="H30" s="771"/>
      <c r="I30" s="768"/>
      <c r="J30" s="768"/>
      <c r="K30" s="769"/>
      <c r="L30" s="558" t="e">
        <f>+J30/BALANCESHEET!G35</f>
        <v>#DIV/0!</v>
      </c>
    </row>
    <row r="31" spans="1:12">
      <c r="A31" s="557">
        <v>19</v>
      </c>
      <c r="B31" s="552"/>
      <c r="C31" s="768"/>
      <c r="D31" s="769"/>
      <c r="E31" s="770"/>
      <c r="F31" s="770"/>
      <c r="G31" s="770"/>
      <c r="H31" s="771"/>
      <c r="I31" s="768"/>
      <c r="J31" s="768"/>
      <c r="K31" s="769"/>
      <c r="L31" s="558" t="e">
        <f>+J31/BALANCESHEET!G35</f>
        <v>#DIV/0!</v>
      </c>
    </row>
    <row r="32" spans="1:12">
      <c r="A32" s="559">
        <v>20</v>
      </c>
      <c r="B32" s="552"/>
      <c r="C32" s="768"/>
      <c r="D32" s="769"/>
      <c r="E32" s="770"/>
      <c r="F32" s="770"/>
      <c r="G32" s="770"/>
      <c r="H32" s="771"/>
      <c r="I32" s="768"/>
      <c r="J32" s="768"/>
      <c r="K32" s="769"/>
      <c r="L32" s="558" t="e">
        <f>+J32/BALANCESHEET!G35</f>
        <v>#DIV/0!</v>
      </c>
    </row>
    <row r="33" spans="1:12">
      <c r="A33" s="557">
        <v>21</v>
      </c>
      <c r="B33" s="552"/>
      <c r="C33" s="768"/>
      <c r="D33" s="769"/>
      <c r="E33" s="770"/>
      <c r="F33" s="770"/>
      <c r="G33" s="770"/>
      <c r="H33" s="771"/>
      <c r="I33" s="768"/>
      <c r="J33" s="768"/>
      <c r="K33" s="765"/>
      <c r="L33" s="556" t="e">
        <f>+J33/BALANCESHEET!G35</f>
        <v>#DIV/0!</v>
      </c>
    </row>
    <row r="34" spans="1:12">
      <c r="A34" s="559">
        <v>22</v>
      </c>
      <c r="B34" s="552"/>
      <c r="C34" s="768"/>
      <c r="D34" s="769"/>
      <c r="E34" s="770"/>
      <c r="F34" s="770"/>
      <c r="G34" s="770"/>
      <c r="H34" s="771"/>
      <c r="I34" s="768"/>
      <c r="J34" s="768"/>
      <c r="K34" s="769"/>
      <c r="L34" s="558" t="e">
        <f>+J34/BALANCESHEET!G35</f>
        <v>#DIV/0!</v>
      </c>
    </row>
    <row r="35" spans="1:12">
      <c r="A35" s="557">
        <v>23</v>
      </c>
      <c r="B35" s="552"/>
      <c r="C35" s="768"/>
      <c r="D35" s="769"/>
      <c r="E35" s="770"/>
      <c r="F35" s="770"/>
      <c r="G35" s="770"/>
      <c r="H35" s="771"/>
      <c r="I35" s="768"/>
      <c r="J35" s="768"/>
      <c r="K35" s="769"/>
      <c r="L35" s="558" t="e">
        <f>+J35/BALANCESHEET!G35</f>
        <v>#DIV/0!</v>
      </c>
    </row>
    <row r="36" spans="1:12">
      <c r="A36" s="559">
        <v>24</v>
      </c>
      <c r="B36" s="552"/>
      <c r="C36" s="768"/>
      <c r="D36" s="769"/>
      <c r="E36" s="770"/>
      <c r="F36" s="770"/>
      <c r="G36" s="770"/>
      <c r="H36" s="771"/>
      <c r="I36" s="768"/>
      <c r="J36" s="768"/>
      <c r="K36" s="769"/>
      <c r="L36" s="558" t="e">
        <f>+J36/BALANCESHEET!G35</f>
        <v>#DIV/0!</v>
      </c>
    </row>
    <row r="37" spans="1:12">
      <c r="A37" s="557">
        <v>25</v>
      </c>
      <c r="B37" s="552"/>
      <c r="C37" s="768"/>
      <c r="D37" s="769"/>
      <c r="E37" s="770"/>
      <c r="F37" s="770"/>
      <c r="G37" s="770"/>
      <c r="H37" s="771"/>
      <c r="I37" s="768"/>
      <c r="J37" s="768"/>
      <c r="K37" s="769"/>
      <c r="L37" s="558" t="e">
        <f>+J37/BALANCESHEET!G35</f>
        <v>#DIV/0!</v>
      </c>
    </row>
    <row r="38" spans="1:12">
      <c r="A38" s="559">
        <v>26</v>
      </c>
      <c r="B38" s="552"/>
      <c r="C38" s="768"/>
      <c r="D38" s="769"/>
      <c r="E38" s="770"/>
      <c r="F38" s="770"/>
      <c r="G38" s="770"/>
      <c r="H38" s="771"/>
      <c r="I38" s="768"/>
      <c r="J38" s="768"/>
      <c r="K38" s="769"/>
      <c r="L38" s="558" t="e">
        <f>+J38/BALANCESHEET!G35</f>
        <v>#DIV/0!</v>
      </c>
    </row>
    <row r="39" spans="1:12">
      <c r="A39" s="557">
        <v>27</v>
      </c>
      <c r="B39" s="552"/>
      <c r="C39" s="768"/>
      <c r="D39" s="769"/>
      <c r="E39" s="770"/>
      <c r="F39" s="770"/>
      <c r="G39" s="770"/>
      <c r="H39" s="771"/>
      <c r="I39" s="768"/>
      <c r="J39" s="768"/>
      <c r="K39" s="769"/>
      <c r="L39" s="558" t="e">
        <f>+J39/BALANCESHEET!G35</f>
        <v>#DIV/0!</v>
      </c>
    </row>
    <row r="40" spans="1:12">
      <c r="A40" s="559">
        <v>28</v>
      </c>
      <c r="B40" s="552"/>
      <c r="C40" s="768"/>
      <c r="D40" s="769"/>
      <c r="E40" s="770"/>
      <c r="F40" s="770"/>
      <c r="G40" s="770"/>
      <c r="H40" s="771"/>
      <c r="I40" s="768"/>
      <c r="J40" s="768"/>
      <c r="K40" s="769"/>
      <c r="L40" s="558" t="e">
        <f>+J40/BALANCESHEET!G35</f>
        <v>#DIV/0!</v>
      </c>
    </row>
    <row r="41" spans="1:12">
      <c r="A41" s="557">
        <v>29</v>
      </c>
      <c r="B41" s="552"/>
      <c r="C41" s="768"/>
      <c r="D41" s="769"/>
      <c r="E41" s="770"/>
      <c r="F41" s="770"/>
      <c r="G41" s="770"/>
      <c r="H41" s="771"/>
      <c r="I41" s="768"/>
      <c r="J41" s="768"/>
      <c r="K41" s="769"/>
      <c r="L41" s="558" t="e">
        <f>+J41/BALANCESHEET!G35</f>
        <v>#DIV/0!</v>
      </c>
    </row>
    <row r="42" spans="1:12">
      <c r="A42" s="559">
        <v>30</v>
      </c>
      <c r="B42" s="552"/>
      <c r="C42" s="768"/>
      <c r="D42" s="769"/>
      <c r="E42" s="770"/>
      <c r="F42" s="770"/>
      <c r="G42" s="770"/>
      <c r="H42" s="771"/>
      <c r="I42" s="768"/>
      <c r="J42" s="768"/>
      <c r="K42" s="769"/>
      <c r="L42" s="558" t="e">
        <f>+J42/BALANCESHEET!G35</f>
        <v>#DIV/0!</v>
      </c>
    </row>
    <row r="43" spans="1:12">
      <c r="A43" s="557">
        <v>31</v>
      </c>
      <c r="B43" s="552"/>
      <c r="C43" s="768"/>
      <c r="D43" s="769"/>
      <c r="E43" s="770"/>
      <c r="F43" s="770"/>
      <c r="G43" s="770"/>
      <c r="H43" s="771"/>
      <c r="I43" s="768"/>
      <c r="J43" s="768"/>
      <c r="K43" s="769"/>
      <c r="L43" s="558" t="e">
        <f>+J43/BALANCESHEET!G35</f>
        <v>#DIV/0!</v>
      </c>
    </row>
    <row r="44" spans="1:12">
      <c r="A44" s="559">
        <v>32</v>
      </c>
      <c r="B44" s="552"/>
      <c r="C44" s="768"/>
      <c r="D44" s="769"/>
      <c r="E44" s="770"/>
      <c r="F44" s="770"/>
      <c r="G44" s="770"/>
      <c r="H44" s="771"/>
      <c r="I44" s="768"/>
      <c r="J44" s="768"/>
      <c r="K44" s="769"/>
      <c r="L44" s="558" t="e">
        <f>+J44/BALANCESHEET!G35</f>
        <v>#DIV/0!</v>
      </c>
    </row>
    <row r="45" spans="1:12">
      <c r="A45" s="557">
        <v>33</v>
      </c>
      <c r="B45" s="552"/>
      <c r="C45" s="768"/>
      <c r="D45" s="769"/>
      <c r="E45" s="770"/>
      <c r="F45" s="770"/>
      <c r="G45" s="770"/>
      <c r="H45" s="771"/>
      <c r="I45" s="768"/>
      <c r="J45" s="768"/>
      <c r="K45" s="769"/>
      <c r="L45" s="558" t="e">
        <f>+J45/BALANCESHEET!G35</f>
        <v>#DIV/0!</v>
      </c>
    </row>
    <row r="46" spans="1:12">
      <c r="A46" s="559">
        <v>34</v>
      </c>
      <c r="B46" s="552"/>
      <c r="C46" s="768"/>
      <c r="D46" s="769"/>
      <c r="E46" s="770"/>
      <c r="F46" s="770"/>
      <c r="G46" s="770"/>
      <c r="H46" s="771"/>
      <c r="I46" s="768"/>
      <c r="J46" s="768"/>
      <c r="K46" s="769"/>
      <c r="L46" s="558" t="e">
        <f>+J46/BALANCESHEET!G35</f>
        <v>#DIV/0!</v>
      </c>
    </row>
    <row r="47" spans="1:12">
      <c r="A47" s="557">
        <v>35</v>
      </c>
      <c r="B47" s="552"/>
      <c r="C47" s="768"/>
      <c r="D47" s="769"/>
      <c r="E47" s="770"/>
      <c r="F47" s="770"/>
      <c r="G47" s="770"/>
      <c r="H47" s="771"/>
      <c r="I47" s="768"/>
      <c r="J47" s="768"/>
      <c r="K47" s="769"/>
      <c r="L47" s="558" t="e">
        <f>+J47/BALANCESHEET!G35</f>
        <v>#DIV/0!</v>
      </c>
    </row>
    <row r="48" spans="1:12">
      <c r="A48" s="559">
        <v>36</v>
      </c>
      <c r="B48" s="552"/>
      <c r="C48" s="768"/>
      <c r="D48" s="769"/>
      <c r="E48" s="770"/>
      <c r="F48" s="770"/>
      <c r="G48" s="770"/>
      <c r="H48" s="771"/>
      <c r="I48" s="768"/>
      <c r="J48" s="768"/>
      <c r="K48" s="769"/>
      <c r="L48" s="558" t="e">
        <f>+J48/BALANCESHEET!G35</f>
        <v>#DIV/0!</v>
      </c>
    </row>
    <row r="49" spans="1:12">
      <c r="A49" s="557">
        <v>37</v>
      </c>
      <c r="B49" s="552"/>
      <c r="C49" s="768"/>
      <c r="D49" s="769"/>
      <c r="E49" s="770"/>
      <c r="F49" s="770"/>
      <c r="G49" s="770"/>
      <c r="H49" s="771"/>
      <c r="I49" s="768"/>
      <c r="J49" s="768"/>
      <c r="K49" s="769"/>
      <c r="L49" s="558" t="e">
        <f>+J49/BALANCESHEET!G35</f>
        <v>#DIV/0!</v>
      </c>
    </row>
    <row r="50" spans="1:12">
      <c r="A50" s="559">
        <v>38</v>
      </c>
      <c r="B50" s="552"/>
      <c r="C50" s="768"/>
      <c r="D50" s="769"/>
      <c r="E50" s="770"/>
      <c r="F50" s="770"/>
      <c r="G50" s="770"/>
      <c r="H50" s="771"/>
      <c r="I50" s="768"/>
      <c r="J50" s="768"/>
      <c r="K50" s="769"/>
      <c r="L50" s="558" t="e">
        <f>+J50/BALANCESHEET!G35</f>
        <v>#DIV/0!</v>
      </c>
    </row>
    <row r="51" spans="1:12">
      <c r="A51" s="557">
        <v>39</v>
      </c>
      <c r="B51" s="552"/>
      <c r="C51" s="768"/>
      <c r="D51" s="769"/>
      <c r="E51" s="770"/>
      <c r="F51" s="770"/>
      <c r="G51" s="770"/>
      <c r="H51" s="771"/>
      <c r="I51" s="768"/>
      <c r="J51" s="768"/>
      <c r="K51" s="769"/>
      <c r="L51" s="558" t="e">
        <f>+J51/BALANCESHEET!G35</f>
        <v>#DIV/0!</v>
      </c>
    </row>
    <row r="52" spans="1:12" ht="13.5" thickBot="1">
      <c r="A52" s="559">
        <v>40</v>
      </c>
      <c r="B52" s="553"/>
      <c r="C52" s="772"/>
      <c r="D52" s="773"/>
      <c r="E52" s="774"/>
      <c r="F52" s="774"/>
      <c r="G52" s="774"/>
      <c r="H52" s="775"/>
      <c r="I52" s="772"/>
      <c r="J52" s="772"/>
      <c r="K52" s="769"/>
      <c r="L52" s="558" t="e">
        <f>+J52/BALANCESHEET!G35</f>
        <v>#DIV/0!</v>
      </c>
    </row>
    <row r="53" spans="1:12" ht="15.75" customHeight="1" thickBot="1">
      <c r="A53" s="1172" t="s">
        <v>468</v>
      </c>
      <c r="B53" s="1173"/>
      <c r="C53" s="776">
        <f>SUM(C13:C52)</f>
        <v>0</v>
      </c>
      <c r="D53" s="1175"/>
      <c r="E53" s="1176"/>
      <c r="F53" s="1176"/>
      <c r="G53" s="1176"/>
      <c r="H53" s="1177"/>
      <c r="I53" s="776">
        <f>SUM(I13:I52)</f>
        <v>0</v>
      </c>
      <c r="J53" s="776">
        <f>SUM(J13:J52)</f>
        <v>0</v>
      </c>
      <c r="K53" s="777"/>
      <c r="L53" s="560" t="e">
        <f>SUM(L13:L52)</f>
        <v>#DIV/0!</v>
      </c>
    </row>
    <row r="54" spans="1:12">
      <c r="A54" s="311"/>
      <c r="B54" s="311"/>
      <c r="C54" s="695"/>
      <c r="D54" s="695"/>
      <c r="E54" s="695"/>
      <c r="F54" s="695"/>
      <c r="G54" s="695"/>
      <c r="H54" s="695"/>
      <c r="I54" s="695"/>
      <c r="J54" s="1178" t="s">
        <v>574</v>
      </c>
      <c r="K54" s="1160"/>
      <c r="L54" s="550" t="e">
        <f>MAX(L13:L52)</f>
        <v>#DIV/0!</v>
      </c>
    </row>
    <row r="55" spans="1:12">
      <c r="A55" s="311"/>
      <c r="B55" s="311"/>
      <c r="C55" s="311"/>
      <c r="D55" s="311"/>
      <c r="E55" s="311"/>
      <c r="F55" s="311"/>
      <c r="G55" s="311"/>
      <c r="H55" s="311"/>
      <c r="I55" s="311"/>
      <c r="J55" s="311"/>
      <c r="K55" s="311"/>
      <c r="L55" s="561"/>
    </row>
    <row r="56" spans="1:12">
      <c r="A56" s="311"/>
      <c r="B56" s="311"/>
      <c r="C56" s="311"/>
      <c r="D56" s="311"/>
      <c r="E56" s="562"/>
      <c r="F56" s="311"/>
      <c r="G56" s="311"/>
      <c r="H56" s="311"/>
      <c r="I56" s="311"/>
      <c r="J56" s="311"/>
      <c r="K56" s="311"/>
      <c r="L56" s="311"/>
    </row>
    <row r="57" spans="1:12">
      <c r="A57" s="311"/>
      <c r="B57" s="311"/>
      <c r="C57" s="311"/>
      <c r="D57" s="311"/>
      <c r="E57" s="311"/>
      <c r="F57" s="15"/>
      <c r="G57" s="311"/>
      <c r="H57" s="311"/>
      <c r="I57" s="311"/>
      <c r="J57" s="311"/>
      <c r="K57" s="311"/>
      <c r="L57" s="540" t="str">
        <f>IF(J53&lt;=BALANCESHEET!C18,"","Балансийн дүнтэй зөрүүтэй байна")</f>
        <v/>
      </c>
    </row>
    <row r="58" spans="1:12">
      <c r="A58" s="1010" t="s">
        <v>232</v>
      </c>
      <c r="B58" s="1010"/>
      <c r="C58" s="1010"/>
      <c r="D58" s="1010"/>
      <c r="E58" s="1010"/>
      <c r="F58" s="1010"/>
      <c r="G58" s="1010"/>
      <c r="H58" s="1010"/>
      <c r="I58" s="1010"/>
      <c r="J58" s="1010"/>
      <c r="K58" s="1010"/>
      <c r="L58" s="1010"/>
    </row>
    <row r="59" spans="1:12">
      <c r="A59" s="1053" t="s">
        <v>233</v>
      </c>
      <c r="B59" s="1053"/>
      <c r="C59" s="1053"/>
      <c r="D59" s="1053"/>
      <c r="E59" s="1053"/>
      <c r="F59" s="1053"/>
      <c r="G59" s="1053"/>
      <c r="H59" s="1053"/>
      <c r="I59" s="1053"/>
      <c r="J59" s="1053"/>
      <c r="K59" s="1053"/>
      <c r="L59" s="1053"/>
    </row>
    <row r="60" spans="1:12">
      <c r="A60" s="311"/>
      <c r="B60" s="311"/>
      <c r="C60" s="311"/>
      <c r="D60" s="311"/>
      <c r="E60" s="240"/>
      <c r="F60" s="311"/>
      <c r="G60" s="311"/>
      <c r="H60" s="311"/>
      <c r="I60" s="311"/>
      <c r="J60" s="311"/>
      <c r="K60" s="311"/>
      <c r="L60" s="311"/>
    </row>
    <row r="61" spans="1:12">
      <c r="A61" s="311"/>
      <c r="B61" s="311"/>
      <c r="C61" s="311"/>
      <c r="D61" s="311"/>
      <c r="E61" s="240"/>
      <c r="F61" s="235" t="s">
        <v>234</v>
      </c>
      <c r="G61" s="311"/>
      <c r="H61" s="311" t="str">
        <f>+STATISTICS!C94</f>
        <v>/Нэр/</v>
      </c>
      <c r="I61" s="311"/>
      <c r="J61" s="1174"/>
      <c r="K61" s="1151"/>
      <c r="L61" s="311"/>
    </row>
    <row r="62" spans="1:12">
      <c r="E62" s="240"/>
      <c r="F62" s="236"/>
    </row>
    <row r="63" spans="1:12">
      <c r="E63" s="240"/>
      <c r="F63" s="235" t="s">
        <v>236</v>
      </c>
      <c r="H63" s="311" t="str">
        <f>+STATISTICS!C96</f>
        <v>/Нэр/</v>
      </c>
    </row>
  </sheetData>
  <sheetProtection algorithmName="SHA-512" hashValue="LZsX9XKq9SCnHvCV5mSlOwy38TY8occ17nsdNywB7jgbUL0DlEHqDW7yNsbMs6Y4Z8NZE1kc65kDjAv8EZQm/Q==" saltValue="JiLWQl8QQG7CgUTuxR8Pmg==" spinCount="100000" sheet="1" objects="1" scenarios="1" formatCells="0" formatColumns="0" formatRows="0" insertColumns="0" insertRows="0" insertHyperlinks="0" deleteColumns="0" deleteRows="0" sort="0" autoFilter="0" pivotTables="0"/>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4" workbookViewId="0">
      <selection activeCell="K52" sqref="K52"/>
    </sheetView>
  </sheetViews>
  <sheetFormatPr defaultRowHeight="15"/>
  <cols>
    <col min="1" max="1" width="3.28515625" style="81" bestFit="1" customWidth="1"/>
    <col min="2" max="2" width="20.140625" style="81" customWidth="1"/>
    <col min="3" max="3" width="22.7109375" style="81" customWidth="1"/>
    <col min="4" max="4" width="20.42578125" style="81" bestFit="1" customWidth="1"/>
    <col min="5" max="5" width="18.140625" style="81" bestFit="1" customWidth="1"/>
    <col min="6" max="6" width="16.28515625" style="81" customWidth="1"/>
    <col min="7" max="7" width="15.5703125" style="81" customWidth="1"/>
    <col min="8" max="8" width="22.28515625" style="81" customWidth="1"/>
    <col min="9" max="9" width="12.85546875" style="81" customWidth="1"/>
    <col min="10" max="10" width="15.28515625" style="81" customWidth="1"/>
    <col min="11" max="11" width="9.140625" style="81"/>
    <col min="12" max="16384" width="9.140625" style="63"/>
  </cols>
  <sheetData>
    <row r="1" spans="1:10">
      <c r="A1" s="311"/>
      <c r="B1" s="311"/>
      <c r="C1" s="311"/>
      <c r="D1" s="311"/>
      <c r="E1" s="311"/>
      <c r="F1" s="311"/>
      <c r="G1" s="1021" t="s">
        <v>749</v>
      </c>
      <c r="H1" s="1021"/>
      <c r="I1" s="1021"/>
      <c r="J1" s="1021"/>
    </row>
    <row r="2" spans="1:10">
      <c r="A2" s="311"/>
      <c r="B2" s="311"/>
      <c r="C2" s="311"/>
      <c r="D2" s="311"/>
      <c r="E2" s="311"/>
      <c r="F2" s="311"/>
      <c r="G2" s="1021" t="s">
        <v>754</v>
      </c>
      <c r="H2" s="1021"/>
      <c r="I2" s="1021"/>
      <c r="J2" s="1021"/>
    </row>
    <row r="3" spans="1:10">
      <c r="A3" s="311"/>
      <c r="B3" s="311"/>
      <c r="C3" s="311"/>
      <c r="D3" s="311"/>
      <c r="E3" s="311"/>
      <c r="F3" s="311"/>
      <c r="G3" s="311"/>
      <c r="H3" s="311"/>
      <c r="I3" s="311"/>
      <c r="J3" s="311"/>
    </row>
    <row r="4" spans="1:10">
      <c r="A4" s="1010" t="s">
        <v>797</v>
      </c>
      <c r="B4" s="1179"/>
      <c r="C4" s="1179"/>
      <c r="D4" s="1179"/>
      <c r="E4" s="1179"/>
      <c r="F4" s="1179"/>
      <c r="G4" s="1179"/>
      <c r="H4" s="1179"/>
      <c r="I4" s="1179"/>
      <c r="J4" s="1179"/>
    </row>
    <row r="5" spans="1:10">
      <c r="A5" s="1032" t="str">
        <f>+STATISTICS!A4</f>
        <v>ХАДГАЛАМЖ, ЗЭЭЛИЙН ХОРШООНЫ НЭР</v>
      </c>
      <c r="B5" s="1151"/>
      <c r="C5" s="1151"/>
      <c r="D5" s="1151"/>
      <c r="E5" s="1151"/>
      <c r="F5" s="1151"/>
      <c r="G5" s="1151"/>
      <c r="H5" s="1151"/>
      <c r="I5" s="1151"/>
      <c r="J5" s="1151"/>
    </row>
    <row r="6" spans="1:10">
      <c r="A6" s="1010" t="s">
        <v>4</v>
      </c>
      <c r="B6" s="1151"/>
      <c r="C6" s="1151"/>
      <c r="D6" s="1151"/>
      <c r="E6" s="1151"/>
      <c r="F6" s="1151"/>
      <c r="G6" s="1151"/>
      <c r="H6" s="1151"/>
      <c r="I6" s="1151"/>
      <c r="J6" s="1151"/>
    </row>
    <row r="7" spans="1:10">
      <c r="A7" s="311"/>
      <c r="B7" s="311"/>
      <c r="C7" s="311"/>
      <c r="D7" s="311"/>
      <c r="E7" s="311"/>
      <c r="F7" s="311"/>
      <c r="G7" s="311"/>
      <c r="H7" s="311"/>
      <c r="I7" s="311"/>
      <c r="J7" s="311"/>
    </row>
    <row r="8" spans="1:10">
      <c r="A8" s="311"/>
      <c r="B8" s="311"/>
      <c r="C8" s="311"/>
      <c r="D8" s="311"/>
      <c r="E8" s="311"/>
      <c r="F8" s="311"/>
      <c r="G8" s="311"/>
      <c r="H8" s="311"/>
      <c r="I8" s="311"/>
      <c r="J8" s="311"/>
    </row>
    <row r="9" spans="1:10" ht="15.75" thickBot="1">
      <c r="A9" s="1166" t="str">
        <f>+STATISTICS!A7</f>
        <v>Огноо</v>
      </c>
      <c r="B9" s="1167"/>
      <c r="C9" s="554"/>
      <c r="D9" s="554"/>
      <c r="E9" s="554"/>
      <c r="F9" s="554"/>
      <c r="G9" s="554"/>
      <c r="H9" s="311"/>
      <c r="I9" s="311"/>
      <c r="J9" s="391" t="s">
        <v>5</v>
      </c>
    </row>
    <row r="10" spans="1:10">
      <c r="A10" s="1164" t="s">
        <v>237</v>
      </c>
      <c r="B10" s="1162" t="s">
        <v>580</v>
      </c>
      <c r="C10" s="1162"/>
      <c r="D10" s="1162" t="s">
        <v>575</v>
      </c>
      <c r="E10" s="1180" t="s">
        <v>576</v>
      </c>
      <c r="F10" s="1162" t="s">
        <v>577</v>
      </c>
      <c r="G10" s="1162" t="s">
        <v>578</v>
      </c>
      <c r="H10" s="1180" t="s">
        <v>810</v>
      </c>
      <c r="I10" s="1162" t="s">
        <v>558</v>
      </c>
      <c r="J10" s="1168" t="s">
        <v>579</v>
      </c>
    </row>
    <row r="11" spans="1:10" ht="24" customHeight="1" thickBot="1">
      <c r="A11" s="1165"/>
      <c r="B11" s="543" t="s">
        <v>568</v>
      </c>
      <c r="C11" s="544" t="s">
        <v>565</v>
      </c>
      <c r="D11" s="1163"/>
      <c r="E11" s="1163"/>
      <c r="F11" s="1163"/>
      <c r="G11" s="1163"/>
      <c r="H11" s="1163"/>
      <c r="I11" s="1163"/>
      <c r="J11" s="1158"/>
    </row>
    <row r="12" spans="1:10">
      <c r="A12" s="567">
        <v>1</v>
      </c>
      <c r="B12" s="536"/>
      <c r="C12" s="957"/>
      <c r="D12" s="778"/>
      <c r="E12" s="779"/>
      <c r="F12" s="780"/>
      <c r="G12" s="949"/>
      <c r="H12" s="753"/>
      <c r="I12" s="753"/>
      <c r="J12" s="883" t="e">
        <f>+D12/BALANCE!$H$11</f>
        <v>#DIV/0!</v>
      </c>
    </row>
    <row r="13" spans="1:10">
      <c r="A13" s="568">
        <v>2</v>
      </c>
      <c r="B13" s="537"/>
      <c r="C13" s="958"/>
      <c r="D13" s="781"/>
      <c r="E13" s="782"/>
      <c r="F13" s="783"/>
      <c r="G13" s="950"/>
      <c r="H13" s="758"/>
      <c r="I13" s="758"/>
      <c r="J13" s="883" t="e">
        <f>+D13/BALANCE!$H$11</f>
        <v>#DIV/0!</v>
      </c>
    </row>
    <row r="14" spans="1:10">
      <c r="A14" s="568">
        <v>3</v>
      </c>
      <c r="B14" s="537"/>
      <c r="C14" s="958"/>
      <c r="D14" s="781"/>
      <c r="E14" s="782"/>
      <c r="F14" s="783"/>
      <c r="G14" s="950"/>
      <c r="H14" s="758"/>
      <c r="I14" s="758"/>
      <c r="J14" s="883" t="e">
        <f>+D14/BALANCE!$H$11</f>
        <v>#DIV/0!</v>
      </c>
    </row>
    <row r="15" spans="1:10">
      <c r="A15" s="568">
        <v>4</v>
      </c>
      <c r="B15" s="537"/>
      <c r="C15" s="958"/>
      <c r="D15" s="781"/>
      <c r="E15" s="782"/>
      <c r="F15" s="783"/>
      <c r="G15" s="950"/>
      <c r="H15" s="758"/>
      <c r="I15" s="758"/>
      <c r="J15" s="883" t="e">
        <f>+D15/BALANCE!$H$11</f>
        <v>#DIV/0!</v>
      </c>
    </row>
    <row r="16" spans="1:10">
      <c r="A16" s="568">
        <v>5</v>
      </c>
      <c r="B16" s="537"/>
      <c r="C16" s="958"/>
      <c r="D16" s="781"/>
      <c r="E16" s="782"/>
      <c r="F16" s="783"/>
      <c r="G16" s="950"/>
      <c r="H16" s="758"/>
      <c r="I16" s="758"/>
      <c r="J16" s="883" t="e">
        <f>+D16/BALANCE!$H$11</f>
        <v>#DIV/0!</v>
      </c>
    </row>
    <row r="17" spans="1:10">
      <c r="A17" s="568">
        <v>6</v>
      </c>
      <c r="B17" s="537"/>
      <c r="C17" s="958"/>
      <c r="D17" s="781"/>
      <c r="E17" s="782"/>
      <c r="F17" s="783"/>
      <c r="G17" s="950"/>
      <c r="H17" s="758"/>
      <c r="I17" s="758"/>
      <c r="J17" s="883" t="e">
        <f>+D17/BALANCE!$H$11</f>
        <v>#DIV/0!</v>
      </c>
    </row>
    <row r="18" spans="1:10">
      <c r="A18" s="568">
        <v>7</v>
      </c>
      <c r="B18" s="537"/>
      <c r="C18" s="958"/>
      <c r="D18" s="781"/>
      <c r="E18" s="782"/>
      <c r="F18" s="783"/>
      <c r="G18" s="950"/>
      <c r="H18" s="758"/>
      <c r="I18" s="758"/>
      <c r="J18" s="883" t="e">
        <f>+D18/BALANCE!$H$11</f>
        <v>#DIV/0!</v>
      </c>
    </row>
    <row r="19" spans="1:10">
      <c r="A19" s="568">
        <v>8</v>
      </c>
      <c r="B19" s="537"/>
      <c r="C19" s="958"/>
      <c r="D19" s="781"/>
      <c r="E19" s="782"/>
      <c r="F19" s="783"/>
      <c r="G19" s="950"/>
      <c r="H19" s="758"/>
      <c r="I19" s="758"/>
      <c r="J19" s="883" t="e">
        <f>+D19/BALANCE!$H$11</f>
        <v>#DIV/0!</v>
      </c>
    </row>
    <row r="20" spans="1:10">
      <c r="A20" s="568">
        <v>9</v>
      </c>
      <c r="B20" s="537"/>
      <c r="C20" s="958"/>
      <c r="D20" s="781"/>
      <c r="E20" s="782"/>
      <c r="F20" s="783"/>
      <c r="G20" s="950"/>
      <c r="H20" s="758"/>
      <c r="I20" s="758"/>
      <c r="J20" s="883" t="e">
        <f>+D20/BALANCE!$H$11</f>
        <v>#DIV/0!</v>
      </c>
    </row>
    <row r="21" spans="1:10">
      <c r="A21" s="568">
        <v>10</v>
      </c>
      <c r="B21" s="537"/>
      <c r="C21" s="958"/>
      <c r="D21" s="781"/>
      <c r="E21" s="782"/>
      <c r="F21" s="783"/>
      <c r="G21" s="950"/>
      <c r="H21" s="758"/>
      <c r="I21" s="758"/>
      <c r="J21" s="883" t="e">
        <f>+D21/BALANCE!$H$11</f>
        <v>#DIV/0!</v>
      </c>
    </row>
    <row r="22" spans="1:10">
      <c r="A22" s="568">
        <v>11</v>
      </c>
      <c r="B22" s="537"/>
      <c r="C22" s="958"/>
      <c r="D22" s="781"/>
      <c r="E22" s="782"/>
      <c r="F22" s="783"/>
      <c r="G22" s="950"/>
      <c r="H22" s="758"/>
      <c r="I22" s="758"/>
      <c r="J22" s="883" t="e">
        <f>+D22/BALANCE!$H$11</f>
        <v>#DIV/0!</v>
      </c>
    </row>
    <row r="23" spans="1:10">
      <c r="A23" s="568">
        <v>12</v>
      </c>
      <c r="B23" s="537"/>
      <c r="C23" s="958"/>
      <c r="D23" s="781"/>
      <c r="E23" s="782"/>
      <c r="F23" s="783"/>
      <c r="G23" s="950"/>
      <c r="H23" s="758"/>
      <c r="I23" s="758"/>
      <c r="J23" s="883" t="e">
        <f>+D23/BALANCE!$H$11</f>
        <v>#DIV/0!</v>
      </c>
    </row>
    <row r="24" spans="1:10">
      <c r="A24" s="568">
        <v>13</v>
      </c>
      <c r="B24" s="537"/>
      <c r="C24" s="958"/>
      <c r="D24" s="781"/>
      <c r="E24" s="782"/>
      <c r="F24" s="783"/>
      <c r="G24" s="950"/>
      <c r="H24" s="758"/>
      <c r="I24" s="758"/>
      <c r="J24" s="883" t="e">
        <f>+D24/BALANCE!$H$11</f>
        <v>#DIV/0!</v>
      </c>
    </row>
    <row r="25" spans="1:10">
      <c r="A25" s="568">
        <v>14</v>
      </c>
      <c r="B25" s="537"/>
      <c r="C25" s="958"/>
      <c r="D25" s="781"/>
      <c r="E25" s="782"/>
      <c r="F25" s="783"/>
      <c r="G25" s="950"/>
      <c r="H25" s="758"/>
      <c r="I25" s="758"/>
      <c r="J25" s="883" t="e">
        <f>+D25/BALANCE!$H$11</f>
        <v>#DIV/0!</v>
      </c>
    </row>
    <row r="26" spans="1:10">
      <c r="A26" s="568">
        <v>15</v>
      </c>
      <c r="B26" s="537"/>
      <c r="C26" s="958"/>
      <c r="D26" s="781"/>
      <c r="E26" s="782"/>
      <c r="F26" s="783"/>
      <c r="G26" s="950"/>
      <c r="H26" s="758"/>
      <c r="I26" s="758"/>
      <c r="J26" s="883" t="e">
        <f>+D26/BALANCE!$H$11</f>
        <v>#DIV/0!</v>
      </c>
    </row>
    <row r="27" spans="1:10">
      <c r="A27" s="568">
        <v>16</v>
      </c>
      <c r="B27" s="537"/>
      <c r="C27" s="958"/>
      <c r="D27" s="781"/>
      <c r="E27" s="782"/>
      <c r="F27" s="783"/>
      <c r="G27" s="950"/>
      <c r="H27" s="758"/>
      <c r="I27" s="758"/>
      <c r="J27" s="883" t="e">
        <f>+D27/BALANCE!$H$11</f>
        <v>#DIV/0!</v>
      </c>
    </row>
    <row r="28" spans="1:10">
      <c r="A28" s="568">
        <v>17</v>
      </c>
      <c r="B28" s="537"/>
      <c r="C28" s="958"/>
      <c r="D28" s="781"/>
      <c r="E28" s="782"/>
      <c r="F28" s="783"/>
      <c r="G28" s="950"/>
      <c r="H28" s="758"/>
      <c r="I28" s="758"/>
      <c r="J28" s="883" t="e">
        <f>+D28/BALANCE!$H$11</f>
        <v>#DIV/0!</v>
      </c>
    </row>
    <row r="29" spans="1:10">
      <c r="A29" s="568">
        <v>18</v>
      </c>
      <c r="B29" s="537"/>
      <c r="C29" s="958"/>
      <c r="D29" s="781"/>
      <c r="E29" s="782"/>
      <c r="F29" s="783"/>
      <c r="G29" s="950"/>
      <c r="H29" s="758"/>
      <c r="I29" s="758"/>
      <c r="J29" s="883" t="e">
        <f>+D29/BALANCE!$H$11</f>
        <v>#DIV/0!</v>
      </c>
    </row>
    <row r="30" spans="1:10">
      <c r="A30" s="568">
        <v>19</v>
      </c>
      <c r="B30" s="537"/>
      <c r="C30" s="958"/>
      <c r="D30" s="781"/>
      <c r="E30" s="782"/>
      <c r="F30" s="783"/>
      <c r="G30" s="950"/>
      <c r="H30" s="758"/>
      <c r="I30" s="758"/>
      <c r="J30" s="883" t="e">
        <f>+D30/BALANCE!$H$11</f>
        <v>#DIV/0!</v>
      </c>
    </row>
    <row r="31" spans="1:10">
      <c r="A31" s="569">
        <v>20</v>
      </c>
      <c r="B31" s="537"/>
      <c r="C31" s="958"/>
      <c r="D31" s="781"/>
      <c r="E31" s="782"/>
      <c r="F31" s="783"/>
      <c r="G31" s="950"/>
      <c r="H31" s="758"/>
      <c r="I31" s="758"/>
      <c r="J31" s="883" t="e">
        <f>+D31/BALANCE!$H$11</f>
        <v>#DIV/0!</v>
      </c>
    </row>
    <row r="32" spans="1:10">
      <c r="A32" s="568">
        <v>21</v>
      </c>
      <c r="B32" s="537"/>
      <c r="C32" s="958"/>
      <c r="D32" s="781"/>
      <c r="E32" s="782"/>
      <c r="F32" s="783"/>
      <c r="G32" s="950"/>
      <c r="H32" s="758"/>
      <c r="I32" s="758"/>
      <c r="J32" s="883" t="e">
        <f>+D32/BALANCE!$H$11</f>
        <v>#DIV/0!</v>
      </c>
    </row>
    <row r="33" spans="1:10">
      <c r="A33" s="569">
        <v>22</v>
      </c>
      <c r="B33" s="537"/>
      <c r="C33" s="958"/>
      <c r="D33" s="781"/>
      <c r="E33" s="782"/>
      <c r="F33" s="783"/>
      <c r="G33" s="950"/>
      <c r="H33" s="758"/>
      <c r="I33" s="758"/>
      <c r="J33" s="883" t="e">
        <f>+D33/BALANCE!$H$11</f>
        <v>#DIV/0!</v>
      </c>
    </row>
    <row r="34" spans="1:10">
      <c r="A34" s="568">
        <v>23</v>
      </c>
      <c r="B34" s="537"/>
      <c r="C34" s="958"/>
      <c r="D34" s="781"/>
      <c r="E34" s="782"/>
      <c r="F34" s="783"/>
      <c r="G34" s="950"/>
      <c r="H34" s="758"/>
      <c r="I34" s="758"/>
      <c r="J34" s="883" t="e">
        <f>+D34/BALANCE!$H$11</f>
        <v>#DIV/0!</v>
      </c>
    </row>
    <row r="35" spans="1:10">
      <c r="A35" s="569">
        <v>24</v>
      </c>
      <c r="B35" s="537"/>
      <c r="C35" s="958"/>
      <c r="D35" s="781"/>
      <c r="E35" s="782"/>
      <c r="F35" s="783"/>
      <c r="G35" s="950"/>
      <c r="H35" s="758"/>
      <c r="I35" s="758"/>
      <c r="J35" s="883" t="e">
        <f>+D35/BALANCE!$H$11</f>
        <v>#DIV/0!</v>
      </c>
    </row>
    <row r="36" spans="1:10">
      <c r="A36" s="568">
        <v>25</v>
      </c>
      <c r="B36" s="537"/>
      <c r="C36" s="958"/>
      <c r="D36" s="781"/>
      <c r="E36" s="782"/>
      <c r="F36" s="783"/>
      <c r="G36" s="950"/>
      <c r="H36" s="758"/>
      <c r="I36" s="758"/>
      <c r="J36" s="883" t="e">
        <f>+D36/BALANCE!$H$11</f>
        <v>#DIV/0!</v>
      </c>
    </row>
    <row r="37" spans="1:10">
      <c r="A37" s="569">
        <v>26</v>
      </c>
      <c r="B37" s="537"/>
      <c r="C37" s="958"/>
      <c r="D37" s="781"/>
      <c r="E37" s="782"/>
      <c r="F37" s="783"/>
      <c r="G37" s="950"/>
      <c r="H37" s="758"/>
      <c r="I37" s="758"/>
      <c r="J37" s="883" t="e">
        <f>+D37/BALANCE!$H$11</f>
        <v>#DIV/0!</v>
      </c>
    </row>
    <row r="38" spans="1:10">
      <c r="A38" s="568">
        <v>27</v>
      </c>
      <c r="B38" s="537"/>
      <c r="C38" s="958"/>
      <c r="D38" s="781"/>
      <c r="E38" s="782"/>
      <c r="F38" s="783"/>
      <c r="G38" s="950"/>
      <c r="H38" s="758"/>
      <c r="I38" s="758"/>
      <c r="J38" s="883" t="e">
        <f>+D38/BALANCE!$H$11</f>
        <v>#DIV/0!</v>
      </c>
    </row>
    <row r="39" spans="1:10">
      <c r="A39" s="569">
        <v>28</v>
      </c>
      <c r="B39" s="537"/>
      <c r="C39" s="958"/>
      <c r="D39" s="781"/>
      <c r="E39" s="782"/>
      <c r="F39" s="783"/>
      <c r="G39" s="950"/>
      <c r="H39" s="758"/>
      <c r="I39" s="758"/>
      <c r="J39" s="883" t="e">
        <f>+D39/BALANCE!$H$11</f>
        <v>#DIV/0!</v>
      </c>
    </row>
    <row r="40" spans="1:10">
      <c r="A40" s="568">
        <v>29</v>
      </c>
      <c r="B40" s="537"/>
      <c r="C40" s="958"/>
      <c r="D40" s="781"/>
      <c r="E40" s="782"/>
      <c r="F40" s="783"/>
      <c r="G40" s="950"/>
      <c r="H40" s="758"/>
      <c r="I40" s="758"/>
      <c r="J40" s="883" t="e">
        <f>+D40/BALANCE!$H$11</f>
        <v>#DIV/0!</v>
      </c>
    </row>
    <row r="41" spans="1:10">
      <c r="A41" s="569">
        <v>30</v>
      </c>
      <c r="B41" s="537"/>
      <c r="C41" s="958"/>
      <c r="D41" s="781"/>
      <c r="E41" s="782"/>
      <c r="F41" s="783"/>
      <c r="G41" s="950"/>
      <c r="H41" s="758"/>
      <c r="I41" s="758"/>
      <c r="J41" s="883" t="e">
        <f>+D41/BALANCE!$H$11</f>
        <v>#DIV/0!</v>
      </c>
    </row>
    <row r="42" spans="1:10">
      <c r="A42" s="568">
        <v>31</v>
      </c>
      <c r="B42" s="537"/>
      <c r="C42" s="958"/>
      <c r="D42" s="781"/>
      <c r="E42" s="782"/>
      <c r="F42" s="783"/>
      <c r="G42" s="950"/>
      <c r="H42" s="758"/>
      <c r="I42" s="758"/>
      <c r="J42" s="883" t="e">
        <f>+D42/BALANCE!$H$11</f>
        <v>#DIV/0!</v>
      </c>
    </row>
    <row r="43" spans="1:10">
      <c r="A43" s="569">
        <v>32</v>
      </c>
      <c r="B43" s="537"/>
      <c r="C43" s="958"/>
      <c r="D43" s="781"/>
      <c r="E43" s="782"/>
      <c r="F43" s="783"/>
      <c r="G43" s="950"/>
      <c r="H43" s="758"/>
      <c r="I43" s="758"/>
      <c r="J43" s="883" t="e">
        <f>+D43/BALANCE!$H$11</f>
        <v>#DIV/0!</v>
      </c>
    </row>
    <row r="44" spans="1:10">
      <c r="A44" s="568">
        <v>33</v>
      </c>
      <c r="B44" s="537"/>
      <c r="C44" s="958"/>
      <c r="D44" s="781"/>
      <c r="E44" s="782"/>
      <c r="F44" s="783"/>
      <c r="G44" s="950"/>
      <c r="H44" s="758"/>
      <c r="I44" s="758"/>
      <c r="J44" s="883" t="e">
        <f>+D44/BALANCE!$H$11</f>
        <v>#DIV/0!</v>
      </c>
    </row>
    <row r="45" spans="1:10">
      <c r="A45" s="569">
        <v>34</v>
      </c>
      <c r="B45" s="537"/>
      <c r="C45" s="958"/>
      <c r="D45" s="781"/>
      <c r="E45" s="782"/>
      <c r="F45" s="783"/>
      <c r="G45" s="950"/>
      <c r="H45" s="758"/>
      <c r="I45" s="758"/>
      <c r="J45" s="883" t="e">
        <f>+D45/BALANCE!$H$11</f>
        <v>#DIV/0!</v>
      </c>
    </row>
    <row r="46" spans="1:10">
      <c r="A46" s="568">
        <v>35</v>
      </c>
      <c r="B46" s="537"/>
      <c r="C46" s="958"/>
      <c r="D46" s="781"/>
      <c r="E46" s="782"/>
      <c r="F46" s="783"/>
      <c r="G46" s="950"/>
      <c r="H46" s="758"/>
      <c r="I46" s="758"/>
      <c r="J46" s="883" t="e">
        <f>+D46/BALANCE!$H$11</f>
        <v>#DIV/0!</v>
      </c>
    </row>
    <row r="47" spans="1:10">
      <c r="A47" s="569">
        <v>36</v>
      </c>
      <c r="B47" s="537"/>
      <c r="C47" s="958"/>
      <c r="D47" s="781"/>
      <c r="E47" s="782"/>
      <c r="F47" s="783"/>
      <c r="G47" s="950"/>
      <c r="H47" s="758"/>
      <c r="I47" s="758"/>
      <c r="J47" s="883" t="e">
        <f>+D47/BALANCE!$H$11</f>
        <v>#DIV/0!</v>
      </c>
    </row>
    <row r="48" spans="1:10">
      <c r="A48" s="568">
        <v>37</v>
      </c>
      <c r="B48" s="537"/>
      <c r="C48" s="958"/>
      <c r="D48" s="781"/>
      <c r="E48" s="782"/>
      <c r="F48" s="783"/>
      <c r="G48" s="950"/>
      <c r="H48" s="758"/>
      <c r="I48" s="758"/>
      <c r="J48" s="883" t="e">
        <f>+D48/BALANCE!$H$11</f>
        <v>#DIV/0!</v>
      </c>
    </row>
    <row r="49" spans="1:10">
      <c r="A49" s="569">
        <v>38</v>
      </c>
      <c r="B49" s="537"/>
      <c r="C49" s="958"/>
      <c r="D49" s="781"/>
      <c r="E49" s="782"/>
      <c r="F49" s="783"/>
      <c r="G49" s="950"/>
      <c r="H49" s="758"/>
      <c r="I49" s="758"/>
      <c r="J49" s="883" t="e">
        <f>+D49/BALANCE!$H$11</f>
        <v>#DIV/0!</v>
      </c>
    </row>
    <row r="50" spans="1:10">
      <c r="A50" s="568">
        <v>39</v>
      </c>
      <c r="B50" s="537"/>
      <c r="C50" s="958"/>
      <c r="D50" s="781"/>
      <c r="E50" s="782"/>
      <c r="F50" s="783"/>
      <c r="G50" s="950"/>
      <c r="H50" s="758"/>
      <c r="I50" s="758"/>
      <c r="J50" s="883" t="e">
        <f>+D50/BALANCE!$H$11</f>
        <v>#DIV/0!</v>
      </c>
    </row>
    <row r="51" spans="1:10" ht="15.75" thickBot="1">
      <c r="A51" s="569">
        <v>40</v>
      </c>
      <c r="B51" s="565"/>
      <c r="C51" s="959"/>
      <c r="D51" s="784"/>
      <c r="E51" s="785"/>
      <c r="F51" s="786"/>
      <c r="G51" s="951"/>
      <c r="H51" s="787"/>
      <c r="I51" s="787"/>
      <c r="J51" s="883" t="e">
        <f>+D51/BALANCE!$H$11</f>
        <v>#DIV/0!</v>
      </c>
    </row>
    <row r="52" spans="1:10" ht="15.75" thickBot="1">
      <c r="A52" s="1181" t="s">
        <v>566</v>
      </c>
      <c r="B52" s="1177"/>
      <c r="C52" s="570"/>
      <c r="D52" s="788">
        <f>SUM(D12:D51)</f>
        <v>0</v>
      </c>
      <c r="E52" s="788"/>
      <c r="F52" s="789"/>
      <c r="G52" s="789"/>
      <c r="H52" s="789"/>
      <c r="I52" s="789"/>
      <c r="J52" s="884" t="e">
        <f>SUM(J12:J51)</f>
        <v>#DIV/0!</v>
      </c>
    </row>
    <row r="53" spans="1:10">
      <c r="A53" s="311"/>
      <c r="B53" s="311"/>
      <c r="C53" s="311"/>
      <c r="D53" s="695"/>
      <c r="E53" s="695"/>
      <c r="F53" s="695"/>
      <c r="G53" s="695"/>
      <c r="H53" s="1159" t="s">
        <v>581</v>
      </c>
      <c r="I53" s="1159"/>
      <c r="J53" s="885" t="e">
        <f>MAX(J12:J51)</f>
        <v>#DIV/0!</v>
      </c>
    </row>
    <row r="54" spans="1:10">
      <c r="A54" s="311"/>
      <c r="B54" s="220"/>
      <c r="C54" s="15"/>
      <c r="D54" s="15"/>
      <c r="E54" s="15"/>
      <c r="F54" s="15"/>
      <c r="G54" s="311"/>
      <c r="H54" s="311"/>
      <c r="I54" s="311"/>
      <c r="J54" s="311"/>
    </row>
    <row r="55" spans="1:10">
      <c r="A55" s="311"/>
      <c r="B55" s="311"/>
      <c r="C55" s="15"/>
      <c r="D55" s="15"/>
      <c r="E55" s="571"/>
      <c r="F55" s="311"/>
      <c r="G55" s="311"/>
      <c r="H55" s="311"/>
      <c r="I55" s="311"/>
      <c r="J55" s="540" t="str">
        <f>IF(D52&lt;=BALANCESHEET!G11,"","Балансийн дүнтэй зөрүүтэй байна")</f>
        <v/>
      </c>
    </row>
    <row r="56" spans="1:10">
      <c r="A56" s="1010" t="s">
        <v>232</v>
      </c>
      <c r="B56" s="1010"/>
      <c r="C56" s="1010"/>
      <c r="D56" s="1010"/>
      <c r="E56" s="1010"/>
      <c r="F56" s="1010"/>
      <c r="G56" s="1010"/>
      <c r="H56" s="1010"/>
      <c r="I56" s="1010"/>
      <c r="J56" s="1010"/>
    </row>
    <row r="57" spans="1:10">
      <c r="A57" s="1053" t="s">
        <v>233</v>
      </c>
      <c r="B57" s="1053"/>
      <c r="C57" s="1053"/>
      <c r="D57" s="1053"/>
      <c r="E57" s="1053"/>
      <c r="F57" s="1053"/>
      <c r="G57" s="1053"/>
      <c r="H57" s="1053"/>
      <c r="I57" s="1053"/>
      <c r="J57" s="1053"/>
    </row>
    <row r="58" spans="1:10">
      <c r="A58" s="311"/>
      <c r="B58" s="311"/>
      <c r="C58" s="311"/>
      <c r="D58" s="240"/>
      <c r="E58" s="311"/>
      <c r="F58" s="311"/>
      <c r="G58" s="311"/>
      <c r="H58" s="311"/>
      <c r="I58" s="311"/>
      <c r="J58" s="311"/>
    </row>
    <row r="59" spans="1:10">
      <c r="A59" s="311"/>
      <c r="B59" s="311"/>
      <c r="C59" s="311"/>
      <c r="D59" s="240"/>
      <c r="E59" s="235" t="s">
        <v>234</v>
      </c>
      <c r="F59" s="311"/>
      <c r="G59" s="311" t="str">
        <f>+STATISTICS!C94</f>
        <v>/Нэр/</v>
      </c>
      <c r="H59" s="311"/>
      <c r="I59" s="311"/>
      <c r="J59" s="312"/>
    </row>
    <row r="60" spans="1:10">
      <c r="A60" s="311"/>
      <c r="B60" s="311"/>
      <c r="C60" s="311"/>
      <c r="D60" s="240"/>
      <c r="E60" s="236"/>
      <c r="F60" s="311"/>
      <c r="G60" s="311"/>
      <c r="H60" s="311"/>
      <c r="I60" s="311"/>
      <c r="J60" s="311"/>
    </row>
    <row r="61" spans="1:10">
      <c r="D61" s="240"/>
      <c r="E61" s="235" t="s">
        <v>236</v>
      </c>
      <c r="G61" s="311" t="str">
        <f>+STATISTICS!C96</f>
        <v>/Нэр/</v>
      </c>
    </row>
  </sheetData>
  <sheetProtection algorithmName="SHA-512" hashValue="6ckm7bY1DLACooe2r4W8ivhtJtnODMSEcYaxpCiNEC/zi+kDlqvqwoWN4+3vFixgZlaCVy0nt6StIb2hrNL9ZQ==" saltValue="cddee/Fe0lkAobYMyLRc4g==" spinCount="100000" sheet="1" objects="1" scenarios="1" formatCells="0" formatColumns="0" formatRows="0" insertColumns="0" insertRows="0" insertHyperlinks="0" deleteColumns="0" deleteRows="0" sort="0" autoFilter="0" pivotTables="0"/>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1:J1"/>
    <mergeCell ref="G2:J2"/>
    <mergeCell ref="A4:J4"/>
    <mergeCell ref="A5:J5"/>
    <mergeCell ref="A6:J6"/>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0" workbookViewId="0">
      <selection activeCell="D51" sqref="D51"/>
    </sheetView>
  </sheetViews>
  <sheetFormatPr defaultRowHeight="12.75"/>
  <cols>
    <col min="1" max="1" width="4.85546875" style="542" customWidth="1"/>
    <col min="2" max="2" width="43.7109375" style="542" customWidth="1"/>
    <col min="3" max="3" width="28.28515625" style="542" customWidth="1"/>
    <col min="4" max="4" width="30.28515625" style="542" customWidth="1"/>
    <col min="5" max="5" width="9.140625" style="542"/>
    <col min="6" max="16384" width="9.140625" style="535"/>
  </cols>
  <sheetData>
    <row r="1" spans="1:6">
      <c r="A1" s="311"/>
      <c r="B1" s="311"/>
      <c r="D1" s="138" t="s">
        <v>749</v>
      </c>
      <c r="E1" s="453"/>
      <c r="F1" s="429"/>
    </row>
    <row r="2" spans="1:6">
      <c r="A2" s="311"/>
      <c r="B2" s="311"/>
      <c r="D2" s="138" t="s">
        <v>755</v>
      </c>
      <c r="E2" s="453"/>
      <c r="F2" s="429"/>
    </row>
    <row r="3" spans="1:6">
      <c r="A3" s="311"/>
      <c r="B3" s="311"/>
      <c r="C3" s="311"/>
      <c r="D3" s="311"/>
    </row>
    <row r="4" spans="1:6">
      <c r="A4" s="1010" t="s">
        <v>582</v>
      </c>
      <c r="B4" s="1151"/>
      <c r="C4" s="1151"/>
      <c r="D4" s="1151"/>
    </row>
    <row r="5" spans="1:6">
      <c r="A5" s="1032" t="str">
        <f>+STATISTICS!A4</f>
        <v>ХАДГАЛАМЖ, ЗЭЭЛИЙН ХОРШООНЫ НЭР</v>
      </c>
      <c r="B5" s="1151"/>
      <c r="C5" s="1151"/>
      <c r="D5" s="1151"/>
    </row>
    <row r="6" spans="1:6">
      <c r="A6" s="1010" t="s">
        <v>4</v>
      </c>
      <c r="B6" s="1151"/>
      <c r="C6" s="1151"/>
      <c r="D6" s="1151"/>
    </row>
    <row r="7" spans="1:6">
      <c r="A7" s="311"/>
      <c r="B7" s="311"/>
      <c r="C7" s="311"/>
      <c r="D7" s="311"/>
    </row>
    <row r="8" spans="1:6" ht="13.5" thickBot="1">
      <c r="A8" s="1166" t="str">
        <f>+STATISTICS!A7</f>
        <v>Огноо</v>
      </c>
      <c r="B8" s="1167"/>
      <c r="C8" s="554"/>
      <c r="D8" s="391" t="s">
        <v>5</v>
      </c>
    </row>
    <row r="9" spans="1:6">
      <c r="A9" s="1164" t="s">
        <v>237</v>
      </c>
      <c r="B9" s="1162" t="s">
        <v>587</v>
      </c>
      <c r="C9" s="1162" t="s">
        <v>583</v>
      </c>
      <c r="D9" s="1182" t="s">
        <v>584</v>
      </c>
    </row>
    <row r="10" spans="1:6" ht="13.5" thickBot="1">
      <c r="A10" s="1165"/>
      <c r="B10" s="1163"/>
      <c r="C10" s="1163"/>
      <c r="D10" s="1158"/>
    </row>
    <row r="11" spans="1:6">
      <c r="A11" s="567">
        <v>1</v>
      </c>
      <c r="B11" s="536"/>
      <c r="C11" s="563"/>
      <c r="D11" s="572" t="e">
        <f>+C11/BALANCE!$H$53</f>
        <v>#DIV/0!</v>
      </c>
    </row>
    <row r="12" spans="1:6">
      <c r="A12" s="568">
        <v>2</v>
      </c>
      <c r="B12" s="537"/>
      <c r="C12" s="564"/>
      <c r="D12" s="572" t="e">
        <f>+C12/BALANCE!$H$53</f>
        <v>#DIV/0!</v>
      </c>
    </row>
    <row r="13" spans="1:6">
      <c r="A13" s="568">
        <v>3</v>
      </c>
      <c r="B13" s="537"/>
      <c r="C13" s="564"/>
      <c r="D13" s="572" t="e">
        <f>+C13/BALANCE!$H$53</f>
        <v>#DIV/0!</v>
      </c>
    </row>
    <row r="14" spans="1:6">
      <c r="A14" s="568">
        <v>4</v>
      </c>
      <c r="B14" s="537"/>
      <c r="C14" s="564"/>
      <c r="D14" s="572" t="e">
        <f>+C14/BALANCE!$H$53</f>
        <v>#DIV/0!</v>
      </c>
    </row>
    <row r="15" spans="1:6">
      <c r="A15" s="568">
        <v>5</v>
      </c>
      <c r="B15" s="537"/>
      <c r="C15" s="564"/>
      <c r="D15" s="572" t="e">
        <f>+C15/BALANCE!$H$53</f>
        <v>#DIV/0!</v>
      </c>
    </row>
    <row r="16" spans="1:6">
      <c r="A16" s="568">
        <v>6</v>
      </c>
      <c r="B16" s="537"/>
      <c r="C16" s="564"/>
      <c r="D16" s="572" t="e">
        <f>+C16/BALANCE!$H$53</f>
        <v>#DIV/0!</v>
      </c>
    </row>
    <row r="17" spans="1:4">
      <c r="A17" s="568">
        <v>7</v>
      </c>
      <c r="B17" s="537"/>
      <c r="C17" s="564"/>
      <c r="D17" s="572" t="e">
        <f>+C17/BALANCE!$H$53</f>
        <v>#DIV/0!</v>
      </c>
    </row>
    <row r="18" spans="1:4">
      <c r="A18" s="568">
        <v>8</v>
      </c>
      <c r="B18" s="537"/>
      <c r="C18" s="564"/>
      <c r="D18" s="572" t="e">
        <f>+C18/BALANCE!$H$53</f>
        <v>#DIV/0!</v>
      </c>
    </row>
    <row r="19" spans="1:4">
      <c r="A19" s="568">
        <v>9</v>
      </c>
      <c r="B19" s="537"/>
      <c r="C19" s="564"/>
      <c r="D19" s="572" t="e">
        <f>+C19/BALANCE!$H$53</f>
        <v>#DIV/0!</v>
      </c>
    </row>
    <row r="20" spans="1:4">
      <c r="A20" s="568">
        <v>10</v>
      </c>
      <c r="B20" s="537"/>
      <c r="C20" s="564"/>
      <c r="D20" s="572" t="e">
        <f>+C20/BALANCE!$H$53</f>
        <v>#DIV/0!</v>
      </c>
    </row>
    <row r="21" spans="1:4">
      <c r="A21" s="568">
        <v>11</v>
      </c>
      <c r="B21" s="537"/>
      <c r="C21" s="564"/>
      <c r="D21" s="572" t="e">
        <f>+C21/BALANCE!$H$53</f>
        <v>#DIV/0!</v>
      </c>
    </row>
    <row r="22" spans="1:4">
      <c r="A22" s="568">
        <v>12</v>
      </c>
      <c r="B22" s="537"/>
      <c r="C22" s="564"/>
      <c r="D22" s="572" t="e">
        <f>+C22/BALANCE!$H$53</f>
        <v>#DIV/0!</v>
      </c>
    </row>
    <row r="23" spans="1:4">
      <c r="A23" s="568">
        <v>13</v>
      </c>
      <c r="B23" s="537"/>
      <c r="C23" s="564"/>
      <c r="D23" s="572" t="e">
        <f>+C23/BALANCE!$H$53</f>
        <v>#DIV/0!</v>
      </c>
    </row>
    <row r="24" spans="1:4">
      <c r="A24" s="568">
        <v>14</v>
      </c>
      <c r="B24" s="537"/>
      <c r="C24" s="564"/>
      <c r="D24" s="572" t="e">
        <f>+C24/BALANCE!$H$53</f>
        <v>#DIV/0!</v>
      </c>
    </row>
    <row r="25" spans="1:4">
      <c r="A25" s="568">
        <v>15</v>
      </c>
      <c r="B25" s="537"/>
      <c r="C25" s="564"/>
      <c r="D25" s="572" t="e">
        <f>+C25/BALANCE!$H$53</f>
        <v>#DIV/0!</v>
      </c>
    </row>
    <row r="26" spans="1:4">
      <c r="A26" s="568">
        <v>16</v>
      </c>
      <c r="B26" s="537"/>
      <c r="C26" s="564"/>
      <c r="D26" s="572" t="e">
        <f>+C26/BALANCE!$H$53</f>
        <v>#DIV/0!</v>
      </c>
    </row>
    <row r="27" spans="1:4">
      <c r="A27" s="568">
        <v>17</v>
      </c>
      <c r="B27" s="537"/>
      <c r="C27" s="564"/>
      <c r="D27" s="572" t="e">
        <f>+C27/BALANCE!$H$53</f>
        <v>#DIV/0!</v>
      </c>
    </row>
    <row r="28" spans="1:4">
      <c r="A28" s="568">
        <v>18</v>
      </c>
      <c r="B28" s="537"/>
      <c r="C28" s="564"/>
      <c r="D28" s="572" t="e">
        <f>+C28/BALANCE!$H$53</f>
        <v>#DIV/0!</v>
      </c>
    </row>
    <row r="29" spans="1:4">
      <c r="A29" s="568">
        <v>19</v>
      </c>
      <c r="B29" s="537"/>
      <c r="C29" s="564"/>
      <c r="D29" s="572" t="e">
        <f>+C29/BALANCE!$H$53</f>
        <v>#DIV/0!</v>
      </c>
    </row>
    <row r="30" spans="1:4">
      <c r="A30" s="568">
        <v>20</v>
      </c>
      <c r="B30" s="537"/>
      <c r="C30" s="564"/>
      <c r="D30" s="572" t="e">
        <f>+C30/BALANCE!$H$53</f>
        <v>#DIV/0!</v>
      </c>
    </row>
    <row r="31" spans="1:4">
      <c r="A31" s="568">
        <v>21</v>
      </c>
      <c r="B31" s="537"/>
      <c r="C31" s="564"/>
      <c r="D31" s="572" t="e">
        <f>+C31/BALANCE!$H$53</f>
        <v>#DIV/0!</v>
      </c>
    </row>
    <row r="32" spans="1:4">
      <c r="A32" s="569">
        <v>22</v>
      </c>
      <c r="B32" s="537"/>
      <c r="C32" s="564"/>
      <c r="D32" s="572" t="e">
        <f>+C32/BALANCE!$H$53</f>
        <v>#DIV/0!</v>
      </c>
    </row>
    <row r="33" spans="1:4">
      <c r="A33" s="568">
        <v>23</v>
      </c>
      <c r="B33" s="537"/>
      <c r="C33" s="564"/>
      <c r="D33" s="572" t="e">
        <f>+C33/BALANCE!$H$53</f>
        <v>#DIV/0!</v>
      </c>
    </row>
    <row r="34" spans="1:4">
      <c r="A34" s="569">
        <v>24</v>
      </c>
      <c r="B34" s="537"/>
      <c r="C34" s="564"/>
      <c r="D34" s="572" t="e">
        <f>+C34/BALANCE!$H$53</f>
        <v>#DIV/0!</v>
      </c>
    </row>
    <row r="35" spans="1:4">
      <c r="A35" s="568">
        <v>25</v>
      </c>
      <c r="B35" s="537"/>
      <c r="C35" s="564"/>
      <c r="D35" s="572" t="e">
        <f>+C35/BALANCE!$H$53</f>
        <v>#DIV/0!</v>
      </c>
    </row>
    <row r="36" spans="1:4">
      <c r="A36" s="569">
        <v>26</v>
      </c>
      <c r="B36" s="537"/>
      <c r="C36" s="564"/>
      <c r="D36" s="572" t="e">
        <f>+C36/BALANCE!$H$53</f>
        <v>#DIV/0!</v>
      </c>
    </row>
    <row r="37" spans="1:4">
      <c r="A37" s="568">
        <v>27</v>
      </c>
      <c r="B37" s="537"/>
      <c r="C37" s="564"/>
      <c r="D37" s="572" t="e">
        <f>+C37/BALANCE!$H$53</f>
        <v>#DIV/0!</v>
      </c>
    </row>
    <row r="38" spans="1:4">
      <c r="A38" s="569">
        <v>28</v>
      </c>
      <c r="B38" s="537"/>
      <c r="C38" s="564"/>
      <c r="D38" s="572" t="e">
        <f>+C38/BALANCE!$H$53</f>
        <v>#DIV/0!</v>
      </c>
    </row>
    <row r="39" spans="1:4">
      <c r="A39" s="568">
        <v>29</v>
      </c>
      <c r="B39" s="537"/>
      <c r="C39" s="564"/>
      <c r="D39" s="572" t="e">
        <f>+C39/BALANCE!$H$53</f>
        <v>#DIV/0!</v>
      </c>
    </row>
    <row r="40" spans="1:4">
      <c r="A40" s="569">
        <v>30</v>
      </c>
      <c r="B40" s="537"/>
      <c r="C40" s="564"/>
      <c r="D40" s="572" t="e">
        <f>+C40/BALANCE!$H$53</f>
        <v>#DIV/0!</v>
      </c>
    </row>
    <row r="41" spans="1:4">
      <c r="A41" s="568">
        <v>31</v>
      </c>
      <c r="B41" s="537"/>
      <c r="C41" s="564"/>
      <c r="D41" s="572" t="e">
        <f>+C41/BALANCE!$H$53</f>
        <v>#DIV/0!</v>
      </c>
    </row>
    <row r="42" spans="1:4">
      <c r="A42" s="569">
        <v>32</v>
      </c>
      <c r="B42" s="537"/>
      <c r="C42" s="564"/>
      <c r="D42" s="572" t="e">
        <f>+C42/BALANCE!$H$53</f>
        <v>#DIV/0!</v>
      </c>
    </row>
    <row r="43" spans="1:4">
      <c r="A43" s="568">
        <v>33</v>
      </c>
      <c r="B43" s="537"/>
      <c r="C43" s="564"/>
      <c r="D43" s="572" t="e">
        <f>+C43/BALANCE!$H$53</f>
        <v>#DIV/0!</v>
      </c>
    </row>
    <row r="44" spans="1:4">
      <c r="A44" s="569">
        <v>34</v>
      </c>
      <c r="B44" s="537"/>
      <c r="C44" s="564"/>
      <c r="D44" s="572" t="e">
        <f>+C44/BALANCE!$H$53</f>
        <v>#DIV/0!</v>
      </c>
    </row>
    <row r="45" spans="1:4">
      <c r="A45" s="568">
        <v>35</v>
      </c>
      <c r="B45" s="537"/>
      <c r="C45" s="564"/>
      <c r="D45" s="572" t="e">
        <f>+C45/BALANCE!$H$53</f>
        <v>#DIV/0!</v>
      </c>
    </row>
    <row r="46" spans="1:4">
      <c r="A46" s="569">
        <v>36</v>
      </c>
      <c r="B46" s="537"/>
      <c r="C46" s="564"/>
      <c r="D46" s="572" t="e">
        <f>+C46/BALANCE!$H$53</f>
        <v>#DIV/0!</v>
      </c>
    </row>
    <row r="47" spans="1:4">
      <c r="A47" s="568">
        <v>37</v>
      </c>
      <c r="B47" s="537"/>
      <c r="C47" s="564"/>
      <c r="D47" s="572" t="e">
        <f>+C47/BALANCE!$H$53</f>
        <v>#DIV/0!</v>
      </c>
    </row>
    <row r="48" spans="1:4">
      <c r="A48" s="569">
        <v>38</v>
      </c>
      <c r="B48" s="537"/>
      <c r="C48" s="564"/>
      <c r="D48" s="572" t="e">
        <f>+C48/BALANCE!$H$53</f>
        <v>#DIV/0!</v>
      </c>
    </row>
    <row r="49" spans="1:4">
      <c r="A49" s="568">
        <v>39</v>
      </c>
      <c r="B49" s="537"/>
      <c r="C49" s="564"/>
      <c r="D49" s="572" t="e">
        <f>+C49/BALANCE!$H$53</f>
        <v>#DIV/0!</v>
      </c>
    </row>
    <row r="50" spans="1:4" ht="13.5" thickBot="1">
      <c r="A50" s="568">
        <v>40</v>
      </c>
      <c r="B50" s="565"/>
      <c r="C50" s="566"/>
      <c r="D50" s="572" t="e">
        <f>+C50/BALANCE!$H$53</f>
        <v>#DIV/0!</v>
      </c>
    </row>
    <row r="51" spans="1:4" ht="15" customHeight="1" thickBot="1">
      <c r="A51" s="1181" t="s">
        <v>566</v>
      </c>
      <c r="B51" s="1177"/>
      <c r="C51" s="573">
        <f>SUM(C11:C50)</f>
        <v>0</v>
      </c>
      <c r="D51" s="560" t="e">
        <f>SUM(D11:D50)</f>
        <v>#DIV/0!</v>
      </c>
    </row>
    <row r="52" spans="1:4">
      <c r="B52" s="574" t="s">
        <v>586</v>
      </c>
      <c r="C52" s="575">
        <f t="shared" ref="C52" si="0">MAX(C11:C30)</f>
        <v>0</v>
      </c>
      <c r="D52" s="576" t="e">
        <f>MAX(D11:D50)</f>
        <v>#DIV/0!</v>
      </c>
    </row>
    <row r="53" spans="1:4">
      <c r="A53" s="311"/>
      <c r="B53" s="311"/>
      <c r="C53" s="311"/>
    </row>
    <row r="54" spans="1:4">
      <c r="A54" s="311"/>
      <c r="B54" s="311" t="s">
        <v>585</v>
      </c>
      <c r="C54" s="311"/>
      <c r="D54" s="577" t="str">
        <f>IF(C51&lt;=BALANCESHEET!G36,"","Балансийн дүнтэй зөрүүтэй байна")</f>
        <v/>
      </c>
    </row>
    <row r="55" spans="1:4">
      <c r="A55" s="311"/>
      <c r="B55" s="311"/>
      <c r="C55" s="311"/>
      <c r="D55" s="311"/>
    </row>
    <row r="56" spans="1:4">
      <c r="A56" s="1010" t="s">
        <v>232</v>
      </c>
      <c r="B56" s="1010"/>
      <c r="C56" s="1010"/>
      <c r="D56" s="1010"/>
    </row>
    <row r="57" spans="1:4">
      <c r="A57" s="1053" t="s">
        <v>233</v>
      </c>
      <c r="B57" s="1053"/>
      <c r="C57" s="1053"/>
      <c r="D57" s="1053"/>
    </row>
    <row r="58" spans="1:4">
      <c r="A58" s="311"/>
      <c r="B58" s="311"/>
      <c r="C58" s="311"/>
      <c r="D58" s="311"/>
    </row>
    <row r="59" spans="1:4">
      <c r="A59" s="311"/>
      <c r="B59" s="235" t="s">
        <v>234</v>
      </c>
      <c r="C59" s="311" t="str">
        <f>+STATISTICS!C94</f>
        <v>/Нэр/</v>
      </c>
      <c r="D59" s="311"/>
    </row>
    <row r="60" spans="1:4">
      <c r="A60" s="311"/>
      <c r="B60" s="236"/>
      <c r="C60" s="311"/>
      <c r="D60" s="311"/>
    </row>
    <row r="61" spans="1:4">
      <c r="A61" s="311"/>
      <c r="B61" s="235" t="s">
        <v>236</v>
      </c>
      <c r="C61" s="311" t="str">
        <f>+STATISTICS!C96</f>
        <v>/Нэр/</v>
      </c>
      <c r="D61" s="311"/>
    </row>
    <row r="62" spans="1:4">
      <c r="A62" s="311"/>
      <c r="B62" s="311"/>
      <c r="C62" s="311"/>
      <c r="D62" s="311"/>
    </row>
  </sheetData>
  <sheetProtection algorithmName="SHA-512" hashValue="KO1gMMiD/7LOdgczkrCkX0KMEebm0GMbhWIVOT7qHaf+UPAH0S/UGTCTno0z5O8Xub7+6Gna6R+stuaXe5mHkQ==" saltValue="yBC+RYkYpii3nBL7kSFSGA==" spinCount="100000" sheet="1" objects="1" scenarios="1" formatCells="0" formatColumns="0" formatRows="0" insertColumns="0" insertRows="0" insertHyperlinks="0" deleteColumns="0" deleteRows="0" sort="0" autoFilter="0" pivotTables="0"/>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workbookViewId="0">
      <selection activeCell="C13" sqref="C13"/>
    </sheetView>
  </sheetViews>
  <sheetFormatPr defaultRowHeight="12.75"/>
  <cols>
    <col min="1" max="1" width="2" style="137" bestFit="1" customWidth="1"/>
    <col min="2" max="2" width="39.85546875" style="137" customWidth="1"/>
    <col min="3" max="3" width="11.85546875" style="137" bestFit="1" customWidth="1"/>
    <col min="4" max="11" width="17.7109375" style="137" customWidth="1"/>
    <col min="12" max="12" width="22.7109375" style="137" customWidth="1"/>
    <col min="13" max="13" width="9.140625" style="137"/>
    <col min="14" max="16384" width="9.140625" style="80"/>
  </cols>
  <sheetData>
    <row r="1" spans="1:13">
      <c r="A1" s="578"/>
      <c r="B1" s="578"/>
      <c r="C1" s="579"/>
      <c r="D1" s="579"/>
      <c r="E1" s="579"/>
      <c r="F1" s="579"/>
      <c r="G1" s="580"/>
      <c r="H1" s="581"/>
      <c r="I1" s="581"/>
      <c r="J1" s="581"/>
      <c r="K1" s="138" t="s">
        <v>749</v>
      </c>
    </row>
    <row r="2" spans="1:13">
      <c r="A2" s="578"/>
      <c r="B2" s="578"/>
      <c r="C2" s="579"/>
      <c r="D2" s="579"/>
      <c r="E2" s="579"/>
      <c r="F2" s="580"/>
      <c r="G2" s="582"/>
      <c r="H2" s="583"/>
      <c r="I2" s="578"/>
      <c r="J2" s="578"/>
      <c r="K2" s="138" t="s">
        <v>756</v>
      </c>
    </row>
    <row r="3" spans="1:13">
      <c r="A3" s="578"/>
      <c r="B3" s="578"/>
      <c r="C3" s="579"/>
      <c r="D3" s="579"/>
      <c r="E3" s="579"/>
      <c r="F3" s="579"/>
      <c r="G3" s="579"/>
      <c r="H3" s="584"/>
      <c r="I3" s="584"/>
      <c r="J3" s="584"/>
      <c r="K3" s="584"/>
    </row>
    <row r="4" spans="1:13">
      <c r="A4" s="1201" t="s">
        <v>588</v>
      </c>
      <c r="B4" s="1031"/>
      <c r="C4" s="1031"/>
      <c r="D4" s="1031"/>
      <c r="E4" s="1031"/>
      <c r="F4" s="1031"/>
      <c r="G4" s="1031"/>
      <c r="H4" s="1031"/>
      <c r="I4" s="1031"/>
      <c r="J4" s="1031"/>
      <c r="K4" s="1031"/>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85"/>
      <c r="B7" s="585"/>
      <c r="C7" s="586"/>
      <c r="D7" s="586"/>
      <c r="E7" s="586"/>
      <c r="F7" s="586"/>
      <c r="G7" s="586"/>
      <c r="H7" s="586"/>
      <c r="I7" s="586"/>
      <c r="J7" s="586"/>
      <c r="K7" s="586"/>
    </row>
    <row r="8" spans="1:13" ht="13.5" thickBot="1">
      <c r="A8" s="1205" t="str">
        <f>+STATISTICS!A7</f>
        <v>Огноо</v>
      </c>
      <c r="B8" s="1206"/>
      <c r="C8" s="587"/>
      <c r="D8" s="587"/>
      <c r="E8" s="586"/>
      <c r="F8" s="586"/>
      <c r="G8" s="586"/>
      <c r="H8" s="586"/>
      <c r="I8" s="586"/>
      <c r="J8" s="586"/>
      <c r="K8" s="391" t="s">
        <v>5</v>
      </c>
    </row>
    <row r="9" spans="1:13" ht="13.5" thickBot="1">
      <c r="A9" s="1207" t="s">
        <v>610</v>
      </c>
      <c r="B9" s="1208"/>
      <c r="C9" s="588" t="s">
        <v>291</v>
      </c>
      <c r="D9" s="589" t="s">
        <v>590</v>
      </c>
      <c r="E9" s="590" t="s">
        <v>591</v>
      </c>
      <c r="F9" s="590" t="s">
        <v>592</v>
      </c>
      <c r="G9" s="590" t="s">
        <v>593</v>
      </c>
      <c r="H9" s="590" t="s">
        <v>594</v>
      </c>
      <c r="I9" s="590" t="s">
        <v>595</v>
      </c>
      <c r="J9" s="590" t="s">
        <v>596</v>
      </c>
      <c r="K9" s="591" t="s">
        <v>509</v>
      </c>
    </row>
    <row r="10" spans="1:13" ht="15.75" customHeight="1" thickBot="1">
      <c r="A10" s="1187" t="s">
        <v>589</v>
      </c>
      <c r="B10" s="1188"/>
      <c r="C10" s="1188"/>
      <c r="D10" s="1188"/>
      <c r="E10" s="1188"/>
      <c r="F10" s="1188"/>
      <c r="G10" s="1188"/>
      <c r="H10" s="1188"/>
      <c r="I10" s="1188"/>
      <c r="J10" s="1188"/>
      <c r="K10" s="1189"/>
    </row>
    <row r="11" spans="1:13" ht="15" customHeight="1">
      <c r="A11" s="592">
        <v>1</v>
      </c>
      <c r="B11" s="593" t="s">
        <v>14</v>
      </c>
      <c r="C11" s="790">
        <f>+BALANCESHEET!C12</f>
        <v>0</v>
      </c>
      <c r="D11" s="1183" t="s">
        <v>779</v>
      </c>
      <c r="E11" s="1183"/>
      <c r="F11" s="1183"/>
      <c r="G11" s="1183"/>
      <c r="H11" s="1183"/>
      <c r="I11" s="1183"/>
      <c r="J11" s="1184"/>
      <c r="K11" s="791">
        <f>SUM(C11,D11,E11,F11,G11,H11,I11,J11)</f>
        <v>0</v>
      </c>
      <c r="L11" s="594" t="str">
        <f>IF((K11=BALANCESHEET!C12),"","Балансын дүнгээс "&amp;K11-BALANCESHEET!C12&amp;"-ээр зөрүүтэй байна")</f>
        <v/>
      </c>
    </row>
    <row r="12" spans="1:13">
      <c r="A12" s="595">
        <v>2</v>
      </c>
      <c r="B12" s="596" t="s">
        <v>18</v>
      </c>
      <c r="C12" s="792">
        <f>+BALANCESHEET!C13</f>
        <v>0</v>
      </c>
      <c r="D12" s="1185"/>
      <c r="E12" s="1185"/>
      <c r="F12" s="1185"/>
      <c r="G12" s="1185"/>
      <c r="H12" s="1185"/>
      <c r="I12" s="1185"/>
      <c r="J12" s="1186"/>
      <c r="K12" s="793">
        <f>SUM(C12,D12,E12,F12,G12,H12,I12,J12)</f>
        <v>0</v>
      </c>
      <c r="L12" s="594" t="str">
        <f>IF((K12=BALANCESHEET!C13),"","Балансын дүнгээс "&amp;K12-BALANCESHEET!C13&amp;"-ээр зөрүүтэй байна")</f>
        <v/>
      </c>
    </row>
    <row r="13" spans="1:13">
      <c r="A13" s="597">
        <v>3</v>
      </c>
      <c r="B13" s="596" t="s">
        <v>23</v>
      </c>
      <c r="C13" s="792">
        <f>+BALANCE!D19</f>
        <v>0</v>
      </c>
      <c r="D13" s="794"/>
      <c r="E13" s="795"/>
      <c r="F13" s="795"/>
      <c r="G13" s="795"/>
      <c r="H13" s="795"/>
      <c r="I13" s="795"/>
      <c r="J13" s="795"/>
      <c r="K13" s="793">
        <f>SUM(C13,D13,E13,F13,G13,H13,I13,J13)</f>
        <v>0</v>
      </c>
      <c r="L13" s="594" t="str">
        <f>IF((K13=BALANCESHEET!C14),"","Балансын дүнгээс "&amp;K13-BALANCESHEET!C14&amp;"-ээр зөрүүтэй байна")</f>
        <v/>
      </c>
    </row>
    <row r="14" spans="1:13">
      <c r="A14" s="595">
        <v>4</v>
      </c>
      <c r="B14" s="598" t="s">
        <v>597</v>
      </c>
      <c r="C14" s="599" t="s">
        <v>779</v>
      </c>
      <c r="D14" s="794"/>
      <c r="E14" s="795"/>
      <c r="F14" s="795"/>
      <c r="G14" s="795"/>
      <c r="H14" s="795"/>
      <c r="I14" s="795"/>
      <c r="J14" s="795"/>
      <c r="K14" s="796">
        <f>SUM(C14,D14,E14,F14,G14,H14,I14,J14)</f>
        <v>0</v>
      </c>
      <c r="L14" s="594" t="str">
        <f>IF((K14=BALANCESHEET!C18),"","Балансын дүнгээс "&amp;K14-BALANCESHEET!C18&amp;"-ээр зөрүүтэй байна")</f>
        <v/>
      </c>
    </row>
    <row r="15" spans="1:13" ht="13.5" thickBot="1">
      <c r="A15" s="600">
        <v>5</v>
      </c>
      <c r="B15" s="601" t="s">
        <v>598</v>
      </c>
      <c r="C15" s="906"/>
      <c r="D15" s="794"/>
      <c r="E15" s="794"/>
      <c r="F15" s="794"/>
      <c r="G15" s="794"/>
      <c r="H15" s="794"/>
      <c r="I15" s="794"/>
      <c r="J15" s="794"/>
      <c r="K15" s="797">
        <f>SUM(C15,D15,E15,F15,G15,H15,I15,J15)</f>
        <v>0</v>
      </c>
      <c r="L15" s="594" t="str">
        <f>IF((K15=BALANCESHEET!C15+BALANCESHEET!C26+BALANCESHEET!C35+BALANCESHEET!C36),"","Балансын дүнгээс "&amp;K15-BALANCESHEET!C15-BALANCESHEET!C26-BALANCESHEET!C35-BALANCESHEET!C36&amp;"-ээр зөрүүтэй байна")</f>
        <v/>
      </c>
    </row>
    <row r="16" spans="1:13" ht="15" customHeight="1" thickBot="1">
      <c r="A16" s="1196" t="s">
        <v>599</v>
      </c>
      <c r="B16" s="1197"/>
      <c r="C16" s="798">
        <f>SUM(C11:C15)</f>
        <v>0</v>
      </c>
      <c r="D16" s="799">
        <f>SUM(D13:D15)</f>
        <v>0</v>
      </c>
      <c r="E16" s="799">
        <f t="shared" ref="E16:J16" si="0">SUM(E13:E15)</f>
        <v>0</v>
      </c>
      <c r="F16" s="799">
        <f t="shared" si="0"/>
        <v>0</v>
      </c>
      <c r="G16" s="799">
        <f t="shared" si="0"/>
        <v>0</v>
      </c>
      <c r="H16" s="799">
        <f t="shared" si="0"/>
        <v>0</v>
      </c>
      <c r="I16" s="799">
        <f t="shared" si="0"/>
        <v>0</v>
      </c>
      <c r="J16" s="799">
        <f t="shared" si="0"/>
        <v>0</v>
      </c>
      <c r="K16" s="800">
        <f>SUM(K11:K15)</f>
        <v>0</v>
      </c>
      <c r="L16" s="594" t="str">
        <f>IF((K16=BALANCESHEET!C10+BALANCESHEET!C25-BALANCESHEET!C29+BALANCESHEET!C35),"","Балансын дүнгээс "&amp;K16-(BALANCESHEET!C10+BALANCESHEET!C25-BALANCESHEET!C29+BALANCESHEET!C35)&amp;"-ээр зөрүүтэй байна")</f>
        <v/>
      </c>
      <c r="M16" s="532"/>
    </row>
    <row r="17" spans="1:12" ht="15" customHeight="1" thickBot="1">
      <c r="A17" s="1198" t="s">
        <v>600</v>
      </c>
      <c r="B17" s="1199"/>
      <c r="C17" s="1199"/>
      <c r="D17" s="1199"/>
      <c r="E17" s="1199"/>
      <c r="F17" s="1199"/>
      <c r="G17" s="1199"/>
      <c r="H17" s="1199"/>
      <c r="I17" s="1199"/>
      <c r="J17" s="1199"/>
      <c r="K17" s="1200"/>
      <c r="L17" s="594"/>
    </row>
    <row r="18" spans="1:12">
      <c r="A18" s="597">
        <v>1</v>
      </c>
      <c r="B18" s="602" t="s">
        <v>601</v>
      </c>
      <c r="C18" s="790">
        <f>+BALANCESHEET!G12</f>
        <v>0</v>
      </c>
      <c r="D18" s="802"/>
      <c r="E18" s="803"/>
      <c r="F18" s="803"/>
      <c r="G18" s="803"/>
      <c r="H18" s="803"/>
      <c r="I18" s="803"/>
      <c r="J18" s="803"/>
      <c r="K18" s="793">
        <f t="shared" ref="K18:K23" si="1">SUM(C18,D18,E18,F18,G18,H18,I18,J18)</f>
        <v>0</v>
      </c>
      <c r="L18" s="594" t="str">
        <f>IF((K18=BALANCESHEET!G11),"","Балансын дүнгээс "&amp;K18-BALANCESHEET!G11&amp;"-ээр зөрүүтэй байна")</f>
        <v/>
      </c>
    </row>
    <row r="19" spans="1:12">
      <c r="A19" s="595">
        <v>2</v>
      </c>
      <c r="B19" s="603" t="s">
        <v>294</v>
      </c>
      <c r="C19" s="599" t="s">
        <v>779</v>
      </c>
      <c r="D19" s="794"/>
      <c r="E19" s="795"/>
      <c r="F19" s="795"/>
      <c r="G19" s="795"/>
      <c r="H19" s="795"/>
      <c r="I19" s="795"/>
      <c r="J19" s="795"/>
      <c r="K19" s="796">
        <f t="shared" si="1"/>
        <v>0</v>
      </c>
      <c r="L19" s="594" t="str">
        <f>IF((K19=BALANCESHEET!G15+BALANCESHEET!G30),"","Балансын дүнгээс "&amp;K19-BALANCESHEET!G15-BALANCESHEET!G30&amp;"-ээр зөрүүтэй байна")</f>
        <v/>
      </c>
    </row>
    <row r="20" spans="1:12">
      <c r="A20" s="595">
        <v>3</v>
      </c>
      <c r="B20" s="603" t="s">
        <v>602</v>
      </c>
      <c r="C20" s="599" t="s">
        <v>779</v>
      </c>
      <c r="D20" s="794"/>
      <c r="E20" s="795"/>
      <c r="F20" s="795"/>
      <c r="G20" s="795"/>
      <c r="H20" s="795"/>
      <c r="I20" s="795"/>
      <c r="J20" s="795"/>
      <c r="K20" s="796">
        <f t="shared" si="1"/>
        <v>0</v>
      </c>
      <c r="L20" s="594" t="str">
        <f>IF((K20=BALANCESHEET!G16+BALANCESHEET!G31),"","Балансын дүнгээс "&amp;K20-BALANCESHEET!G16-BALANCESHEET!G31&amp;"-ээр зөрүүтэй байна")</f>
        <v/>
      </c>
    </row>
    <row r="21" spans="1:12">
      <c r="A21" s="595">
        <v>4</v>
      </c>
      <c r="B21" s="603" t="s">
        <v>603</v>
      </c>
      <c r="C21" s="599" t="s">
        <v>779</v>
      </c>
      <c r="D21" s="794"/>
      <c r="E21" s="795"/>
      <c r="F21" s="795"/>
      <c r="G21" s="795"/>
      <c r="H21" s="795"/>
      <c r="I21" s="795"/>
      <c r="J21" s="794"/>
      <c r="K21" s="796">
        <f t="shared" si="1"/>
        <v>0</v>
      </c>
      <c r="L21" s="594" t="str">
        <f>IF((K21=BALANCESHEET!G17+BALANCESHEET!G32),"","Балансын дүнгээс "&amp;K21-BALANCESHEET!G17-BALANCESHEET!G32&amp;"-ээр зөрүүтэй байна")</f>
        <v/>
      </c>
    </row>
    <row r="22" spans="1:12">
      <c r="A22" s="595">
        <v>5</v>
      </c>
      <c r="B22" s="603" t="s">
        <v>30</v>
      </c>
      <c r="C22" s="599" t="s">
        <v>779</v>
      </c>
      <c r="D22" s="794"/>
      <c r="E22" s="795"/>
      <c r="F22" s="795"/>
      <c r="G22" s="795"/>
      <c r="H22" s="795"/>
      <c r="I22" s="795"/>
      <c r="J22" s="795"/>
      <c r="K22" s="796">
        <f t="shared" si="1"/>
        <v>0</v>
      </c>
      <c r="L22" s="594" t="str">
        <f>IF((K22=BALANCESHEET!G18+BALANCESHEET!G33),"","Балансын дүнгээс "&amp;K22-BALANCESHEET!G18-BALANCESHEET!G33&amp;"-ээр зөрүүтэй байна")</f>
        <v/>
      </c>
    </row>
    <row r="23" spans="1:12" ht="13.5" thickBot="1">
      <c r="A23" s="600">
        <v>6</v>
      </c>
      <c r="B23" s="601" t="s">
        <v>598</v>
      </c>
      <c r="C23" s="907"/>
      <c r="D23" s="794"/>
      <c r="E23" s="794"/>
      <c r="F23" s="794"/>
      <c r="G23" s="794"/>
      <c r="H23" s="794"/>
      <c r="I23" s="794"/>
      <c r="J23" s="794"/>
      <c r="K23" s="797">
        <f t="shared" si="1"/>
        <v>0</v>
      </c>
      <c r="L23" s="594" t="str">
        <f>IF((K23=BALANCESHEET!G19+BALANCESHEET!G34),"","Балансын дүнгээс "&amp;K23-BALANCESHEET!G19-BALANCESHEET!G34&amp;"-ээр зөрүүтэй байна")</f>
        <v/>
      </c>
    </row>
    <row r="24" spans="1:12" ht="15" customHeight="1" thickBot="1">
      <c r="A24" s="1196" t="s">
        <v>604</v>
      </c>
      <c r="B24" s="1197"/>
      <c r="C24" s="798">
        <f>SUM(C18:C23)</f>
        <v>0</v>
      </c>
      <c r="D24" s="886">
        <f t="shared" ref="D24:K24" si="2">SUM(D18:D23)</f>
        <v>0</v>
      </c>
      <c r="E24" s="804">
        <f t="shared" si="2"/>
        <v>0</v>
      </c>
      <c r="F24" s="804">
        <f t="shared" si="2"/>
        <v>0</v>
      </c>
      <c r="G24" s="804">
        <f t="shared" si="2"/>
        <v>0</v>
      </c>
      <c r="H24" s="804">
        <f t="shared" si="2"/>
        <v>0</v>
      </c>
      <c r="I24" s="804">
        <f t="shared" si="2"/>
        <v>0</v>
      </c>
      <c r="J24" s="804">
        <f t="shared" si="2"/>
        <v>0</v>
      </c>
      <c r="K24" s="800">
        <f t="shared" si="2"/>
        <v>0</v>
      </c>
      <c r="L24" s="594" t="str">
        <f>IF((K24=BALANCESHEET!G10),"","Балансын дүнгээс "&amp;K24-BALANCESHEET!G10&amp;"-ээр зөрүүтэй байна")</f>
        <v/>
      </c>
    </row>
    <row r="25" spans="1:12">
      <c r="A25" s="1190" t="s">
        <v>605</v>
      </c>
      <c r="B25" s="1191"/>
      <c r="C25" s="801">
        <f t="shared" ref="C25:K25" si="3">C16-C24</f>
        <v>0</v>
      </c>
      <c r="D25" s="887">
        <f t="shared" si="3"/>
        <v>0</v>
      </c>
      <c r="E25" s="805">
        <f t="shared" si="3"/>
        <v>0</v>
      </c>
      <c r="F25" s="805">
        <f t="shared" si="3"/>
        <v>0</v>
      </c>
      <c r="G25" s="805">
        <f t="shared" si="3"/>
        <v>0</v>
      </c>
      <c r="H25" s="805">
        <f t="shared" si="3"/>
        <v>0</v>
      </c>
      <c r="I25" s="805">
        <f t="shared" si="3"/>
        <v>0</v>
      </c>
      <c r="J25" s="805">
        <f>J16-J24</f>
        <v>0</v>
      </c>
      <c r="K25" s="793">
        <f t="shared" si="3"/>
        <v>0</v>
      </c>
      <c r="L25" s="594"/>
    </row>
    <row r="26" spans="1:12">
      <c r="A26" s="1192" t="s">
        <v>606</v>
      </c>
      <c r="B26" s="1193"/>
      <c r="C26" s="792">
        <f>C25</f>
        <v>0</v>
      </c>
      <c r="D26" s="806">
        <f>SUM(C25:D25)</f>
        <v>0</v>
      </c>
      <c r="E26" s="807">
        <f>SUM(C25:E25)</f>
        <v>0</v>
      </c>
      <c r="F26" s="807">
        <f>SUM(C25:F25)</f>
        <v>0</v>
      </c>
      <c r="G26" s="807">
        <f>SUM(C25:G25)</f>
        <v>0</v>
      </c>
      <c r="H26" s="807">
        <f>SUM(C25:H25)</f>
        <v>0</v>
      </c>
      <c r="I26" s="807">
        <f>SUM(C25:I25)</f>
        <v>0</v>
      </c>
      <c r="J26" s="807">
        <f>SUM(C25:J25)</f>
        <v>0</v>
      </c>
      <c r="K26" s="808">
        <f>K25</f>
        <v>0</v>
      </c>
      <c r="L26" s="594"/>
    </row>
    <row r="27" spans="1:12" ht="27.75" customHeight="1" thickBot="1">
      <c r="A27" s="1194" t="s">
        <v>607</v>
      </c>
      <c r="B27" s="1195"/>
      <c r="C27" s="888" t="e">
        <f>+C26/BALANCESHEET!G51</f>
        <v>#DIV/0!</v>
      </c>
      <c r="D27" s="889" t="e">
        <f>+D26/BALANCESHEET!G51</f>
        <v>#DIV/0!</v>
      </c>
      <c r="E27" s="890" t="e">
        <f>+E26/BALANCESHEET!G51</f>
        <v>#DIV/0!</v>
      </c>
      <c r="F27" s="890" t="e">
        <f>+F26/BALANCESHEET!G51</f>
        <v>#DIV/0!</v>
      </c>
      <c r="G27" s="891" t="e">
        <f>+G26/BALANCESHEET!G51</f>
        <v>#DIV/0!</v>
      </c>
      <c r="H27" s="891" t="e">
        <f>+H26/BALANCESHEET!G51</f>
        <v>#DIV/0!</v>
      </c>
      <c r="I27" s="891" t="e">
        <f>+I26/BALANCESHEET!G51</f>
        <v>#DIV/0!</v>
      </c>
      <c r="J27" s="891" t="e">
        <f>+J26/BALANCESHEET!G51</f>
        <v>#DIV/0!</v>
      </c>
      <c r="K27" s="892" t="e">
        <f>+K26/BALANCESHEET!G51</f>
        <v>#DIV/0!</v>
      </c>
      <c r="L27" s="594"/>
    </row>
    <row r="28" spans="1:12">
      <c r="A28" s="604"/>
      <c r="B28" s="604" t="s">
        <v>608</v>
      </c>
      <c r="C28" s="604"/>
      <c r="D28" s="604"/>
      <c r="E28" s="604"/>
      <c r="F28" s="604"/>
      <c r="G28" s="604"/>
      <c r="H28" s="604"/>
      <c r="I28" s="604"/>
      <c r="J28" s="604"/>
      <c r="K28" s="604"/>
    </row>
    <row r="29" spans="1:12">
      <c r="A29" s="604"/>
      <c r="B29" s="604"/>
      <c r="C29" s="604"/>
      <c r="D29" s="604"/>
      <c r="E29" s="604"/>
      <c r="F29" s="604"/>
      <c r="G29" s="604"/>
      <c r="H29" s="604"/>
      <c r="I29" s="604"/>
      <c r="J29" s="604"/>
      <c r="K29" s="604"/>
    </row>
    <row r="30" spans="1:12">
      <c r="A30" s="1210" t="s">
        <v>637</v>
      </c>
      <c r="B30" s="1210"/>
      <c r="C30" s="1210"/>
      <c r="D30" s="1210"/>
      <c r="E30" s="1210"/>
      <c r="F30" s="1210"/>
      <c r="G30" s="1210"/>
      <c r="H30" s="1210"/>
      <c r="I30" s="1210"/>
      <c r="J30" s="1210"/>
      <c r="K30" s="1210"/>
    </row>
    <row r="31" spans="1:12">
      <c r="A31" s="1209" t="s">
        <v>780</v>
      </c>
      <c r="B31" s="1209"/>
      <c r="C31" s="1209"/>
      <c r="D31" s="1209"/>
      <c r="E31" s="1209"/>
      <c r="F31" s="1209"/>
      <c r="G31" s="1209"/>
      <c r="H31" s="1209"/>
      <c r="I31" s="1209"/>
      <c r="J31" s="1209"/>
      <c r="K31" s="1209"/>
    </row>
    <row r="32" spans="1:12">
      <c r="A32" s="605"/>
      <c r="B32" s="605"/>
      <c r="C32" s="605"/>
      <c r="D32" s="605"/>
      <c r="E32" s="605"/>
      <c r="F32" s="605"/>
      <c r="G32" s="605"/>
      <c r="H32" s="605"/>
      <c r="I32" s="605"/>
      <c r="J32" s="605"/>
      <c r="K32" s="605"/>
    </row>
    <row r="33" spans="1:11" ht="15" customHeight="1">
      <c r="A33" s="578"/>
      <c r="B33" s="578"/>
      <c r="C33" s="1211"/>
      <c r="D33" s="1031"/>
      <c r="E33" s="606"/>
      <c r="F33" s="578"/>
      <c r="G33" s="578"/>
      <c r="H33" s="578"/>
      <c r="I33" s="607" t="e">
        <f>OR(#REF!="!",#REF!="!",#REF!="!",#REF!="!",#REF!="!",#REF!="!",#REF!="!")</f>
        <v>#REF!</v>
      </c>
      <c r="J33" s="580"/>
      <c r="K33" s="580"/>
    </row>
    <row r="34" spans="1:11">
      <c r="A34" s="1010" t="s">
        <v>232</v>
      </c>
      <c r="B34" s="1010"/>
      <c r="C34" s="1010"/>
      <c r="D34" s="1010"/>
      <c r="E34" s="1010"/>
      <c r="F34" s="1010"/>
      <c r="G34" s="1010"/>
      <c r="H34" s="1010"/>
      <c r="I34" s="1010"/>
      <c r="J34" s="1010"/>
      <c r="K34" s="1010"/>
    </row>
    <row r="35" spans="1:11">
      <c r="A35" s="1211" t="s">
        <v>233</v>
      </c>
      <c r="B35" s="1211"/>
      <c r="C35" s="1211"/>
      <c r="D35" s="1211"/>
      <c r="E35" s="1211"/>
      <c r="F35" s="1211"/>
      <c r="G35" s="1211"/>
      <c r="H35" s="1211"/>
      <c r="I35" s="1211"/>
      <c r="J35" s="1211"/>
      <c r="K35" s="1211"/>
    </row>
    <row r="36" spans="1:11">
      <c r="A36" s="578"/>
      <c r="B36" s="578"/>
      <c r="C36" s="578"/>
      <c r="D36" s="578"/>
      <c r="E36" s="578"/>
      <c r="F36" s="578"/>
      <c r="G36" s="578"/>
      <c r="H36" s="578"/>
      <c r="I36" s="578"/>
      <c r="J36" s="578"/>
      <c r="K36" s="578"/>
    </row>
    <row r="37" spans="1:11">
      <c r="A37" s="578"/>
      <c r="B37" s="578"/>
      <c r="C37" s="578"/>
      <c r="D37" s="119"/>
      <c r="E37" s="235" t="s">
        <v>234</v>
      </c>
      <c r="F37" s="578"/>
      <c r="G37" s="119" t="str">
        <f>+STATISTICS!C94</f>
        <v>/Нэр/</v>
      </c>
      <c r="H37" s="578"/>
      <c r="I37" s="578"/>
      <c r="J37" s="578"/>
      <c r="K37" s="578"/>
    </row>
    <row r="38" spans="1:11">
      <c r="E38" s="236"/>
    </row>
    <row r="39" spans="1:11">
      <c r="E39" s="235" t="s">
        <v>236</v>
      </c>
      <c r="G39" s="119" t="str">
        <f>+STATISTICS!C96</f>
        <v>/Нэр/</v>
      </c>
    </row>
  </sheetData>
  <sheetProtection algorithmName="SHA-512" hashValue="obOtivqgmXUECCJ7GDMatoamJwVNWp5lgVys/R66XuGM811yr/ehDMdK3zRCNHczrkW6FiMY86ZMA23Xjm1oWA==" saltValue="4+Nw9y2aQigqXgAKZIuPBg==" spinCount="100000" sheet="1" objects="1" scenarios="1" formatCells="0" formatColumns="0" formatRows="0" insertColumns="0" insertRows="0" insertHyperlinks="0" deleteColumns="0" deleteRows="0" sort="0" autoFilter="0" pivotTables="0"/>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G28" sqref="G28:H28"/>
    </sheetView>
  </sheetViews>
  <sheetFormatPr defaultRowHeight="12.75"/>
  <cols>
    <col min="1" max="1" width="3.28515625" style="542" bestFit="1" customWidth="1"/>
    <col min="2" max="2" width="26.42578125" style="542" customWidth="1"/>
    <col min="3" max="7" width="14.140625" style="542" customWidth="1"/>
    <col min="8" max="8" width="16.5703125" style="542" customWidth="1"/>
    <col min="9" max="10" width="9.140625" style="542"/>
    <col min="11" max="16384" width="9.140625" style="535"/>
  </cols>
  <sheetData>
    <row r="1" spans="1:9">
      <c r="A1" s="609"/>
      <c r="B1" s="311"/>
      <c r="C1" s="258"/>
      <c r="D1" s="258"/>
      <c r="E1" s="258"/>
      <c r="F1" s="258"/>
      <c r="G1" s="258"/>
      <c r="H1" s="138" t="s">
        <v>749</v>
      </c>
    </row>
    <row r="2" spans="1:9">
      <c r="A2" s="311"/>
      <c r="B2" s="311"/>
      <c r="C2" s="453"/>
      <c r="D2" s="453"/>
      <c r="E2" s="453"/>
      <c r="F2" s="453"/>
      <c r="G2" s="453"/>
      <c r="H2" s="138" t="s">
        <v>757</v>
      </c>
    </row>
    <row r="3" spans="1:9">
      <c r="A3" s="311"/>
      <c r="B3" s="311"/>
      <c r="C3" s="311"/>
      <c r="D3" s="610"/>
      <c r="E3" s="538"/>
      <c r="F3" s="311"/>
      <c r="G3" s="311"/>
      <c r="H3" s="311"/>
    </row>
    <row r="4" spans="1:9">
      <c r="A4" s="1218" t="s">
        <v>615</v>
      </c>
      <c r="B4" s="1218"/>
      <c r="C4" s="1218"/>
      <c r="D4" s="1218"/>
      <c r="E4" s="1218"/>
      <c r="F4" s="1218"/>
      <c r="G4" s="1218"/>
      <c r="H4" s="1218"/>
    </row>
    <row r="5" spans="1:9">
      <c r="A5" s="1219" t="str">
        <f>+STATISTICS!A4</f>
        <v>ХАДГАЛАМЖ, ЗЭЭЛИЙН ХОРШООНЫ НЭР</v>
      </c>
      <c r="B5" s="1219"/>
      <c r="C5" s="1219"/>
      <c r="D5" s="1219"/>
      <c r="E5" s="1219"/>
      <c r="F5" s="1219"/>
      <c r="G5" s="1219"/>
      <c r="H5" s="1219"/>
    </row>
    <row r="6" spans="1:9">
      <c r="A6" s="1010" t="str">
        <f>[1]BALANCE!A5</f>
        <v>ХАДГАЛАМЖ, ЗЭЭЛИЙН ХОРШОО</v>
      </c>
      <c r="B6" s="1010"/>
      <c r="C6" s="1010"/>
      <c r="D6" s="1010"/>
      <c r="E6" s="1010"/>
      <c r="F6" s="1010"/>
      <c r="G6" s="1010"/>
      <c r="H6" s="1010"/>
    </row>
    <row r="7" spans="1:9">
      <c r="A7" s="1174"/>
      <c r="B7" s="1174"/>
      <c r="C7" s="1174"/>
      <c r="D7" s="1174"/>
      <c r="E7" s="1174"/>
      <c r="F7" s="1174"/>
      <c r="G7" s="1174"/>
      <c r="H7" s="1174"/>
    </row>
    <row r="8" spans="1:9" ht="13.5" thickBot="1">
      <c r="A8" s="1166" t="str">
        <f>+STATISTICS!A7</f>
        <v>Огноо</v>
      </c>
      <c r="B8" s="1166"/>
      <c r="C8" s="554"/>
      <c r="D8" s="554"/>
      <c r="E8" s="554"/>
      <c r="F8" s="554"/>
      <c r="G8" s="311"/>
      <c r="H8" s="141" t="str">
        <f>[1]BALANCESHEET!H7</f>
        <v>/төгрөгөөр/</v>
      </c>
    </row>
    <row r="9" spans="1:9" ht="13.5" thickBot="1">
      <c r="A9" s="1220" t="s">
        <v>341</v>
      </c>
      <c r="B9" s="1221"/>
      <c r="C9" s="1221"/>
      <c r="D9" s="1221"/>
      <c r="E9" s="1221"/>
      <c r="F9" s="1221"/>
      <c r="G9" s="1222" t="s">
        <v>616</v>
      </c>
      <c r="H9" s="1223"/>
    </row>
    <row r="10" spans="1:9" ht="26.25" thickBot="1">
      <c r="A10" s="611" t="s">
        <v>237</v>
      </c>
      <c r="B10" s="612" t="s">
        <v>617</v>
      </c>
      <c r="C10" s="613" t="s">
        <v>618</v>
      </c>
      <c r="D10" s="614" t="s">
        <v>619</v>
      </c>
      <c r="E10" s="615" t="s">
        <v>620</v>
      </c>
      <c r="F10" s="613" t="s">
        <v>621</v>
      </c>
      <c r="G10" s="613" t="s">
        <v>622</v>
      </c>
      <c r="H10" s="616" t="s">
        <v>623</v>
      </c>
    </row>
    <row r="11" spans="1:9" ht="13.5" thickBot="1">
      <c r="A11" s="611" t="s">
        <v>508</v>
      </c>
      <c r="B11" s="617" t="s">
        <v>624</v>
      </c>
      <c r="C11" s="809">
        <f>SUM(C12:C14)</f>
        <v>0</v>
      </c>
      <c r="D11" s="618">
        <v>1</v>
      </c>
      <c r="E11" s="619"/>
      <c r="F11" s="809">
        <f>SUM(F12:F14)</f>
        <v>0</v>
      </c>
      <c r="G11" s="608"/>
      <c r="H11" s="620"/>
      <c r="I11" s="121" t="str">
        <f>IF((C11-BALANCESHEET!C18)=0,"","Балансийн дүнтэй зөрүүтэй байна")</f>
        <v/>
      </c>
    </row>
    <row r="12" spans="1:9">
      <c r="A12" s="621">
        <v>1</v>
      </c>
      <c r="B12" s="622" t="s">
        <v>625</v>
      </c>
      <c r="C12" s="810">
        <f>+BALANCESHEET!C19</f>
        <v>0</v>
      </c>
      <c r="D12" s="623" t="e">
        <f>C12/C11*100%</f>
        <v>#DIV/0!</v>
      </c>
      <c r="E12" s="624">
        <v>0</v>
      </c>
      <c r="F12" s="810">
        <f>C12*E12</f>
        <v>0</v>
      </c>
      <c r="G12" s="1212">
        <f>+BALANCESHEET!C25</f>
        <v>0</v>
      </c>
      <c r="H12" s="1215">
        <f>G12-F11</f>
        <v>0</v>
      </c>
      <c r="I12" s="625"/>
    </row>
    <row r="13" spans="1:9">
      <c r="A13" s="626">
        <v>2</v>
      </c>
      <c r="B13" s="627" t="s">
        <v>255</v>
      </c>
      <c r="C13" s="811">
        <f>+BALANCESHEET!C20</f>
        <v>0</v>
      </c>
      <c r="D13" s="628" t="e">
        <f>C13/C11*100%</f>
        <v>#DIV/0!</v>
      </c>
      <c r="E13" s="629">
        <v>0.05</v>
      </c>
      <c r="F13" s="811">
        <f>C13*E13</f>
        <v>0</v>
      </c>
      <c r="G13" s="1213"/>
      <c r="H13" s="1216"/>
      <c r="I13" s="630"/>
    </row>
    <row r="14" spans="1:9">
      <c r="A14" s="631">
        <v>3</v>
      </c>
      <c r="B14" s="632" t="s">
        <v>299</v>
      </c>
      <c r="C14" s="812">
        <f>SUM(C15:C17)</f>
        <v>0</v>
      </c>
      <c r="D14" s="628" t="e">
        <f>C14/C11*100%</f>
        <v>#DIV/0!</v>
      </c>
      <c r="E14" s="629"/>
      <c r="F14" s="812">
        <f>SUM(F15:F17)</f>
        <v>0</v>
      </c>
      <c r="G14" s="1213"/>
      <c r="H14" s="1216"/>
      <c r="I14" s="630"/>
    </row>
    <row r="15" spans="1:9">
      <c r="A15" s="626">
        <v>4</v>
      </c>
      <c r="B15" s="633" t="s">
        <v>630</v>
      </c>
      <c r="C15" s="811">
        <f>+BALANCESHEET!C22</f>
        <v>0</v>
      </c>
      <c r="D15" s="628" t="e">
        <f>C15/C11*100%</f>
        <v>#DIV/0!</v>
      </c>
      <c r="E15" s="629">
        <v>0.25</v>
      </c>
      <c r="F15" s="811">
        <f>C15*E15</f>
        <v>0</v>
      </c>
      <c r="G15" s="1213"/>
      <c r="H15" s="1216"/>
      <c r="I15" s="630"/>
    </row>
    <row r="16" spans="1:9">
      <c r="A16" s="626">
        <v>5</v>
      </c>
      <c r="B16" s="633" t="s">
        <v>631</v>
      </c>
      <c r="C16" s="811">
        <f>+BALANCESHEET!C23</f>
        <v>0</v>
      </c>
      <c r="D16" s="628" t="e">
        <f>C16/C11*100%</f>
        <v>#DIV/0!</v>
      </c>
      <c r="E16" s="629">
        <v>0.5</v>
      </c>
      <c r="F16" s="811">
        <f>C16*E16</f>
        <v>0</v>
      </c>
      <c r="G16" s="1213"/>
      <c r="H16" s="1216"/>
      <c r="I16" s="630"/>
    </row>
    <row r="17" spans="1:9" ht="13.5" thickBot="1">
      <c r="A17" s="634">
        <v>6</v>
      </c>
      <c r="B17" s="633" t="s">
        <v>632</v>
      </c>
      <c r="C17" s="811">
        <f>+BALANCESHEET!C24</f>
        <v>0</v>
      </c>
      <c r="D17" s="635" t="e">
        <f>C17/C11*100%</f>
        <v>#DIV/0!</v>
      </c>
      <c r="E17" s="636">
        <v>1</v>
      </c>
      <c r="F17" s="813">
        <f>C17*E17</f>
        <v>0</v>
      </c>
      <c r="G17" s="1214"/>
      <c r="H17" s="1217"/>
      <c r="I17" s="630"/>
    </row>
    <row r="18" spans="1:9" ht="13.5" thickBot="1">
      <c r="A18" s="611" t="s">
        <v>515</v>
      </c>
      <c r="B18" s="637" t="s">
        <v>626</v>
      </c>
      <c r="C18" s="814">
        <f>SUM(C19:C21)</f>
        <v>0</v>
      </c>
      <c r="D18" s="638">
        <v>1</v>
      </c>
      <c r="E18" s="639"/>
      <c r="F18" s="815">
        <f>SUM(F19:F21)</f>
        <v>0</v>
      </c>
      <c r="G18" s="816"/>
      <c r="H18" s="640"/>
      <c r="I18" s="121" t="str">
        <f>IF((C18-BALANCESHEET!C37)=0,"","Балансийн дүнтэй зөрүүтэй байна")</f>
        <v/>
      </c>
    </row>
    <row r="19" spans="1:9">
      <c r="A19" s="621">
        <v>1</v>
      </c>
      <c r="B19" s="641" t="s">
        <v>627</v>
      </c>
      <c r="C19" s="817"/>
      <c r="D19" s="623" t="e">
        <f>C19/C18*100%</f>
        <v>#DIV/0!</v>
      </c>
      <c r="E19" s="624">
        <v>0</v>
      </c>
      <c r="F19" s="810">
        <f>C19*E19</f>
        <v>0</v>
      </c>
      <c r="G19" s="1212">
        <f>+BALANCESHEET!C38</f>
        <v>0</v>
      </c>
      <c r="H19" s="1215">
        <f>G19-F18</f>
        <v>0</v>
      </c>
      <c r="I19" s="630"/>
    </row>
    <row r="20" spans="1:9">
      <c r="A20" s="626">
        <v>2</v>
      </c>
      <c r="B20" s="642" t="s">
        <v>628</v>
      </c>
      <c r="C20" s="818"/>
      <c r="D20" s="628" t="e">
        <f>C20/C18*100%</f>
        <v>#DIV/0!</v>
      </c>
      <c r="E20" s="629">
        <v>0.05</v>
      </c>
      <c r="F20" s="811">
        <f>C20*E20</f>
        <v>0</v>
      </c>
      <c r="G20" s="1213"/>
      <c r="H20" s="1216"/>
      <c r="I20" s="630"/>
    </row>
    <row r="21" spans="1:9">
      <c r="A21" s="626">
        <v>3</v>
      </c>
      <c r="B21" s="642" t="s">
        <v>629</v>
      </c>
      <c r="C21" s="812">
        <f>SUM(C22:C24)</f>
        <v>0</v>
      </c>
      <c r="D21" s="628" t="e">
        <f>C21/C18*100%</f>
        <v>#DIV/0!</v>
      </c>
      <c r="E21" s="629"/>
      <c r="F21" s="819">
        <f>SUM(F22:F24)</f>
        <v>0</v>
      </c>
      <c r="G21" s="1213"/>
      <c r="H21" s="1216"/>
      <c r="I21" s="630"/>
    </row>
    <row r="22" spans="1:9">
      <c r="A22" s="626">
        <v>4</v>
      </c>
      <c r="B22" s="633" t="s">
        <v>630</v>
      </c>
      <c r="C22" s="818"/>
      <c r="D22" s="628" t="e">
        <f>C22/C18*100%</f>
        <v>#DIV/0!</v>
      </c>
      <c r="E22" s="629">
        <v>0.25</v>
      </c>
      <c r="F22" s="811">
        <f>C22*E22</f>
        <v>0</v>
      </c>
      <c r="G22" s="1213"/>
      <c r="H22" s="1216"/>
      <c r="I22" s="630"/>
    </row>
    <row r="23" spans="1:9">
      <c r="A23" s="626">
        <v>5</v>
      </c>
      <c r="B23" s="633" t="s">
        <v>631</v>
      </c>
      <c r="C23" s="818"/>
      <c r="D23" s="628" t="e">
        <f>C23/C18*100%</f>
        <v>#DIV/0!</v>
      </c>
      <c r="E23" s="629">
        <v>0.5</v>
      </c>
      <c r="F23" s="811">
        <f>C23*E23</f>
        <v>0</v>
      </c>
      <c r="G23" s="1213"/>
      <c r="H23" s="1216"/>
      <c r="I23" s="630"/>
    </row>
    <row r="24" spans="1:9" ht="13.5" thickBot="1">
      <c r="A24" s="634">
        <v>6</v>
      </c>
      <c r="B24" s="643" t="s">
        <v>632</v>
      </c>
      <c r="C24" s="820"/>
      <c r="D24" s="635" t="e">
        <f>C24/C18*100%</f>
        <v>#DIV/0!</v>
      </c>
      <c r="E24" s="636">
        <v>1</v>
      </c>
      <c r="F24" s="813">
        <f>C24*E24</f>
        <v>0</v>
      </c>
      <c r="G24" s="1214"/>
      <c r="H24" s="1217"/>
      <c r="I24" s="630"/>
    </row>
    <row r="25" spans="1:9" ht="13.5" thickBot="1">
      <c r="A25" s="1224" t="s">
        <v>633</v>
      </c>
      <c r="B25" s="1225"/>
      <c r="C25" s="1225"/>
      <c r="D25" s="1225"/>
      <c r="E25" s="1225"/>
      <c r="F25" s="1225"/>
      <c r="G25" s="1225"/>
      <c r="H25" s="1226"/>
      <c r="I25" s="630"/>
    </row>
    <row r="26" spans="1:9" ht="13.5" thickBot="1">
      <c r="A26" s="644" t="s">
        <v>239</v>
      </c>
      <c r="B26" s="1227" t="s">
        <v>634</v>
      </c>
      <c r="C26" s="1227"/>
      <c r="D26" s="1227"/>
      <c r="E26" s="1227"/>
      <c r="F26" s="1227"/>
      <c r="G26" s="1228">
        <v>0.05</v>
      </c>
      <c r="H26" s="1229"/>
      <c r="I26" s="630"/>
    </row>
    <row r="27" spans="1:9">
      <c r="A27" s="621">
        <v>1</v>
      </c>
      <c r="B27" s="1230" t="s">
        <v>635</v>
      </c>
      <c r="C27" s="1230"/>
      <c r="D27" s="1230"/>
      <c r="E27" s="1230"/>
      <c r="F27" s="1230"/>
      <c r="G27" s="1231" t="e">
        <f>+BALANCESHEET!C21/BALANCESHEET!C18*100%</f>
        <v>#DIV/0!</v>
      </c>
      <c r="H27" s="1232"/>
      <c r="I27" s="630"/>
    </row>
    <row r="28" spans="1:9" ht="13.5" thickBot="1">
      <c r="A28" s="645">
        <v>2</v>
      </c>
      <c r="B28" s="1233" t="s">
        <v>636</v>
      </c>
      <c r="C28" s="1233"/>
      <c r="D28" s="1233"/>
      <c r="E28" s="1233"/>
      <c r="F28" s="1233"/>
      <c r="G28" s="1234" t="e">
        <f>IF(G27&lt;G26,"-",VALUE(G27-G26))</f>
        <v>#DIV/0!</v>
      </c>
      <c r="H28" s="1235"/>
      <c r="I28" s="630"/>
    </row>
    <row r="29" spans="1:9">
      <c r="A29" s="235"/>
      <c r="B29" s="235"/>
      <c r="C29" s="235"/>
      <c r="D29" s="235"/>
      <c r="E29" s="235"/>
      <c r="F29" s="235"/>
      <c r="G29" s="235"/>
      <c r="H29" s="235"/>
    </row>
    <row r="30" spans="1:9">
      <c r="A30" s="235"/>
      <c r="B30" s="235"/>
      <c r="C30" s="235"/>
      <c r="D30" s="235"/>
      <c r="E30" s="235"/>
      <c r="F30" s="235"/>
      <c r="G30" s="235"/>
      <c r="H30" s="235"/>
    </row>
    <row r="31" spans="1:9" ht="15" customHeight="1">
      <c r="A31" s="1065" t="s">
        <v>232</v>
      </c>
      <c r="B31" s="1065"/>
      <c r="C31" s="1065"/>
      <c r="D31" s="1065"/>
      <c r="E31" s="1065"/>
      <c r="F31" s="1065"/>
      <c r="G31" s="1065"/>
      <c r="H31" s="1065"/>
    </row>
    <row r="32" spans="1:9" ht="15" customHeight="1">
      <c r="A32" s="1236" t="s">
        <v>233</v>
      </c>
      <c r="B32" s="1236"/>
      <c r="C32" s="1236"/>
      <c r="D32" s="1236"/>
      <c r="E32" s="1236"/>
      <c r="F32" s="1236"/>
      <c r="G32" s="1236"/>
      <c r="H32" s="1236"/>
    </row>
    <row r="33" spans="1:8">
      <c r="A33" s="235"/>
      <c r="B33" s="235"/>
      <c r="C33" s="1237"/>
      <c r="D33" s="1237"/>
      <c r="E33" s="235"/>
      <c r="F33" s="235"/>
      <c r="G33" s="235"/>
      <c r="H33" s="235"/>
    </row>
    <row r="34" spans="1:8">
      <c r="A34" s="235"/>
      <c r="B34" s="235"/>
      <c r="C34" s="235" t="s">
        <v>234</v>
      </c>
      <c r="D34" s="235"/>
      <c r="E34" s="235" t="str">
        <f>+STATISTICS!C94</f>
        <v>/Нэр/</v>
      </c>
      <c r="F34" s="235"/>
      <c r="G34" s="235"/>
      <c r="H34" s="235"/>
    </row>
    <row r="35" spans="1:8">
      <c r="A35" s="235"/>
      <c r="B35" s="235"/>
      <c r="C35" s="236"/>
      <c r="D35" s="236"/>
      <c r="E35" s="235"/>
      <c r="F35" s="235"/>
      <c r="G35" s="235"/>
      <c r="H35" s="235"/>
    </row>
    <row r="36" spans="1:8">
      <c r="A36" s="235"/>
      <c r="B36" s="235"/>
      <c r="C36" s="235" t="s">
        <v>236</v>
      </c>
      <c r="D36" s="235"/>
      <c r="E36" s="235" t="str">
        <f>+STATISTICS!C96</f>
        <v>/Нэр/</v>
      </c>
      <c r="F36" s="235"/>
      <c r="G36" s="235"/>
      <c r="H36" s="235"/>
    </row>
  </sheetData>
  <sheetProtection algorithmName="SHA-512" hashValue="vNTynea1TR8ioD01aqIHDMIH8rw240iUGZ+gC9fHHA3HPZ80LX47vK7Ymbuapu+LR6dSwTarR8vpuKjHECbr7w==" saltValue="KosBUeb7xbl5aKifwdRjhA==" spinCount="100000" sheet="1" objects="1" scenarios="1" formatCells="0" formatColumns="0" formatRows="0" insertColumns="0" insertRows="0" insertHyperlinks="0" deleteColumns="0" deleteRows="0" sort="0" autoFilter="0" pivotTables="0"/>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21">
        <f>SUM(C10:C19)</f>
        <v>0</v>
      </c>
    </row>
    <row r="10" spans="1:3">
      <c r="A10" s="23">
        <v>1</v>
      </c>
      <c r="B10" s="18" t="s">
        <v>643</v>
      </c>
      <c r="C10" s="822">
        <f>+BALANCESHEET!C12</f>
        <v>0</v>
      </c>
    </row>
    <row r="11" spans="1:3">
      <c r="A11" s="23">
        <v>2</v>
      </c>
      <c r="B11" s="18" t="s">
        <v>18</v>
      </c>
      <c r="C11" s="822">
        <f>+BALANCESHEET!C13</f>
        <v>0</v>
      </c>
    </row>
    <row r="12" spans="1:3">
      <c r="A12" s="23">
        <v>3</v>
      </c>
      <c r="B12" s="18" t="s">
        <v>23</v>
      </c>
      <c r="C12" s="822">
        <f>+BALANCESHEET!C14</f>
        <v>0</v>
      </c>
    </row>
    <row r="13" spans="1:3">
      <c r="A13" s="23">
        <v>4</v>
      </c>
      <c r="B13" s="18" t="s">
        <v>644</v>
      </c>
      <c r="C13" s="822">
        <f>+BALANCESHEET!C15</f>
        <v>0</v>
      </c>
    </row>
    <row r="14" spans="1:3">
      <c r="A14" s="23">
        <v>5</v>
      </c>
      <c r="B14" s="18" t="s">
        <v>645</v>
      </c>
      <c r="C14" s="822">
        <f>+BALANCESHEET!C17</f>
        <v>0</v>
      </c>
    </row>
    <row r="15" spans="1:3">
      <c r="A15" s="23">
        <v>6</v>
      </c>
      <c r="B15" s="18" t="s">
        <v>646</v>
      </c>
      <c r="C15" s="822">
        <f>+BALANCESHEET!C36</f>
        <v>0</v>
      </c>
    </row>
    <row r="16" spans="1:3">
      <c r="A16" s="23">
        <v>7</v>
      </c>
      <c r="B16" s="18" t="s">
        <v>647</v>
      </c>
      <c r="C16" s="822">
        <f>+BALANCESHEET!C26</f>
        <v>0</v>
      </c>
    </row>
    <row r="17" spans="1:3">
      <c r="A17" s="23">
        <v>8</v>
      </c>
      <c r="B17" s="18" t="s">
        <v>648</v>
      </c>
      <c r="C17" s="822">
        <f>+BALANCESHEET!C40</f>
        <v>0</v>
      </c>
    </row>
    <row r="18" spans="1:3">
      <c r="A18" s="23">
        <v>9</v>
      </c>
      <c r="B18" s="18" t="s">
        <v>649</v>
      </c>
      <c r="C18" s="822">
        <f>+BALANCESHEET!C29</f>
        <v>0</v>
      </c>
    </row>
    <row r="19" spans="1:3">
      <c r="A19" s="23">
        <v>10</v>
      </c>
      <c r="B19" s="18" t="s">
        <v>650</v>
      </c>
      <c r="C19" s="822">
        <f>BALANCESHEET!C43+BALANCESHEET!C46</f>
        <v>0</v>
      </c>
    </row>
    <row r="20" spans="1:3">
      <c r="A20" s="16" t="s">
        <v>515</v>
      </c>
      <c r="B20" s="31" t="s">
        <v>651</v>
      </c>
      <c r="C20" s="821">
        <f>SUM(C21:C27)</f>
        <v>0</v>
      </c>
    </row>
    <row r="21" spans="1:3">
      <c r="A21" s="23">
        <v>1</v>
      </c>
      <c r="B21" s="24" t="s">
        <v>601</v>
      </c>
      <c r="C21" s="823">
        <f>+BALANCESHEET!G11</f>
        <v>0</v>
      </c>
    </row>
    <row r="22" spans="1:3">
      <c r="A22" s="23">
        <v>2</v>
      </c>
      <c r="B22" s="24" t="s">
        <v>294</v>
      </c>
      <c r="C22" s="823">
        <f>+BALANCESHEET!G15+BALANCESHEET!G30</f>
        <v>0</v>
      </c>
    </row>
    <row r="23" spans="1:3">
      <c r="A23" s="23">
        <v>3</v>
      </c>
      <c r="B23" s="24" t="s">
        <v>602</v>
      </c>
      <c r="C23" s="823">
        <f>+BALANCESHEET!G16+BALANCESHEET!G31</f>
        <v>0</v>
      </c>
    </row>
    <row r="24" spans="1:3">
      <c r="A24" s="23">
        <v>4</v>
      </c>
      <c r="B24" s="24" t="s">
        <v>603</v>
      </c>
      <c r="C24" s="823">
        <f>+BALANCESHEET!G17+BALANCESHEET!G32</f>
        <v>0</v>
      </c>
    </row>
    <row r="25" spans="1:3">
      <c r="A25" s="23">
        <v>5</v>
      </c>
      <c r="B25" s="24" t="s">
        <v>30</v>
      </c>
      <c r="C25" s="823">
        <f>+BALANCESHEET!G18+BALANCESHEET!G33</f>
        <v>0</v>
      </c>
    </row>
    <row r="26" spans="1:3">
      <c r="A26" s="23">
        <v>6</v>
      </c>
      <c r="B26" s="24" t="s">
        <v>66</v>
      </c>
      <c r="C26" s="823">
        <f>+BALANCESHEET!G34</f>
        <v>0</v>
      </c>
    </row>
    <row r="27" spans="1:3">
      <c r="A27" s="23">
        <v>7</v>
      </c>
      <c r="B27" s="24" t="s">
        <v>65</v>
      </c>
      <c r="C27" s="823">
        <f>+BALANCESHEET!G19</f>
        <v>0</v>
      </c>
    </row>
    <row r="28" spans="1:3">
      <c r="A28" s="16" t="s">
        <v>652</v>
      </c>
      <c r="B28" s="31" t="s">
        <v>86</v>
      </c>
      <c r="C28" s="821">
        <f>+BALANCESHEET!G35</f>
        <v>0</v>
      </c>
    </row>
    <row r="29" spans="1:3">
      <c r="A29" s="23">
        <v>1</v>
      </c>
      <c r="B29" s="24" t="s">
        <v>653</v>
      </c>
      <c r="C29" s="822">
        <f>+BALANCESHEET!G36</f>
        <v>0</v>
      </c>
    </row>
    <row r="30" spans="1:3">
      <c r="A30" s="23">
        <v>2</v>
      </c>
      <c r="B30" s="25" t="s">
        <v>95</v>
      </c>
      <c r="C30" s="822">
        <f>+BALANCESHEET!G39</f>
        <v>0</v>
      </c>
    </row>
    <row r="31" spans="1:3">
      <c r="A31" s="16" t="s">
        <v>654</v>
      </c>
      <c r="B31" s="17" t="s">
        <v>324</v>
      </c>
      <c r="C31" s="824">
        <f>+BALANCESHEET!G41</f>
        <v>0</v>
      </c>
    </row>
    <row r="32" spans="1:3">
      <c r="A32" s="23">
        <v>1</v>
      </c>
      <c r="B32" s="18" t="s">
        <v>326</v>
      </c>
      <c r="C32" s="822">
        <f>+BALANCESHEET!G42</f>
        <v>0</v>
      </c>
    </row>
    <row r="33" spans="1:3">
      <c r="A33" s="23">
        <v>2</v>
      </c>
      <c r="B33" s="18" t="s">
        <v>328</v>
      </c>
      <c r="C33" s="822">
        <f>+BALANCESHEET!G43</f>
        <v>0</v>
      </c>
    </row>
    <row r="34" spans="1:3">
      <c r="A34" s="23">
        <v>3</v>
      </c>
      <c r="B34" s="18" t="s">
        <v>329</v>
      </c>
      <c r="C34" s="822">
        <f>+BALANCESHEET!G44</f>
        <v>0</v>
      </c>
    </row>
    <row r="35" spans="1:3">
      <c r="A35" s="23">
        <v>4</v>
      </c>
      <c r="B35" s="18" t="s">
        <v>655</v>
      </c>
      <c r="C35" s="822">
        <f>+BALANCESHEET!G45</f>
        <v>0</v>
      </c>
    </row>
    <row r="36" spans="1:3">
      <c r="A36" s="23">
        <v>5</v>
      </c>
      <c r="B36" s="18" t="s">
        <v>331</v>
      </c>
      <c r="C36" s="822">
        <f>+BALANCESHEET!G46</f>
        <v>0</v>
      </c>
    </row>
    <row r="37" spans="1:3">
      <c r="A37" s="23">
        <v>6</v>
      </c>
      <c r="B37" s="18" t="s">
        <v>656</v>
      </c>
      <c r="C37" s="822">
        <f>+BALANCESHEET!G47</f>
        <v>0</v>
      </c>
    </row>
    <row r="38" spans="1:3">
      <c r="A38" s="23">
        <v>7</v>
      </c>
      <c r="B38" s="18" t="s">
        <v>657</v>
      </c>
      <c r="C38" s="822">
        <f>+BALANCESHEET!G48</f>
        <v>0</v>
      </c>
    </row>
    <row r="39" spans="1:3">
      <c r="A39" s="32"/>
      <c r="B39" s="16" t="s">
        <v>633</v>
      </c>
      <c r="C39" s="32"/>
    </row>
    <row r="40" spans="1:3" ht="25.5">
      <c r="A40" s="33" t="s">
        <v>239</v>
      </c>
      <c r="B40" s="30" t="s">
        <v>658</v>
      </c>
      <c r="C40" s="825" t="s">
        <v>659</v>
      </c>
    </row>
    <row r="41" spans="1:3">
      <c r="A41" s="27">
        <v>1</v>
      </c>
      <c r="B41" s="24" t="s">
        <v>660</v>
      </c>
      <c r="C41" s="826" t="e">
        <f>C14/C9*100%</f>
        <v>#DIV/0!</v>
      </c>
    </row>
    <row r="42" spans="1:3">
      <c r="A42" s="27">
        <v>2</v>
      </c>
      <c r="B42" s="18" t="s">
        <v>661</v>
      </c>
      <c r="C42" s="827" t="e">
        <f>IF(C41&gt;0.85,VALUE(C41-0.85),IF(C41&lt;0.6,VALUE(0.6-C41),"-"))</f>
        <v>#DIV/0!</v>
      </c>
    </row>
    <row r="43" spans="1:3" ht="25.5">
      <c r="A43" s="33" t="s">
        <v>261</v>
      </c>
      <c r="B43" s="30" t="s">
        <v>662</v>
      </c>
      <c r="C43" s="825">
        <v>0.1</v>
      </c>
    </row>
    <row r="44" spans="1:3">
      <c r="A44" s="28">
        <v>1</v>
      </c>
      <c r="B44" s="24" t="s">
        <v>660</v>
      </c>
      <c r="C44" s="826" t="e">
        <f>C17/C9*100%</f>
        <v>#DIV/0!</v>
      </c>
    </row>
    <row r="45" spans="1:3">
      <c r="A45" s="27">
        <v>2</v>
      </c>
      <c r="B45" s="24" t="s">
        <v>636</v>
      </c>
      <c r="C45" s="826" t="e">
        <f>IF(C44&lt;C43,"-", VALUE(C44-C43))</f>
        <v>#DIV/0!</v>
      </c>
    </row>
    <row r="46" spans="1:3" ht="25.5">
      <c r="A46" s="34" t="s">
        <v>279</v>
      </c>
      <c r="B46" s="31" t="s">
        <v>663</v>
      </c>
      <c r="C46" s="828" t="s">
        <v>664</v>
      </c>
    </row>
    <row r="47" spans="1:3">
      <c r="A47" s="28">
        <v>1</v>
      </c>
      <c r="B47" s="24" t="s">
        <v>660</v>
      </c>
      <c r="C47" s="826" t="e">
        <f>C21/C9*100%</f>
        <v>#DIV/0!</v>
      </c>
    </row>
    <row r="48" spans="1:3">
      <c r="A48" s="27">
        <v>2</v>
      </c>
      <c r="B48" s="24" t="s">
        <v>636</v>
      </c>
      <c r="C48" s="826" t="e">
        <f>IF(C47&gt;0.8,VALUE(C47-0.8),IF(C47&lt;0.2,VALUE(0.2-C47),"-"))</f>
        <v>#DIV/0!</v>
      </c>
    </row>
    <row r="49" spans="1:3" ht="25.5">
      <c r="A49" s="34" t="s">
        <v>280</v>
      </c>
      <c r="B49" s="30" t="s">
        <v>665</v>
      </c>
      <c r="C49" s="825">
        <v>0.2</v>
      </c>
    </row>
    <row r="50" spans="1:3">
      <c r="A50" s="23">
        <v>1</v>
      </c>
      <c r="B50" s="24" t="s">
        <v>660</v>
      </c>
      <c r="C50" s="829" t="e">
        <f>(C22+C23+C24)/C9*100%</f>
        <v>#DIV/0!</v>
      </c>
    </row>
    <row r="51" spans="1:3">
      <c r="A51" s="26">
        <v>2</v>
      </c>
      <c r="B51" s="24" t="s">
        <v>636</v>
      </c>
      <c r="C51" s="826" t="e">
        <f>IF(C50&lt;C49,"-",VALUE(C50-C49))</f>
        <v>#DIV/0!</v>
      </c>
    </row>
    <row r="52" spans="1:3" ht="25.5">
      <c r="A52" s="34" t="s">
        <v>282</v>
      </c>
      <c r="B52" s="30" t="s">
        <v>666</v>
      </c>
      <c r="C52" s="825">
        <v>0.1</v>
      </c>
    </row>
    <row r="53" spans="1:3">
      <c r="A53" s="28">
        <v>1</v>
      </c>
      <c r="B53" s="18" t="s">
        <v>660</v>
      </c>
      <c r="C53" s="830" t="e">
        <f>+'BIG SHARES'!D52</f>
        <v>#DIV/0!</v>
      </c>
    </row>
    <row r="54" spans="1:3">
      <c r="A54" s="27">
        <v>2</v>
      </c>
      <c r="B54" s="18" t="s">
        <v>636</v>
      </c>
      <c r="C54" s="827" t="e">
        <f>IF(C53&lt;C52,"-",VALUE(C53-C52))</f>
        <v>#DIV/0!</v>
      </c>
    </row>
    <row r="55" spans="1:3">
      <c r="A55" s="29" t="s">
        <v>395</v>
      </c>
      <c r="B55" s="31" t="s">
        <v>809</v>
      </c>
      <c r="C55" s="828">
        <v>0.03</v>
      </c>
    </row>
    <row r="56" spans="1:3">
      <c r="A56" s="26">
        <v>1</v>
      </c>
      <c r="B56" s="24" t="s">
        <v>660</v>
      </c>
      <c r="C56" s="827" t="e">
        <f>C32/C9*100%</f>
        <v>#DIV/0!</v>
      </c>
    </row>
    <row r="57" spans="1:3">
      <c r="A57" s="26">
        <v>2</v>
      </c>
      <c r="B57" s="24" t="s">
        <v>636</v>
      </c>
      <c r="C57" s="826" t="e">
        <f>IF(C56&gt;C55,"-",VALUE(C55-C56))</f>
        <v>#DIV/0!</v>
      </c>
    </row>
    <row r="58" spans="1:3" ht="25.5">
      <c r="A58" s="29" t="s">
        <v>401</v>
      </c>
      <c r="B58" s="31" t="s">
        <v>667</v>
      </c>
      <c r="C58" s="828">
        <v>0.05</v>
      </c>
    </row>
    <row r="59" spans="1:3">
      <c r="A59" s="26">
        <v>1</v>
      </c>
      <c r="B59" s="24" t="s">
        <v>660</v>
      </c>
      <c r="C59" s="827" t="e">
        <f>C31/C9*100%</f>
        <v>#DIV/0!</v>
      </c>
    </row>
    <row r="60" spans="1:3">
      <c r="A60" s="26">
        <v>2</v>
      </c>
      <c r="B60" s="24" t="s">
        <v>636</v>
      </c>
      <c r="C60" s="826" t="e">
        <f>IF(C59&gt;C58,"-",VALUE(C58-C59))</f>
        <v>#DIV/0!</v>
      </c>
    </row>
    <row r="61" spans="1:3" ht="25.5">
      <c r="A61" s="29" t="s">
        <v>668</v>
      </c>
      <c r="B61" s="31" t="s">
        <v>669</v>
      </c>
      <c r="C61" s="828">
        <v>0.05</v>
      </c>
    </row>
    <row r="62" spans="1:3">
      <c r="A62" s="26">
        <v>1</v>
      </c>
      <c r="B62" s="24" t="s">
        <v>660</v>
      </c>
      <c r="C62" s="827" t="e">
        <f>C34/C31*100%</f>
        <v>#DIV/0!</v>
      </c>
    </row>
    <row r="63" spans="1:3">
      <c r="A63" s="26">
        <v>2</v>
      </c>
      <c r="B63" s="24" t="s">
        <v>636</v>
      </c>
      <c r="C63" s="826" t="e">
        <f>IF(C62&gt;C61,"-",VALUE(C61-C62))</f>
        <v>#DIV/0!</v>
      </c>
    </row>
    <row r="64" spans="1:3" ht="25.5">
      <c r="A64" s="29" t="s">
        <v>670</v>
      </c>
      <c r="B64" s="31" t="s">
        <v>671</v>
      </c>
      <c r="C64" s="828">
        <v>0.05</v>
      </c>
    </row>
    <row r="65" spans="1:3">
      <c r="A65" s="26">
        <v>1</v>
      </c>
      <c r="B65" s="24" t="s">
        <v>660</v>
      </c>
      <c r="C65" s="827" t="e">
        <f>C36/C31*100%</f>
        <v>#DIV/0!</v>
      </c>
    </row>
    <row r="66" spans="1:3">
      <c r="A66" s="26">
        <v>2</v>
      </c>
      <c r="B66" s="24" t="s">
        <v>636</v>
      </c>
      <c r="C66" s="826"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31">
        <f>SUM(C11:C14)</f>
        <v>0</v>
      </c>
    </row>
    <row r="11" spans="1:3">
      <c r="A11" s="23">
        <v>1</v>
      </c>
      <c r="B11" s="18" t="s">
        <v>643</v>
      </c>
      <c r="C11" s="832">
        <f>+BALANCESHEET!C12</f>
        <v>0</v>
      </c>
    </row>
    <row r="12" spans="1:3">
      <c r="A12" s="23">
        <v>2</v>
      </c>
      <c r="B12" s="18" t="s">
        <v>18</v>
      </c>
      <c r="C12" s="832">
        <f>+BALANCESHEET!C13</f>
        <v>0</v>
      </c>
    </row>
    <row r="13" spans="1:3">
      <c r="A13" s="23">
        <v>3</v>
      </c>
      <c r="B13" s="18" t="s">
        <v>23</v>
      </c>
      <c r="C13" s="832">
        <f>+BALANCESHEET!C14</f>
        <v>0</v>
      </c>
    </row>
    <row r="14" spans="1:3">
      <c r="A14" s="23">
        <v>4</v>
      </c>
      <c r="B14" s="18" t="s">
        <v>704</v>
      </c>
      <c r="C14" s="832">
        <f>+ALM!D14</f>
        <v>0</v>
      </c>
    </row>
    <row r="15" spans="1:3">
      <c r="A15" s="16" t="s">
        <v>515</v>
      </c>
      <c r="B15" s="30" t="s">
        <v>705</v>
      </c>
      <c r="C15" s="831">
        <f>SUM(C16:C21)</f>
        <v>0</v>
      </c>
    </row>
    <row r="16" spans="1:3">
      <c r="A16" s="23">
        <v>1</v>
      </c>
      <c r="B16" s="25" t="s">
        <v>706</v>
      </c>
      <c r="C16" s="832">
        <f>+BALANCESHEET!G12</f>
        <v>0</v>
      </c>
    </row>
    <row r="17" spans="1:3">
      <c r="A17" s="23">
        <v>2</v>
      </c>
      <c r="B17" s="25" t="s">
        <v>707</v>
      </c>
      <c r="C17" s="832">
        <f>+ALM!D18</f>
        <v>0</v>
      </c>
    </row>
    <row r="18" spans="1:3">
      <c r="A18" s="23">
        <v>3</v>
      </c>
      <c r="B18" s="25" t="s">
        <v>708</v>
      </c>
      <c r="C18" s="832">
        <f>+ALM!E18+ALM!F18+ALM!G18+ALM!H18+ALM!I18+ALM!J18</f>
        <v>0</v>
      </c>
    </row>
    <row r="19" spans="1:3">
      <c r="A19" s="23">
        <v>4</v>
      </c>
      <c r="B19" s="25" t="s">
        <v>709</v>
      </c>
      <c r="C19" s="832">
        <f>+ALM!D19+ALM!D20+ALM!D21+ALM!D22</f>
        <v>0</v>
      </c>
    </row>
    <row r="20" spans="1:3">
      <c r="A20" s="23">
        <v>5</v>
      </c>
      <c r="B20" s="25" t="s">
        <v>710</v>
      </c>
      <c r="C20" s="832">
        <f>+BALANCESHEET!G19</f>
        <v>0</v>
      </c>
    </row>
    <row r="21" spans="1:3">
      <c r="A21" s="23">
        <v>6</v>
      </c>
      <c r="B21" s="25" t="s">
        <v>711</v>
      </c>
      <c r="C21" s="832">
        <f>+SUM(ALM!E19:E22)+SUM(ALM!F19:F22)+SUM(ALM!G19:G22)+SUM(ALM!H19:H22)+SUM(ALM!I19:I22)+SUM(ALM!J19:J22)</f>
        <v>0</v>
      </c>
    </row>
    <row r="22" spans="1:3">
      <c r="A22" s="47"/>
      <c r="B22" s="16" t="s">
        <v>633</v>
      </c>
      <c r="C22" s="32"/>
    </row>
    <row r="23" spans="1:3" ht="14.25" customHeight="1">
      <c r="A23" s="16" t="s">
        <v>652</v>
      </c>
      <c r="B23" s="31" t="s">
        <v>813</v>
      </c>
      <c r="C23" s="833">
        <v>0.04</v>
      </c>
    </row>
    <row r="24" spans="1:3">
      <c r="A24" s="28">
        <v>1</v>
      </c>
      <c r="B24" s="18" t="s">
        <v>712</v>
      </c>
      <c r="C24" s="834"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4" workbookViewId="0">
      <selection activeCell="G4" sqref="G1:G1048576"/>
    </sheetView>
  </sheetViews>
  <sheetFormatPr defaultColWidth="9.28515625" defaultRowHeight="12.75"/>
  <cols>
    <col min="1" max="1" width="3.28515625" style="542" bestFit="1" customWidth="1"/>
    <col min="2" max="2" width="48" style="542" customWidth="1"/>
    <col min="3" max="3" width="15.7109375" style="542" bestFit="1" customWidth="1"/>
    <col min="4" max="4" width="23.28515625" style="542" customWidth="1"/>
    <col min="5" max="6" width="9.28515625" style="542"/>
    <col min="7" max="7" width="7" style="542" hidden="1" customWidth="1"/>
    <col min="8" max="8" width="9.28515625" style="542"/>
    <col min="9" max="16384" width="9.28515625" style="535"/>
  </cols>
  <sheetData>
    <row r="1" spans="1:7">
      <c r="A1" s="311"/>
      <c r="B1" s="311"/>
      <c r="C1" s="311"/>
      <c r="D1" s="138" t="s">
        <v>749</v>
      </c>
    </row>
    <row r="2" spans="1:7">
      <c r="A2" s="311"/>
      <c r="B2" s="311"/>
      <c r="C2" s="311"/>
      <c r="D2" s="138" t="s">
        <v>761</v>
      </c>
    </row>
    <row r="3" spans="1:7">
      <c r="A3" s="311"/>
      <c r="B3" s="311"/>
      <c r="C3" s="311"/>
      <c r="D3" s="311"/>
    </row>
    <row r="4" spans="1:7">
      <c r="A4" s="1065" t="s">
        <v>714</v>
      </c>
      <c r="B4" s="1065"/>
      <c r="C4" s="1065"/>
      <c r="D4" s="1065"/>
    </row>
    <row r="5" spans="1:7">
      <c r="A5" s="1032" t="str">
        <f>+STATISTICS!A4</f>
        <v>ХАДГАЛАМЖ, ЗЭЭЛИЙН ХОРШООНЫ НЭР</v>
      </c>
      <c r="B5" s="1032"/>
      <c r="C5" s="1032"/>
      <c r="D5" s="1032"/>
    </row>
    <row r="6" spans="1:7">
      <c r="A6" s="1010" t="str">
        <f>[2]BALANCE!A5</f>
        <v>ХАДГАЛАМЖ, ЗЭЭЛИЙН ХОРШОО</v>
      </c>
      <c r="B6" s="1010"/>
      <c r="C6" s="1010"/>
      <c r="D6" s="1010"/>
    </row>
    <row r="7" spans="1:7">
      <c r="A7" s="311"/>
      <c r="B7" s="311"/>
      <c r="C7" s="311"/>
      <c r="D7" s="311"/>
    </row>
    <row r="8" spans="1:7">
      <c r="A8" s="1166" t="str">
        <f>+STATISTICS!A7</f>
        <v>Огноо</v>
      </c>
      <c r="B8" s="1166"/>
      <c r="C8" s="311"/>
      <c r="D8" s="311"/>
    </row>
    <row r="9" spans="1:7" ht="18.75" customHeight="1">
      <c r="A9" s="646" t="s">
        <v>237</v>
      </c>
      <c r="B9" s="647" t="s">
        <v>715</v>
      </c>
      <c r="C9" s="648" t="s">
        <v>716</v>
      </c>
      <c r="D9" s="647" t="s">
        <v>717</v>
      </c>
    </row>
    <row r="10" spans="1:7">
      <c r="A10" s="647" t="s">
        <v>642</v>
      </c>
      <c r="B10" s="1248" t="s">
        <v>718</v>
      </c>
      <c r="C10" s="1248"/>
      <c r="D10" s="1248"/>
    </row>
    <row r="11" spans="1:7" ht="27" customHeight="1">
      <c r="A11" s="649">
        <v>1</v>
      </c>
      <c r="B11" s="679" t="s">
        <v>719</v>
      </c>
      <c r="C11" s="650">
        <f>+A!F11+A!F18</f>
        <v>0</v>
      </c>
      <c r="D11" s="651">
        <f>+A!G12+A!G19</f>
        <v>0</v>
      </c>
    </row>
    <row r="12" spans="1:7">
      <c r="A12" s="652">
        <v>2</v>
      </c>
      <c r="B12" s="653" t="s">
        <v>720</v>
      </c>
      <c r="C12" s="654" t="s">
        <v>721</v>
      </c>
      <c r="D12" s="654" t="e">
        <f>+A!G27</f>
        <v>#DIV/0!</v>
      </c>
      <c r="G12" s="655" t="e">
        <f>IF(D12&lt;=0.05,"!","")</f>
        <v>#DIV/0!</v>
      </c>
    </row>
    <row r="13" spans="1:7" ht="25.5">
      <c r="A13" s="652">
        <v>3</v>
      </c>
      <c r="B13" s="653" t="s">
        <v>722</v>
      </c>
      <c r="C13" s="654" t="s">
        <v>723</v>
      </c>
      <c r="D13" s="654" t="e">
        <f>+'40 BIG LOAN'!O54</f>
        <v>#DIV/0!</v>
      </c>
      <c r="G13" s="655" t="e">
        <f>IF(D13&lt;=0.3,"!","")</f>
        <v>#DIV/0!</v>
      </c>
    </row>
    <row r="14" spans="1:7" ht="25.5">
      <c r="A14" s="652">
        <v>4</v>
      </c>
      <c r="B14" s="653" t="s">
        <v>724</v>
      </c>
      <c r="C14" s="654" t="s">
        <v>723</v>
      </c>
      <c r="D14" s="654" t="e">
        <f>+INSIDER!L54</f>
        <v>#DIV/0!</v>
      </c>
      <c r="G14" s="655" t="e">
        <f>IF(D14&lt;=0.3,"!","")</f>
        <v>#DIV/0!</v>
      </c>
    </row>
    <row r="15" spans="1:7" ht="21" customHeight="1">
      <c r="A15" s="647" t="s">
        <v>515</v>
      </c>
      <c r="B15" s="1245" t="s">
        <v>725</v>
      </c>
      <c r="C15" s="1245"/>
      <c r="D15" s="1245"/>
      <c r="G15" s="655"/>
    </row>
    <row r="16" spans="1:7" ht="25.5">
      <c r="A16" s="652">
        <v>1</v>
      </c>
      <c r="B16" s="656" t="s">
        <v>726</v>
      </c>
      <c r="C16" s="657" t="s">
        <v>727</v>
      </c>
      <c r="D16" s="657" t="e">
        <f>+E!C41</f>
        <v>#DIV/0!</v>
      </c>
      <c r="G16" s="655" t="e">
        <f>IF(AND(D16&gt;=0.6, D16&lt;=0.85),"!","")</f>
        <v>#DIV/0!</v>
      </c>
    </row>
    <row r="17" spans="1:7">
      <c r="A17" s="652">
        <v>2</v>
      </c>
      <c r="B17" s="656" t="s">
        <v>728</v>
      </c>
      <c r="C17" s="658" t="s">
        <v>729</v>
      </c>
      <c r="D17" s="658" t="e">
        <f>+E!C44</f>
        <v>#DIV/0!</v>
      </c>
      <c r="G17" s="655" t="e">
        <f>IF(D17&lt;=0.1,"!","")</f>
        <v>#DIV/0!</v>
      </c>
    </row>
    <row r="18" spans="1:7" ht="25.5">
      <c r="A18" s="652">
        <v>3</v>
      </c>
      <c r="B18" s="656" t="s">
        <v>730</v>
      </c>
      <c r="C18" s="658" t="s">
        <v>731</v>
      </c>
      <c r="D18" s="658" t="e">
        <f>+E!C47</f>
        <v>#DIV/0!</v>
      </c>
      <c r="G18" s="655" t="e">
        <f>IF(AND(D18&gt;=0.2,D18&lt;=0.8),"!","")</f>
        <v>#DIV/0!</v>
      </c>
    </row>
    <row r="19" spans="1:7">
      <c r="A19" s="652">
        <v>4</v>
      </c>
      <c r="B19" s="656" t="s">
        <v>732</v>
      </c>
      <c r="C19" s="658" t="s">
        <v>733</v>
      </c>
      <c r="D19" s="658" t="e">
        <f>+E!C50</f>
        <v>#DIV/0!</v>
      </c>
      <c r="G19" s="655" t="e">
        <f>IF(D19&lt;=0.2,"!","")</f>
        <v>#DIV/0!</v>
      </c>
    </row>
    <row r="20" spans="1:7" ht="25.5">
      <c r="A20" s="652">
        <v>5</v>
      </c>
      <c r="B20" s="656" t="s">
        <v>734</v>
      </c>
      <c r="C20" s="658" t="s">
        <v>729</v>
      </c>
      <c r="D20" s="658" t="e">
        <f>+E!C53</f>
        <v>#DIV/0!</v>
      </c>
      <c r="G20" s="655" t="e">
        <f>IF(D20&lt;=0.1,"!","")</f>
        <v>#DIV/0!</v>
      </c>
    </row>
    <row r="21" spans="1:7">
      <c r="A21" s="652">
        <v>6</v>
      </c>
      <c r="B21" s="656" t="s">
        <v>735</v>
      </c>
      <c r="C21" s="658" t="s">
        <v>736</v>
      </c>
      <c r="D21" s="658" t="e">
        <f>+E!C59</f>
        <v>#DIV/0!</v>
      </c>
      <c r="G21" s="655" t="e">
        <f>IF(D21&gt;=0.05,"!","")</f>
        <v>#DIV/0!</v>
      </c>
    </row>
    <row r="22" spans="1:7" ht="25.5">
      <c r="A22" s="652">
        <v>7</v>
      </c>
      <c r="B22" s="656" t="s">
        <v>737</v>
      </c>
      <c r="C22" s="659">
        <f>+IF(BALANCESHEET!C51&gt;0,BALANCESHEET!C51*3%,0)</f>
        <v>0</v>
      </c>
      <c r="D22" s="660">
        <f>+BALANCESHEET!G42</f>
        <v>0</v>
      </c>
      <c r="G22" s="655" t="str">
        <f>IF(C22&lt;D22,"!","")</f>
        <v/>
      </c>
    </row>
    <row r="23" spans="1:7" ht="25.5">
      <c r="A23" s="652">
        <v>8</v>
      </c>
      <c r="B23" s="656" t="s">
        <v>738</v>
      </c>
      <c r="C23" s="659">
        <f>+IF(BALANCESHEET!G41&gt;0,BALANCESHEET!G41*5%,0)</f>
        <v>0</v>
      </c>
      <c r="D23" s="660">
        <f>+BALANCESHEET!G44</f>
        <v>0</v>
      </c>
      <c r="G23" s="655" t="str">
        <f>IF(C23&lt;D23,"!","")</f>
        <v/>
      </c>
    </row>
    <row r="24" spans="1:7" ht="25.5">
      <c r="A24" s="652">
        <v>9</v>
      </c>
      <c r="B24" s="656" t="s">
        <v>739</v>
      </c>
      <c r="C24" s="659">
        <f>+IF(BALANCESHEET!G41&gt;0,BALANCESHEET!G41*5%,0)</f>
        <v>0</v>
      </c>
      <c r="D24" s="660">
        <f>+BALANCESHEET!G46</f>
        <v>0</v>
      </c>
      <c r="G24" s="655" t="str">
        <f>IF(C24&lt;D24,"!","")</f>
        <v/>
      </c>
    </row>
    <row r="25" spans="1:7">
      <c r="A25" s="647" t="s">
        <v>652</v>
      </c>
      <c r="B25" s="1246" t="s">
        <v>740</v>
      </c>
      <c r="C25" s="1246"/>
      <c r="D25" s="1246"/>
      <c r="G25" s="655"/>
    </row>
    <row r="26" spans="1:7" ht="25.5">
      <c r="A26" s="652">
        <v>10</v>
      </c>
      <c r="B26" s="661" t="s">
        <v>741</v>
      </c>
      <c r="C26" s="658" t="s">
        <v>742</v>
      </c>
      <c r="D26" s="658" t="e">
        <f>+'R'!C25</f>
        <v>#DIV/0!</v>
      </c>
      <c r="G26" s="655" t="e">
        <f>IF(D26&lt;=0.15,"!","")</f>
        <v>#DIV/0!</v>
      </c>
    </row>
    <row r="27" spans="1:7">
      <c r="A27" s="647" t="s">
        <v>654</v>
      </c>
      <c r="B27" s="1245" t="s">
        <v>743</v>
      </c>
      <c r="C27" s="1245"/>
      <c r="D27" s="1245"/>
      <c r="G27" s="655"/>
    </row>
    <row r="28" spans="1:7" ht="25.5">
      <c r="A28" s="652">
        <v>11</v>
      </c>
      <c r="B28" s="667" t="s">
        <v>744</v>
      </c>
      <c r="C28" s="662" t="s">
        <v>806</v>
      </c>
      <c r="D28" s="662" t="e">
        <f>+L!C24</f>
        <v>#DIV/0!</v>
      </c>
      <c r="G28" s="663" t="e">
        <f>IF(D28&gt;=0.05,"!","")</f>
        <v>#DIV/0!</v>
      </c>
    </row>
    <row r="29" spans="1:7" ht="18.75" customHeight="1">
      <c r="A29" s="647" t="s">
        <v>678</v>
      </c>
      <c r="B29" s="1245" t="s">
        <v>745</v>
      </c>
      <c r="C29" s="1245"/>
      <c r="D29" s="1245"/>
      <c r="G29" s="663"/>
    </row>
    <row r="30" spans="1:7">
      <c r="A30" s="649">
        <v>12</v>
      </c>
      <c r="B30" s="1247" t="s">
        <v>746</v>
      </c>
      <c r="C30" s="1247"/>
      <c r="D30" s="654" t="e">
        <f>+'R'!C28</f>
        <v>#DIV/0!</v>
      </c>
      <c r="G30" s="663"/>
    </row>
    <row r="31" spans="1:7">
      <c r="A31" s="235"/>
      <c r="B31" s="235"/>
      <c r="C31" s="235"/>
      <c r="D31" s="235"/>
    </row>
    <row r="32" spans="1:7">
      <c r="A32" s="235"/>
      <c r="B32" s="664" t="s">
        <v>777</v>
      </c>
      <c r="C32" s="235">
        <f>COUNTIF(G9:G30,"!")</f>
        <v>0</v>
      </c>
      <c r="D32" s="666" t="s">
        <v>747</v>
      </c>
    </row>
    <row r="35" spans="1:4">
      <c r="A35" s="984" t="s">
        <v>232</v>
      </c>
      <c r="B35" s="1042"/>
      <c r="C35" s="1042"/>
      <c r="D35" s="1042"/>
    </row>
    <row r="36" spans="1:4">
      <c r="A36" s="1042" t="s">
        <v>233</v>
      </c>
      <c r="B36" s="1042"/>
      <c r="C36" s="1042"/>
      <c r="D36" s="1042"/>
    </row>
    <row r="38" spans="1:4">
      <c r="B38" s="664" t="s">
        <v>234</v>
      </c>
      <c r="D38" s="542" t="str">
        <f>+STATISTICS!C94</f>
        <v>/Нэр/</v>
      </c>
    </row>
    <row r="39" spans="1:4">
      <c r="B39" s="664"/>
    </row>
    <row r="40" spans="1:4">
      <c r="B40" s="664" t="s">
        <v>236</v>
      </c>
      <c r="D40" s="542" t="str">
        <f>+STATISTICS!C96</f>
        <v>/Нэр/</v>
      </c>
    </row>
  </sheetData>
  <sheetProtection algorithmName="SHA-512" hashValue="E195sCVPHmSamNbj9ybFIRQ9e3rkP8bOAwDs8apk4f94xrf/kL09v+IOW4aPodSwDkc80/5WfC3tS1f4ZoTbcw==" saltValue="QN8EPG22dYNhNfZn+aIkcw==" spinCount="100000" sheet="1" objects="1" scenarios="1" formatCells="0" formatColumns="0" formatRows="0" insertColumns="0" insertRows="0" insertHyperlinks="0" deleteColumns="0" deleteRows="0" sort="0" autoFilter="0" pivotTables="0"/>
  <mergeCells count="12">
    <mergeCell ref="A4:D4"/>
    <mergeCell ref="A5:D5"/>
    <mergeCell ref="A6:D6"/>
    <mergeCell ref="A8:B8"/>
    <mergeCell ref="B10:D10"/>
    <mergeCell ref="A35:D35"/>
    <mergeCell ref="A36:D36"/>
    <mergeCell ref="B15:D15"/>
    <mergeCell ref="B25:D25"/>
    <mergeCell ref="B27:D27"/>
    <mergeCell ref="B29:D29"/>
    <mergeCell ref="B30:C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6"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1" customWidth="1"/>
    <col min="5" max="16384" width="9.140625" style="63"/>
  </cols>
  <sheetData>
    <row r="1" spans="1:7">
      <c r="A1" s="81"/>
      <c r="B1" s="81"/>
      <c r="C1" s="665" t="s">
        <v>749</v>
      </c>
      <c r="D1" s="453"/>
      <c r="E1" s="453"/>
    </row>
    <row r="2" spans="1:7">
      <c r="A2" s="81"/>
      <c r="B2" s="81"/>
      <c r="C2" s="665" t="s">
        <v>750</v>
      </c>
      <c r="D2" s="453"/>
      <c r="E2" s="453"/>
    </row>
    <row r="3" spans="1:7">
      <c r="A3" s="1010" t="s">
        <v>284</v>
      </c>
      <c r="B3" s="1010"/>
      <c r="C3" s="1010"/>
      <c r="D3" s="119"/>
      <c r="E3" s="62"/>
      <c r="F3" s="62"/>
      <c r="G3" s="62"/>
    </row>
    <row r="4" spans="1:7">
      <c r="A4" s="1011" t="s">
        <v>805</v>
      </c>
      <c r="B4" s="1011"/>
      <c r="C4" s="1011"/>
      <c r="D4" s="119"/>
      <c r="E4" s="62"/>
      <c r="F4" s="62"/>
      <c r="G4" s="62"/>
    </row>
    <row r="5" spans="1:7">
      <c r="A5" s="1010" t="s">
        <v>4</v>
      </c>
      <c r="B5" s="1010"/>
      <c r="C5" s="1010"/>
      <c r="D5" s="119"/>
      <c r="E5" s="62"/>
      <c r="F5" s="62"/>
      <c r="G5" s="62"/>
    </row>
    <row r="6" spans="1:7">
      <c r="A6" s="81"/>
      <c r="B6" s="81"/>
      <c r="C6" s="81"/>
    </row>
    <row r="7" spans="1:7" ht="15.75" thickBot="1">
      <c r="A7" s="1012" t="s">
        <v>819</v>
      </c>
      <c r="B7" s="1012"/>
      <c r="C7" s="64"/>
    </row>
    <row r="8" spans="1:7">
      <c r="A8" s="1013" t="s">
        <v>237</v>
      </c>
      <c r="B8" s="1013" t="s">
        <v>238</v>
      </c>
      <c r="C8" s="1013" t="s">
        <v>799</v>
      </c>
    </row>
    <row r="9" spans="1:7" ht="15.75" thickBot="1">
      <c r="A9" s="989"/>
      <c r="B9" s="989"/>
      <c r="C9" s="989"/>
    </row>
    <row r="10" spans="1:7" ht="15.75" thickBot="1">
      <c r="A10" s="82" t="s">
        <v>239</v>
      </c>
      <c r="B10" s="1017" t="s">
        <v>240</v>
      </c>
      <c r="C10" s="1018"/>
    </row>
    <row r="11" spans="1:7" ht="15.75" thickBot="1">
      <c r="A11" s="985">
        <v>1</v>
      </c>
      <c r="B11" s="83" t="s">
        <v>241</v>
      </c>
      <c r="C11" s="85">
        <f>+SUM(C12:C14)</f>
        <v>0</v>
      </c>
      <c r="D11" s="120" t="str">
        <f>+IF(C11&gt;=20,"","Гишүүдийн тоо 20 ба түүнээс дээш байхыг анхаарна уу")</f>
        <v>Гишүүдийн тоо 20 ба түүнээс дээш байхыг анхаарна уу</v>
      </c>
    </row>
    <row r="12" spans="1:7">
      <c r="A12" s="991"/>
      <c r="B12" s="84" t="s">
        <v>271</v>
      </c>
      <c r="C12" s="65"/>
      <c r="D12" s="120" t="str">
        <f>+IF(C12&gt;0,"","Утга нөхөх")</f>
        <v>Утга нөхөх</v>
      </c>
    </row>
    <row r="13" spans="1:7">
      <c r="A13" s="991"/>
      <c r="B13" s="84" t="s">
        <v>272</v>
      </c>
      <c r="C13" s="65"/>
      <c r="D13" s="120" t="str">
        <f>+IF(C13&gt;0,"","Утга нөхөх")</f>
        <v>Утга нөхөх</v>
      </c>
    </row>
    <row r="14" spans="1:7" ht="15.75" thickBot="1">
      <c r="A14" s="992"/>
      <c r="B14" s="84" t="s">
        <v>273</v>
      </c>
      <c r="C14" s="65"/>
      <c r="D14" s="120" t="str">
        <f>+IF(C14="","Утга нөхөх","")</f>
        <v>Утга нөхөх</v>
      </c>
    </row>
    <row r="15" spans="1:7" ht="15.75" thickBot="1">
      <c r="A15" s="985">
        <v>2</v>
      </c>
      <c r="B15" s="86" t="s">
        <v>242</v>
      </c>
      <c r="C15" s="85">
        <f>+SUM(C16:C19)</f>
        <v>0</v>
      </c>
      <c r="D15" s="121" t="str">
        <f>IF(C15=(C11-C14),"","Гишүүдийн насжилт нийт гишүүдийн тооноос гишүүн хуулийн этгээдийн тоог хассантай тэнцүү байхыг анхаарна уу")</f>
        <v/>
      </c>
    </row>
    <row r="16" spans="1:7">
      <c r="A16" s="986"/>
      <c r="B16" s="87" t="s">
        <v>243</v>
      </c>
      <c r="C16" s="65"/>
    </row>
    <row r="17" spans="1:4">
      <c r="A17" s="986"/>
      <c r="B17" s="87" t="s">
        <v>244</v>
      </c>
      <c r="C17" s="65"/>
    </row>
    <row r="18" spans="1:4">
      <c r="A18" s="986"/>
      <c r="B18" s="87" t="s">
        <v>245</v>
      </c>
      <c r="C18" s="65"/>
    </row>
    <row r="19" spans="1:4" ht="15.75" thickBot="1">
      <c r="A19" s="989"/>
      <c r="B19" s="87" t="s">
        <v>246</v>
      </c>
      <c r="C19" s="65"/>
    </row>
    <row r="20" spans="1:4" ht="15.75" thickBot="1">
      <c r="A20" s="985">
        <v>3</v>
      </c>
      <c r="B20" s="86" t="s">
        <v>247</v>
      </c>
      <c r="C20" s="840">
        <f>+SUM(C21:C25)</f>
        <v>0</v>
      </c>
      <c r="D20" s="121" t="str">
        <f>IF(C20=(C11-C14),"","Гишүүдийн боловсрол нийт гишүүдийн тооноос гишүүн хуулийн этгээдийн тоог хассантай тэнцүү байхыг анхаарна уу")</f>
        <v/>
      </c>
    </row>
    <row r="21" spans="1:4">
      <c r="A21" s="986"/>
      <c r="B21" s="88" t="s">
        <v>248</v>
      </c>
      <c r="C21" s="65"/>
    </row>
    <row r="22" spans="1:4">
      <c r="A22" s="986"/>
      <c r="B22" s="87" t="s">
        <v>249</v>
      </c>
      <c r="C22" s="65"/>
    </row>
    <row r="23" spans="1:4">
      <c r="A23" s="986"/>
      <c r="B23" s="87" t="s">
        <v>250</v>
      </c>
      <c r="C23" s="65"/>
    </row>
    <row r="24" spans="1:4">
      <c r="A24" s="986"/>
      <c r="B24" s="87" t="s">
        <v>251</v>
      </c>
      <c r="C24" s="65"/>
    </row>
    <row r="25" spans="1:4" ht="15.75" thickBot="1">
      <c r="A25" s="986"/>
      <c r="B25" s="87" t="s">
        <v>252</v>
      </c>
      <c r="C25" s="65"/>
    </row>
    <row r="26" spans="1:4" ht="15.75" thickBot="1">
      <c r="A26" s="89" t="s">
        <v>261</v>
      </c>
      <c r="B26" s="1019" t="s">
        <v>253</v>
      </c>
      <c r="C26" s="1020"/>
    </row>
    <row r="27" spans="1:4" ht="15.75" thickBot="1">
      <c r="A27" s="1014">
        <v>4</v>
      </c>
      <c r="B27" s="90" t="s">
        <v>814</v>
      </c>
      <c r="C27" s="93">
        <f>+C28+C30</f>
        <v>0</v>
      </c>
    </row>
    <row r="28" spans="1:4">
      <c r="A28" s="1015"/>
      <c r="B28" s="91" t="s">
        <v>784</v>
      </c>
      <c r="C28" s="66"/>
      <c r="D28" s="120" t="str">
        <f>+IF(C28="","Утга нөхөх","")</f>
        <v>Утга нөхөх</v>
      </c>
    </row>
    <row r="29" spans="1:4">
      <c r="A29" s="1015"/>
      <c r="B29" s="668" t="s">
        <v>801</v>
      </c>
      <c r="C29" s="65"/>
      <c r="D29" s="120" t="str">
        <f>+IF(C29="","Утга нөхөх","")</f>
        <v>Утга нөхөх</v>
      </c>
    </row>
    <row r="30" spans="1:4" ht="15.75" thickBot="1">
      <c r="A30" s="1016"/>
      <c r="B30" s="92" t="s">
        <v>785</v>
      </c>
      <c r="C30" s="67"/>
      <c r="D30" s="120" t="str">
        <f>+IF(C30="","Утга нөхөх","")</f>
        <v>Утга нөхөх</v>
      </c>
    </row>
    <row r="31" spans="1:4" ht="15.75" thickBot="1">
      <c r="A31" s="1015">
        <v>5</v>
      </c>
      <c r="B31" s="94" t="s">
        <v>800</v>
      </c>
      <c r="C31" s="93">
        <f>+C32+C33+C34</f>
        <v>0</v>
      </c>
      <c r="D31" s="121" t="str">
        <f>IF(C31=C27,"","Зээлдэгчдийн тоо зөрүүтэй байна")</f>
        <v/>
      </c>
    </row>
    <row r="32" spans="1:4">
      <c r="A32" s="1015"/>
      <c r="B32" s="95" t="s">
        <v>254</v>
      </c>
      <c r="C32" s="68"/>
      <c r="D32" s="120" t="str">
        <f>+IF(C32="","Утга нөхөх","")</f>
        <v>Утга нөхөх</v>
      </c>
    </row>
    <row r="33" spans="1:4" ht="15.75" thickBot="1">
      <c r="A33" s="1015"/>
      <c r="B33" s="96" t="s">
        <v>255</v>
      </c>
      <c r="C33" s="67"/>
      <c r="D33" s="120" t="str">
        <f>+IF(C33="","Утга нөхөх","")</f>
        <v>Утга нөхөх</v>
      </c>
    </row>
    <row r="34" spans="1:4" ht="15.75" thickBot="1">
      <c r="A34" s="1015"/>
      <c r="B34" s="97" t="s">
        <v>256</v>
      </c>
      <c r="C34" s="99">
        <f>+SUM(C35:C37)</f>
        <v>0</v>
      </c>
    </row>
    <row r="35" spans="1:4">
      <c r="A35" s="1015"/>
      <c r="B35" s="95" t="s">
        <v>274</v>
      </c>
      <c r="C35" s="69"/>
      <c r="D35" s="120" t="str">
        <f>+IF(C35="","Утга нөхөх","")</f>
        <v>Утга нөхөх</v>
      </c>
    </row>
    <row r="36" spans="1:4">
      <c r="A36" s="1015"/>
      <c r="B36" s="98" t="s">
        <v>275</v>
      </c>
      <c r="C36" s="69"/>
      <c r="D36" s="120" t="str">
        <f>+IF(C36="","Утга нөхөх","")</f>
        <v>Утга нөхөх</v>
      </c>
    </row>
    <row r="37" spans="1:4" ht="15.75" thickBot="1">
      <c r="A37" s="1016"/>
      <c r="B37" s="96" t="s">
        <v>278</v>
      </c>
      <c r="C37" s="70"/>
      <c r="D37" s="120" t="str">
        <f>+IF(C37="","Утга нөхөх","")</f>
        <v>Утга нөхөх</v>
      </c>
    </row>
    <row r="38" spans="1:4" ht="15.75" thickBot="1">
      <c r="A38" s="990">
        <v>6</v>
      </c>
      <c r="B38" s="86" t="s">
        <v>276</v>
      </c>
      <c r="C38" s="85">
        <f>+SUM(C39:C42)</f>
        <v>0</v>
      </c>
      <c r="D38" s="121" t="str">
        <f>IF(C38=(C27-C30),"","Зээлдэгчдийн насжилт нийт зээлдэгчийн тооноос гишүүн хуулийн этгээдийн тоог хассантай тэнцүү байхыг анхаарна уу")</f>
        <v/>
      </c>
    </row>
    <row r="39" spans="1:4">
      <c r="A39" s="986"/>
      <c r="B39" s="87" t="s">
        <v>243</v>
      </c>
      <c r="C39" s="65"/>
    </row>
    <row r="40" spans="1:4">
      <c r="A40" s="986"/>
      <c r="B40" s="87" t="s">
        <v>244</v>
      </c>
      <c r="C40" s="65"/>
    </row>
    <row r="41" spans="1:4">
      <c r="A41" s="986"/>
      <c r="B41" s="87" t="s">
        <v>245</v>
      </c>
      <c r="C41" s="65"/>
    </row>
    <row r="42" spans="1:4" ht="15.75" thickBot="1">
      <c r="A42" s="989"/>
      <c r="B42" s="87" t="s">
        <v>246</v>
      </c>
      <c r="C42" s="65"/>
    </row>
    <row r="43" spans="1:4" ht="15.75" thickBot="1">
      <c r="A43" s="985">
        <v>7</v>
      </c>
      <c r="B43" s="86" t="s">
        <v>277</v>
      </c>
      <c r="C43" s="840">
        <f>+SUM(C44:C48)</f>
        <v>0</v>
      </c>
      <c r="D43" s="121" t="str">
        <f>IF(C43=(C27-C30),"","Зээлдэгчдийн боловсрол нийт зээлдэгчийн тооноос гишүүн хуулийн этгээдийн тоог хассантай тэнцүү байхыг анхаарна уу")</f>
        <v/>
      </c>
    </row>
    <row r="44" spans="1:4">
      <c r="A44" s="986"/>
      <c r="B44" s="87" t="s">
        <v>248</v>
      </c>
      <c r="C44" s="65"/>
    </row>
    <row r="45" spans="1:4">
      <c r="A45" s="986"/>
      <c r="B45" s="87" t="s">
        <v>249</v>
      </c>
      <c r="C45" s="65"/>
    </row>
    <row r="46" spans="1:4">
      <c r="A46" s="986"/>
      <c r="B46" s="87" t="s">
        <v>250</v>
      </c>
      <c r="C46" s="65"/>
    </row>
    <row r="47" spans="1:4">
      <c r="A47" s="986"/>
      <c r="B47" s="87" t="s">
        <v>251</v>
      </c>
      <c r="C47" s="65"/>
    </row>
    <row r="48" spans="1:4" ht="15.75" thickBot="1">
      <c r="A48" s="986"/>
      <c r="B48" s="87" t="s">
        <v>252</v>
      </c>
      <c r="C48" s="65"/>
    </row>
    <row r="49" spans="1:4" ht="15.75" thickBot="1">
      <c r="A49" s="100">
        <v>8</v>
      </c>
      <c r="B49" s="101" t="s">
        <v>257</v>
      </c>
      <c r="C49" s="909"/>
      <c r="D49" s="120" t="str">
        <f>+IF(C49&gt;0,"","Утга нөхөх")</f>
        <v>Утга нөхөх</v>
      </c>
    </row>
    <row r="50" spans="1:4" ht="15.75" thickBot="1">
      <c r="A50" s="94" t="s">
        <v>279</v>
      </c>
      <c r="B50" s="987" t="s">
        <v>786</v>
      </c>
      <c r="C50" s="988"/>
    </row>
    <row r="51" spans="1:4" ht="15.75" thickBot="1">
      <c r="A51" s="990">
        <v>9</v>
      </c>
      <c r="B51" s="102" t="s">
        <v>815</v>
      </c>
      <c r="C51" s="105">
        <f>+SUM(+C52+C56)</f>
        <v>0</v>
      </c>
    </row>
    <row r="52" spans="1:4">
      <c r="A52" s="991"/>
      <c r="B52" s="677" t="s">
        <v>787</v>
      </c>
      <c r="C52" s="676">
        <f>+C53+C55</f>
        <v>0</v>
      </c>
    </row>
    <row r="53" spans="1:4">
      <c r="A53" s="991"/>
      <c r="B53" s="670" t="s">
        <v>258</v>
      </c>
      <c r="C53" s="671"/>
      <c r="D53" s="120" t="str">
        <f t="shared" ref="D53:D59" si="0">+IF(C53="","Утга нөхөх","")</f>
        <v>Утга нөхөх</v>
      </c>
    </row>
    <row r="54" spans="1:4">
      <c r="A54" s="991"/>
      <c r="B54" s="669" t="s">
        <v>802</v>
      </c>
      <c r="C54" s="674"/>
      <c r="D54" s="120" t="str">
        <f t="shared" si="0"/>
        <v>Утга нөхөх</v>
      </c>
    </row>
    <row r="55" spans="1:4">
      <c r="A55" s="991"/>
      <c r="B55" s="103" t="s">
        <v>259</v>
      </c>
      <c r="C55" s="672"/>
      <c r="D55" s="120" t="str">
        <f t="shared" si="0"/>
        <v>Утга нөхөх</v>
      </c>
    </row>
    <row r="56" spans="1:4">
      <c r="A56" s="991"/>
      <c r="B56" s="675" t="s">
        <v>788</v>
      </c>
      <c r="C56" s="676">
        <f>C57+C59</f>
        <v>0</v>
      </c>
    </row>
    <row r="57" spans="1:4">
      <c r="A57" s="991"/>
      <c r="B57" s="673" t="s">
        <v>258</v>
      </c>
      <c r="C57" s="671"/>
      <c r="D57" s="120" t="str">
        <f t="shared" si="0"/>
        <v>Утга нөхөх</v>
      </c>
    </row>
    <row r="58" spans="1:4">
      <c r="A58" s="991"/>
      <c r="B58" s="668" t="s">
        <v>802</v>
      </c>
      <c r="C58" s="674"/>
      <c r="D58" s="120" t="str">
        <f t="shared" si="0"/>
        <v>Утга нөхөх</v>
      </c>
    </row>
    <row r="59" spans="1:4" ht="15.75" thickBot="1">
      <c r="A59" s="992"/>
      <c r="B59" s="104" t="s">
        <v>259</v>
      </c>
      <c r="C59" s="71"/>
      <c r="D59" s="120" t="str">
        <f t="shared" si="0"/>
        <v>Утга нөхөх</v>
      </c>
    </row>
    <row r="60" spans="1:4" ht="15.75" thickBot="1">
      <c r="A60" s="985">
        <v>10</v>
      </c>
      <c r="B60" s="102" t="s">
        <v>789</v>
      </c>
      <c r="C60" s="106">
        <f>+SUM(C61:C64)</f>
        <v>0</v>
      </c>
      <c r="D60" s="121"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6"/>
      <c r="B61" s="87" t="s">
        <v>243</v>
      </c>
      <c r="C61" s="65"/>
    </row>
    <row r="62" spans="1:4">
      <c r="A62" s="986"/>
      <c r="B62" s="87" t="s">
        <v>244</v>
      </c>
      <c r="C62" s="65"/>
    </row>
    <row r="63" spans="1:4">
      <c r="A63" s="986"/>
      <c r="B63" s="88" t="s">
        <v>245</v>
      </c>
      <c r="C63" s="65"/>
    </row>
    <row r="64" spans="1:4" ht="15.75" thickBot="1">
      <c r="A64" s="989"/>
      <c r="B64" s="87" t="s">
        <v>246</v>
      </c>
      <c r="C64" s="65"/>
    </row>
    <row r="65" spans="1:7" ht="15.75" thickBot="1">
      <c r="A65" s="985">
        <v>11</v>
      </c>
      <c r="B65" s="102" t="s">
        <v>790</v>
      </c>
      <c r="C65" s="841">
        <f>+SUM(C66:C70)</f>
        <v>0</v>
      </c>
      <c r="D65" s="121"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6"/>
      <c r="B66" s="87" t="s">
        <v>248</v>
      </c>
      <c r="C66" s="65"/>
    </row>
    <row r="67" spans="1:7">
      <c r="A67" s="986"/>
      <c r="B67" s="87" t="s">
        <v>249</v>
      </c>
      <c r="C67" s="65"/>
    </row>
    <row r="68" spans="1:7">
      <c r="A68" s="986"/>
      <c r="B68" s="87" t="s">
        <v>250</v>
      </c>
      <c r="C68" s="65"/>
    </row>
    <row r="69" spans="1:7">
      <c r="A69" s="986"/>
      <c r="B69" s="87" t="s">
        <v>251</v>
      </c>
      <c r="C69" s="65"/>
    </row>
    <row r="70" spans="1:7" ht="15.75" thickBot="1">
      <c r="A70" s="986"/>
      <c r="B70" s="87" t="s">
        <v>252</v>
      </c>
      <c r="C70" s="65"/>
    </row>
    <row r="71" spans="1:7" ht="15.75" thickBot="1">
      <c r="A71" s="107">
        <v>12</v>
      </c>
      <c r="B71" s="101" t="s">
        <v>260</v>
      </c>
      <c r="C71" s="910"/>
      <c r="D71" s="120" t="str">
        <f>+IF(C71&gt;0,"","Утга нөхөх")</f>
        <v>Утга нөхөх</v>
      </c>
      <c r="G71" s="699"/>
    </row>
    <row r="72" spans="1:7" ht="15.75" thickBot="1">
      <c r="A72" s="108" t="s">
        <v>280</v>
      </c>
      <c r="B72" s="993" t="s">
        <v>262</v>
      </c>
      <c r="C72" s="994"/>
    </row>
    <row r="73" spans="1:7" ht="15" customHeight="1" thickBot="1">
      <c r="A73" s="1007">
        <v>13</v>
      </c>
      <c r="B73" s="109" t="s">
        <v>811</v>
      </c>
      <c r="C73" s="72"/>
      <c r="D73" s="120" t="str">
        <f t="shared" ref="D73:D74" si="1">+IF(C73="","Утга нөхөх","")</f>
        <v>Утга нөхөх</v>
      </c>
    </row>
    <row r="74" spans="1:7">
      <c r="A74" s="1008"/>
      <c r="B74" s="835" t="s">
        <v>816</v>
      </c>
      <c r="C74" s="696"/>
      <c r="D74" s="120" t="str">
        <f t="shared" si="1"/>
        <v>Утга нөхөх</v>
      </c>
    </row>
    <row r="75" spans="1:7" ht="15.75" thickBot="1">
      <c r="A75" s="1009"/>
      <c r="B75" s="697" t="s">
        <v>812</v>
      </c>
      <c r="C75" s="698"/>
      <c r="D75" s="120" t="str">
        <f t="shared" ref="D75:D76" si="2">+IF(C75="","Утга нөхөх","")</f>
        <v>Утга нөхөх</v>
      </c>
    </row>
    <row r="76" spans="1:7" ht="15.75" thickBot="1">
      <c r="A76" s="110">
        <v>14</v>
      </c>
      <c r="B76" s="109" t="s">
        <v>817</v>
      </c>
      <c r="C76" s="73"/>
      <c r="D76" s="120" t="str">
        <f t="shared" si="2"/>
        <v>Утга нөхөх</v>
      </c>
    </row>
    <row r="77" spans="1:7" ht="15.75" thickBot="1">
      <c r="A77" s="1003">
        <v>15</v>
      </c>
      <c r="B77" s="111" t="s">
        <v>283</v>
      </c>
      <c r="C77" s="74"/>
      <c r="D77" s="120" t="str">
        <f>+IF(C77="","Утга сонгох","")</f>
        <v>Утга сонгох</v>
      </c>
    </row>
    <row r="78" spans="1:7" ht="15.75" thickBot="1">
      <c r="A78" s="1004"/>
      <c r="B78" s="112" t="s">
        <v>263</v>
      </c>
      <c r="C78" s="75"/>
      <c r="D78" s="120" t="str">
        <f>+IF(C78="",IF(C77="Тийм","Утга нөхөх",""),"")</f>
        <v/>
      </c>
    </row>
    <row r="79" spans="1:7" ht="15.75" thickBot="1">
      <c r="A79" s="995">
        <v>16</v>
      </c>
      <c r="B79" s="1005" t="s">
        <v>264</v>
      </c>
      <c r="C79" s="1006"/>
    </row>
    <row r="80" spans="1:7">
      <c r="A80" s="991"/>
      <c r="B80" s="113" t="s">
        <v>265</v>
      </c>
      <c r="C80" s="76"/>
      <c r="D80" s="120" t="str">
        <f>+IF(C80&gt;0,"","Утга нөхөх")</f>
        <v>Утга нөхөх</v>
      </c>
    </row>
    <row r="81" spans="1:4" ht="15.75" thickBot="1">
      <c r="A81" s="991"/>
      <c r="B81" s="114" t="s">
        <v>266</v>
      </c>
      <c r="C81" s="77"/>
      <c r="D81" s="120" t="str">
        <f>+IF(C81&gt;0,"","Утга нөхөх")</f>
        <v>Утга нөхөх</v>
      </c>
    </row>
    <row r="82" spans="1:4" ht="15.75" thickBot="1">
      <c r="A82" s="115" t="s">
        <v>282</v>
      </c>
      <c r="B82" s="999" t="s">
        <v>281</v>
      </c>
      <c r="C82" s="1000"/>
    </row>
    <row r="83" spans="1:4" ht="15.75" thickBot="1">
      <c r="A83" s="996">
        <v>17</v>
      </c>
      <c r="B83" s="1001" t="s">
        <v>803</v>
      </c>
      <c r="C83" s="1002"/>
    </row>
    <row r="84" spans="1:4">
      <c r="A84" s="997"/>
      <c r="B84" s="116" t="s">
        <v>267</v>
      </c>
      <c r="C84" s="78"/>
      <c r="D84" s="120" t="str">
        <f>+IF(C84&gt;0,"",IF(C84="","Утга нөхөх",""))</f>
        <v>Утга нөхөх</v>
      </c>
    </row>
    <row r="85" spans="1:4" ht="15.75" thickBot="1">
      <c r="A85" s="997"/>
      <c r="B85" s="117" t="s">
        <v>268</v>
      </c>
      <c r="C85" s="79"/>
      <c r="D85" s="120" t="str">
        <f>IF(C85="",IF(C84&gt;0,"Утга нөхөх",""),"")</f>
        <v/>
      </c>
    </row>
    <row r="86" spans="1:4" ht="15.75" thickBot="1">
      <c r="A86" s="997"/>
      <c r="B86" s="1001" t="s">
        <v>804</v>
      </c>
      <c r="C86" s="1002"/>
    </row>
    <row r="87" spans="1:4">
      <c r="A87" s="997"/>
      <c r="B87" s="116" t="s">
        <v>269</v>
      </c>
      <c r="C87" s="78"/>
      <c r="D87" s="120" t="str">
        <f>+IF(C87&gt;0,"",IF(C87="","Утга нөхөх",""))</f>
        <v>Утга нөхөх</v>
      </c>
    </row>
    <row r="88" spans="1:4" ht="15.75" thickBot="1">
      <c r="A88" s="998"/>
      <c r="B88" s="118" t="s">
        <v>270</v>
      </c>
      <c r="C88" s="79"/>
      <c r="D88" s="120" t="str">
        <f>IF(C88="",IF(C87&gt;0,"Утга нөхөх",""),"")</f>
        <v/>
      </c>
    </row>
    <row r="91" spans="1:4">
      <c r="A91" s="984" t="s">
        <v>232</v>
      </c>
      <c r="B91" s="984"/>
      <c r="C91" s="984"/>
    </row>
    <row r="92" spans="1:4">
      <c r="A92" s="80"/>
      <c r="B92" s="678" t="s">
        <v>233</v>
      </c>
      <c r="C92" s="80"/>
    </row>
    <row r="93" spans="1:4">
      <c r="A93" s="80"/>
      <c r="B93" s="137"/>
      <c r="C93" s="80"/>
    </row>
    <row r="94" spans="1:4">
      <c r="A94" s="80"/>
      <c r="B94" s="137" t="s">
        <v>748</v>
      </c>
      <c r="C94" s="52" t="s">
        <v>235</v>
      </c>
    </row>
    <row r="95" spans="1:4">
      <c r="A95" s="80"/>
      <c r="B95" s="137"/>
      <c r="C95" s="52"/>
    </row>
    <row r="96" spans="1:4">
      <c r="A96" s="80"/>
      <c r="B96" s="137" t="s">
        <v>236</v>
      </c>
      <c r="C96" s="52" t="s">
        <v>235</v>
      </c>
    </row>
    <row r="97" spans="2:2">
      <c r="B97" s="81"/>
    </row>
  </sheetData>
  <sheetProtection algorithmName="SHA-512" hashValue="RtITxwhMaOGqKxxsv6WmoV3ugQYFaDy0YT06qcVOxS00KwgVrlcyJtOw6v6riAzm25Uy9He7N09Zd/ywwMLCyA==" saltValue="vrcq2FnPgmXSvHwJ6k52vA==" spinCount="100000" sheet="1" objects="1" scenarios="1" formatCells="0" formatColumns="0" formatRows="0" insertColumns="0" insertRows="0" insertHyperlinks="0" deleteColumns="0" deleteRows="0" sort="0" autoFilter="0" pivotTables="0"/>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4">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32" zoomScale="85" zoomScaleNormal="85" workbookViewId="0">
      <selection activeCell="H69" sqref="H69:H70"/>
    </sheetView>
  </sheetViews>
  <sheetFormatPr defaultRowHeight="12.75"/>
  <cols>
    <col min="1" max="1" width="5.140625" style="137" customWidth="1"/>
    <col min="2" max="2" width="39.42578125" style="137" customWidth="1"/>
    <col min="3" max="3" width="13" style="137" customWidth="1"/>
    <col min="4" max="4" width="20" style="137" customWidth="1"/>
    <col min="5" max="5" width="12.28515625" style="137" customWidth="1"/>
    <col min="6" max="6" width="48.5703125" style="137" customWidth="1"/>
    <col min="7" max="7" width="13.140625" style="137" bestFit="1" customWidth="1"/>
    <col min="8" max="8" width="20.28515625" style="137" customWidth="1"/>
    <col min="9" max="16384" width="9.140625" style="80"/>
  </cols>
  <sheetData>
    <row r="1" spans="1:8">
      <c r="F1" s="1021" t="s">
        <v>749</v>
      </c>
      <c r="G1" s="1021"/>
      <c r="H1" s="1021"/>
    </row>
    <row r="2" spans="1:8">
      <c r="F2" s="1021" t="s">
        <v>750</v>
      </c>
      <c r="G2" s="1021"/>
      <c r="H2" s="1021"/>
    </row>
    <row r="3" spans="1:8">
      <c r="F3" s="138"/>
      <c r="G3" s="138"/>
      <c r="H3" s="138"/>
    </row>
    <row r="4" spans="1:8">
      <c r="A4" s="1010" t="s">
        <v>3</v>
      </c>
      <c r="B4" s="1031"/>
      <c r="C4" s="1031"/>
      <c r="D4" s="1031"/>
      <c r="E4" s="1031"/>
      <c r="F4" s="1031"/>
      <c r="G4" s="1031"/>
      <c r="H4" s="1031"/>
    </row>
    <row r="5" spans="1:8">
      <c r="A5" s="1032" t="str">
        <f>+STATISTICS!A4</f>
        <v>ХАДГАЛАМЖ, ЗЭЭЛИЙН ХОРШООНЫ НЭР</v>
      </c>
      <c r="B5" s="1031"/>
      <c r="C5" s="1031"/>
      <c r="D5" s="1031"/>
      <c r="E5" s="1031"/>
      <c r="F5" s="1031"/>
      <c r="G5" s="1031"/>
      <c r="H5" s="1031"/>
    </row>
    <row r="6" spans="1:8">
      <c r="A6" s="1010" t="s">
        <v>4</v>
      </c>
      <c r="B6" s="1031"/>
      <c r="C6" s="1031"/>
      <c r="D6" s="1031"/>
      <c r="E6" s="1031"/>
      <c r="F6" s="1031"/>
      <c r="G6" s="1031"/>
      <c r="H6" s="1031"/>
    </row>
    <row r="7" spans="1:8" ht="13.5" thickBot="1">
      <c r="A7" s="1033" t="str">
        <f>+STATISTICS!A7</f>
        <v>Огноо</v>
      </c>
      <c r="B7" s="1033"/>
      <c r="C7" s="139"/>
      <c r="D7" s="140"/>
      <c r="E7" s="140"/>
      <c r="F7" s="140"/>
      <c r="G7" s="140"/>
      <c r="H7" s="141" t="s">
        <v>5</v>
      </c>
    </row>
    <row r="8" spans="1:8">
      <c r="A8" s="1034" t="s">
        <v>6</v>
      </c>
      <c r="B8" s="1035"/>
      <c r="C8" s="1036" t="s">
        <v>7</v>
      </c>
      <c r="D8" s="1022" t="s">
        <v>8</v>
      </c>
      <c r="E8" s="1034" t="s">
        <v>9</v>
      </c>
      <c r="F8" s="1035"/>
      <c r="G8" s="1036" t="s">
        <v>7</v>
      </c>
      <c r="H8" s="1022" t="s">
        <v>8</v>
      </c>
    </row>
    <row r="9" spans="1:8" ht="13.5" thickBot="1">
      <c r="A9" s="992"/>
      <c r="B9" s="994"/>
      <c r="C9" s="989"/>
      <c r="D9" s="1023"/>
      <c r="E9" s="992"/>
      <c r="F9" s="994"/>
      <c r="G9" s="989"/>
      <c r="H9" s="1023"/>
    </row>
    <row r="10" spans="1:8" ht="13.5" thickBot="1">
      <c r="A10" s="1027" t="s">
        <v>10</v>
      </c>
      <c r="B10" s="1028"/>
      <c r="C10" s="142"/>
      <c r="D10" s="143">
        <f>+D11+D21+D34+D37+D43</f>
        <v>0</v>
      </c>
      <c r="E10" s="1029" t="s">
        <v>11</v>
      </c>
      <c r="F10" s="1028"/>
      <c r="G10" s="1030"/>
      <c r="H10" s="143">
        <f>+H11+H17+H24+H31+H49</f>
        <v>0</v>
      </c>
    </row>
    <row r="11" spans="1:8" ht="13.5" thickBot="1">
      <c r="A11" s="1040" t="s">
        <v>12</v>
      </c>
      <c r="B11" s="1030"/>
      <c r="C11" s="144"/>
      <c r="D11" s="145">
        <f>+D12+D15+D18</f>
        <v>0</v>
      </c>
      <c r="E11" s="146" t="s">
        <v>13</v>
      </c>
      <c r="F11" s="147"/>
      <c r="G11" s="147"/>
      <c r="H11" s="148">
        <f>+H12+H15</f>
        <v>0</v>
      </c>
    </row>
    <row r="12" spans="1:8" ht="13.5" thickBot="1">
      <c r="A12" s="87"/>
      <c r="B12" s="149" t="s">
        <v>14</v>
      </c>
      <c r="C12" s="150"/>
      <c r="D12" s="151">
        <f>+D13+D14</f>
        <v>0</v>
      </c>
      <c r="E12" s="152"/>
      <c r="F12" s="122" t="s">
        <v>15</v>
      </c>
      <c r="G12" s="153"/>
      <c r="H12" s="154">
        <f>+SUM(H13:H14)</f>
        <v>0</v>
      </c>
    </row>
    <row r="13" spans="1:8">
      <c r="A13" s="87"/>
      <c r="B13" s="155" t="s">
        <v>14</v>
      </c>
      <c r="C13" s="156">
        <v>1001</v>
      </c>
      <c r="D13" s="123">
        <v>0</v>
      </c>
      <c r="E13" s="152"/>
      <c r="F13" s="155" t="s">
        <v>15</v>
      </c>
      <c r="G13" s="157">
        <v>3101</v>
      </c>
      <c r="H13" s="123">
        <v>0</v>
      </c>
    </row>
    <row r="14" spans="1:8" ht="13.5" thickBot="1">
      <c r="A14" s="87"/>
      <c r="B14" s="155" t="s">
        <v>16</v>
      </c>
      <c r="C14" s="156">
        <v>1002</v>
      </c>
      <c r="D14" s="123">
        <v>0</v>
      </c>
      <c r="E14" s="152"/>
      <c r="F14" s="155" t="s">
        <v>17</v>
      </c>
      <c r="G14" s="157">
        <v>3105</v>
      </c>
      <c r="H14" s="123">
        <v>0</v>
      </c>
    </row>
    <row r="15" spans="1:8" ht="13.5" thickBot="1">
      <c r="A15" s="87"/>
      <c r="B15" s="149" t="s">
        <v>18</v>
      </c>
      <c r="C15" s="150"/>
      <c r="D15" s="151">
        <f>+D16+D17</f>
        <v>0</v>
      </c>
      <c r="E15" s="152"/>
      <c r="F15" s="149" t="s">
        <v>19</v>
      </c>
      <c r="G15" s="153"/>
      <c r="H15" s="154">
        <f>+H16</f>
        <v>0</v>
      </c>
    </row>
    <row r="16" spans="1:8" ht="13.5" thickBot="1">
      <c r="A16" s="87"/>
      <c r="B16" s="155" t="s">
        <v>20</v>
      </c>
      <c r="C16" s="156">
        <v>1110</v>
      </c>
      <c r="D16" s="123">
        <v>0</v>
      </c>
      <c r="E16" s="152"/>
      <c r="F16" s="158" t="s">
        <v>19</v>
      </c>
      <c r="G16" s="159">
        <v>3110</v>
      </c>
      <c r="H16" s="123">
        <v>0</v>
      </c>
    </row>
    <row r="17" spans="1:8" ht="26.25" thickBot="1">
      <c r="A17" s="87"/>
      <c r="B17" s="155" t="s">
        <v>21</v>
      </c>
      <c r="C17" s="156">
        <v>1112</v>
      </c>
      <c r="D17" s="123">
        <v>0</v>
      </c>
      <c r="E17" s="146" t="s">
        <v>22</v>
      </c>
      <c r="F17" s="147"/>
      <c r="G17" s="147"/>
      <c r="H17" s="148">
        <f>+H18+H21</f>
        <v>0</v>
      </c>
    </row>
    <row r="18" spans="1:8" ht="13.5" thickBot="1">
      <c r="A18" s="87"/>
      <c r="B18" s="149" t="s">
        <v>23</v>
      </c>
      <c r="C18" s="150"/>
      <c r="D18" s="151">
        <f>+D19+D20</f>
        <v>0</v>
      </c>
      <c r="E18" s="152"/>
      <c r="F18" s="149" t="s">
        <v>24</v>
      </c>
      <c r="G18" s="160">
        <v>3120</v>
      </c>
      <c r="H18" s="154">
        <f>+SUM(H19:H20)</f>
        <v>0</v>
      </c>
    </row>
    <row r="19" spans="1:8">
      <c r="A19" s="87"/>
      <c r="B19" s="155" t="s">
        <v>25</v>
      </c>
      <c r="C19" s="156">
        <v>1120</v>
      </c>
      <c r="D19" s="123"/>
      <c r="E19" s="152"/>
      <c r="F19" s="161" t="s">
        <v>26</v>
      </c>
      <c r="G19" s="162"/>
      <c r="H19" s="123">
        <v>0</v>
      </c>
    </row>
    <row r="20" spans="1:8" ht="13.5" thickBot="1">
      <c r="A20" s="87"/>
      <c r="B20" s="163" t="s">
        <v>27</v>
      </c>
      <c r="C20" s="164">
        <v>1122</v>
      </c>
      <c r="D20" s="123">
        <v>0</v>
      </c>
      <c r="E20" s="152"/>
      <c r="F20" s="163" t="s">
        <v>28</v>
      </c>
      <c r="G20" s="164"/>
      <c r="H20" s="123"/>
    </row>
    <row r="21" spans="1:8" ht="13.5" thickBot="1">
      <c r="A21" s="1040" t="s">
        <v>29</v>
      </c>
      <c r="B21" s="1030"/>
      <c r="C21" s="147"/>
      <c r="D21" s="143">
        <f>+D22+D24+D26+D28+D30-D32</f>
        <v>0</v>
      </c>
      <c r="E21" s="152"/>
      <c r="F21" s="165" t="s">
        <v>30</v>
      </c>
      <c r="G21" s="166">
        <v>3121</v>
      </c>
      <c r="H21" s="154">
        <f>+SUM(H22:H23)</f>
        <v>0</v>
      </c>
    </row>
    <row r="22" spans="1:8" ht="26.25" thickBot="1">
      <c r="A22" s="87"/>
      <c r="B22" s="150" t="s">
        <v>31</v>
      </c>
      <c r="C22" s="150"/>
      <c r="D22" s="151">
        <f>+D23</f>
        <v>0</v>
      </c>
      <c r="E22" s="167"/>
      <c r="F22" s="161" t="s">
        <v>32</v>
      </c>
      <c r="G22" s="168"/>
      <c r="H22" s="124">
        <v>0</v>
      </c>
    </row>
    <row r="23" spans="1:8" ht="26.25" thickBot="1">
      <c r="A23" s="87"/>
      <c r="B23" s="169" t="s">
        <v>33</v>
      </c>
      <c r="C23" s="156">
        <v>1210</v>
      </c>
      <c r="D23" s="123">
        <v>0</v>
      </c>
      <c r="E23" s="170"/>
      <c r="F23" s="163" t="s">
        <v>34</v>
      </c>
      <c r="G23" s="171"/>
      <c r="H23" s="125">
        <v>0</v>
      </c>
    </row>
    <row r="24" spans="1:8" ht="13.5" thickBot="1">
      <c r="A24" s="87"/>
      <c r="B24" s="150" t="s">
        <v>35</v>
      </c>
      <c r="C24" s="150"/>
      <c r="D24" s="151">
        <f>+D25</f>
        <v>0</v>
      </c>
      <c r="E24" s="1041" t="s">
        <v>36</v>
      </c>
      <c r="F24" s="1030"/>
      <c r="G24" s="172"/>
      <c r="H24" s="148">
        <f>+H25+H28</f>
        <v>0</v>
      </c>
    </row>
    <row r="25" spans="1:8" ht="13.5" thickBot="1">
      <c r="A25" s="87"/>
      <c r="B25" s="169" t="s">
        <v>35</v>
      </c>
      <c r="C25" s="156">
        <v>1220</v>
      </c>
      <c r="D25" s="123">
        <v>0</v>
      </c>
      <c r="E25" s="167"/>
      <c r="F25" s="149" t="s">
        <v>37</v>
      </c>
      <c r="G25" s="153"/>
      <c r="H25" s="151">
        <f>+SUM(H26:H27)</f>
        <v>0</v>
      </c>
    </row>
    <row r="26" spans="1:8" ht="13.5" thickBot="1">
      <c r="A26" s="87"/>
      <c r="B26" s="150" t="s">
        <v>38</v>
      </c>
      <c r="C26" s="150"/>
      <c r="D26" s="151">
        <f>+D27</f>
        <v>0</v>
      </c>
      <c r="E26" s="152"/>
      <c r="F26" s="155" t="s">
        <v>39</v>
      </c>
      <c r="G26" s="173">
        <v>3130</v>
      </c>
      <c r="H26" s="126">
        <v>0</v>
      </c>
    </row>
    <row r="27" spans="1:8" ht="13.5" thickBot="1">
      <c r="A27" s="87"/>
      <c r="B27" s="169" t="s">
        <v>38</v>
      </c>
      <c r="C27" s="156">
        <v>1230</v>
      </c>
      <c r="D27" s="123">
        <v>0</v>
      </c>
      <c r="E27" s="167"/>
      <c r="F27" s="163" t="s">
        <v>40</v>
      </c>
      <c r="G27" s="173">
        <v>3131</v>
      </c>
      <c r="H27" s="127">
        <v>0</v>
      </c>
    </row>
    <row r="28" spans="1:8" ht="13.5" thickBot="1">
      <c r="A28" s="87"/>
      <c r="B28" s="150" t="s">
        <v>41</v>
      </c>
      <c r="C28" s="150"/>
      <c r="D28" s="151">
        <f>+D29</f>
        <v>0</v>
      </c>
      <c r="E28" s="152"/>
      <c r="F28" s="149" t="s">
        <v>42</v>
      </c>
      <c r="G28" s="153"/>
      <c r="H28" s="151">
        <f>+SUM(H29:H30)</f>
        <v>0</v>
      </c>
    </row>
    <row r="29" spans="1:8" ht="13.5" thickBot="1">
      <c r="A29" s="87"/>
      <c r="B29" s="169" t="s">
        <v>43</v>
      </c>
      <c r="C29" s="156">
        <v>1240</v>
      </c>
      <c r="D29" s="123">
        <v>0</v>
      </c>
      <c r="E29" s="152"/>
      <c r="F29" s="174" t="s">
        <v>44</v>
      </c>
      <c r="G29" s="175">
        <v>3140</v>
      </c>
      <c r="H29" s="128">
        <v>0</v>
      </c>
    </row>
    <row r="30" spans="1:8" ht="13.5" thickBot="1">
      <c r="A30" s="87"/>
      <c r="B30" s="150" t="s">
        <v>45</v>
      </c>
      <c r="C30" s="150"/>
      <c r="D30" s="151">
        <f>+D31</f>
        <v>0</v>
      </c>
      <c r="E30" s="176"/>
      <c r="F30" s="177" t="s">
        <v>46</v>
      </c>
      <c r="G30" s="178">
        <v>3141</v>
      </c>
      <c r="H30" s="129">
        <v>0</v>
      </c>
    </row>
    <row r="31" spans="1:8" ht="13.5" thickBot="1">
      <c r="A31" s="87"/>
      <c r="B31" s="169" t="s">
        <v>45</v>
      </c>
      <c r="C31" s="156">
        <v>1250</v>
      </c>
      <c r="D31" s="123">
        <v>0</v>
      </c>
      <c r="E31" s="1029" t="s">
        <v>47</v>
      </c>
      <c r="F31" s="1030"/>
      <c r="G31" s="147"/>
      <c r="H31" s="143">
        <f>+H32+H43+H45</f>
        <v>0</v>
      </c>
    </row>
    <row r="32" spans="1:8" ht="13.5" thickBot="1">
      <c r="A32" s="87"/>
      <c r="B32" s="179" t="s">
        <v>48</v>
      </c>
      <c r="C32" s="179"/>
      <c r="D32" s="151">
        <f>+D33</f>
        <v>0</v>
      </c>
      <c r="E32" s="152"/>
      <c r="F32" s="180" t="s">
        <v>49</v>
      </c>
      <c r="G32" s="181"/>
      <c r="H32" s="151">
        <f>+SUM(H33:H42)</f>
        <v>0</v>
      </c>
    </row>
    <row r="33" spans="1:10" ht="13.5" thickBot="1">
      <c r="A33" s="87"/>
      <c r="B33" s="182" t="s">
        <v>48</v>
      </c>
      <c r="C33" s="183">
        <v>1260</v>
      </c>
      <c r="D33" s="130">
        <v>0</v>
      </c>
      <c r="E33" s="152"/>
      <c r="F33" s="184" t="s">
        <v>50</v>
      </c>
      <c r="G33" s="185">
        <v>3150</v>
      </c>
      <c r="H33" s="123">
        <v>0</v>
      </c>
    </row>
    <row r="34" spans="1:10" ht="26.25" thickBot="1">
      <c r="A34" s="1040" t="s">
        <v>51</v>
      </c>
      <c r="B34" s="1030"/>
      <c r="C34" s="147"/>
      <c r="D34" s="143">
        <f>+D35</f>
        <v>0</v>
      </c>
      <c r="E34" s="186"/>
      <c r="F34" s="187" t="s">
        <v>52</v>
      </c>
      <c r="G34" s="188">
        <v>3151</v>
      </c>
      <c r="H34" s="131">
        <v>0</v>
      </c>
    </row>
    <row r="35" spans="1:10" ht="13.5" thickBot="1">
      <c r="A35" s="87"/>
      <c r="B35" s="149" t="s">
        <v>53</v>
      </c>
      <c r="C35" s="149"/>
      <c r="D35" s="151">
        <f>+D36</f>
        <v>0</v>
      </c>
      <c r="E35" s="152"/>
      <c r="F35" s="155" t="s">
        <v>54</v>
      </c>
      <c r="G35" s="189">
        <v>3152</v>
      </c>
      <c r="H35" s="123">
        <v>0</v>
      </c>
    </row>
    <row r="36" spans="1:10" ht="13.5" thickBot="1">
      <c r="A36" s="87"/>
      <c r="B36" s="163" t="s">
        <v>53</v>
      </c>
      <c r="C36" s="164">
        <v>1301</v>
      </c>
      <c r="D36" s="123">
        <v>0</v>
      </c>
      <c r="E36" s="167"/>
      <c r="F36" s="155" t="s">
        <v>55</v>
      </c>
      <c r="G36" s="189">
        <v>3153</v>
      </c>
      <c r="H36" s="123">
        <v>0</v>
      </c>
    </row>
    <row r="37" spans="1:10" ht="13.5" thickBot="1">
      <c r="A37" s="1040" t="s">
        <v>56</v>
      </c>
      <c r="B37" s="1030"/>
      <c r="C37" s="147"/>
      <c r="D37" s="143">
        <f>+D38-D41</f>
        <v>0</v>
      </c>
      <c r="E37" s="152"/>
      <c r="F37" s="155" t="s">
        <v>57</v>
      </c>
      <c r="G37" s="189">
        <v>3154</v>
      </c>
      <c r="H37" s="123">
        <v>0</v>
      </c>
    </row>
    <row r="38" spans="1:10" ht="13.5" thickBot="1">
      <c r="A38" s="190"/>
      <c r="B38" s="149" t="s">
        <v>58</v>
      </c>
      <c r="C38" s="149"/>
      <c r="D38" s="151">
        <f>+D39+D40</f>
        <v>0</v>
      </c>
      <c r="E38" s="152"/>
      <c r="F38" s="155" t="s">
        <v>59</v>
      </c>
      <c r="G38" s="189">
        <v>3155</v>
      </c>
      <c r="H38" s="123">
        <v>0</v>
      </c>
    </row>
    <row r="39" spans="1:10">
      <c r="A39" s="190"/>
      <c r="B39" s="155" t="s">
        <v>60</v>
      </c>
      <c r="C39" s="156">
        <v>1401</v>
      </c>
      <c r="D39" s="123">
        <v>0</v>
      </c>
      <c r="E39" s="167"/>
      <c r="F39" s="155" t="s">
        <v>61</v>
      </c>
      <c r="G39" s="189">
        <v>3156</v>
      </c>
      <c r="H39" s="123">
        <v>0</v>
      </c>
      <c r="J39" s="132"/>
    </row>
    <row r="40" spans="1:10" ht="13.5" thickBot="1">
      <c r="A40" s="190"/>
      <c r="B40" s="155" t="s">
        <v>62</v>
      </c>
      <c r="C40" s="156">
        <v>1402</v>
      </c>
      <c r="D40" s="123">
        <v>0</v>
      </c>
      <c r="E40" s="152"/>
      <c r="F40" s="155" t="s">
        <v>63</v>
      </c>
      <c r="G40" s="189">
        <v>3157</v>
      </c>
      <c r="H40" s="123">
        <v>0</v>
      </c>
    </row>
    <row r="41" spans="1:10" ht="26.25" thickBot="1">
      <c r="A41" s="190"/>
      <c r="B41" s="191" t="s">
        <v>64</v>
      </c>
      <c r="C41" s="191"/>
      <c r="D41" s="151">
        <f>+D42</f>
        <v>0</v>
      </c>
      <c r="E41" s="152"/>
      <c r="F41" s="155" t="s">
        <v>65</v>
      </c>
      <c r="G41" s="189">
        <v>3158</v>
      </c>
      <c r="H41" s="123">
        <v>0</v>
      </c>
    </row>
    <row r="42" spans="1:10" ht="26.25" thickBot="1">
      <c r="A42" s="190"/>
      <c r="B42" s="192" t="s">
        <v>64</v>
      </c>
      <c r="C42" s="183">
        <v>1403</v>
      </c>
      <c r="D42" s="123">
        <v>0</v>
      </c>
      <c r="E42" s="152"/>
      <c r="F42" s="163" t="s">
        <v>66</v>
      </c>
      <c r="G42" s="189">
        <v>3159</v>
      </c>
      <c r="H42" s="123">
        <v>0</v>
      </c>
    </row>
    <row r="43" spans="1:10" ht="13.5" thickBot="1">
      <c r="A43" s="1040" t="s">
        <v>67</v>
      </c>
      <c r="B43" s="1030"/>
      <c r="C43" s="147"/>
      <c r="D43" s="143">
        <f>+D44+D54+D56</f>
        <v>0</v>
      </c>
      <c r="E43" s="152"/>
      <c r="F43" s="180" t="s">
        <v>68</v>
      </c>
      <c r="G43" s="181"/>
      <c r="H43" s="154">
        <f>+H44</f>
        <v>0</v>
      </c>
    </row>
    <row r="44" spans="1:10" ht="13.5" thickBot="1">
      <c r="A44" s="193"/>
      <c r="B44" s="194" t="s">
        <v>69</v>
      </c>
      <c r="C44" s="195"/>
      <c r="D44" s="151">
        <f>+SUM(D45:D53)</f>
        <v>0</v>
      </c>
      <c r="E44" s="152"/>
      <c r="F44" s="196" t="s">
        <v>70</v>
      </c>
      <c r="G44" s="197">
        <v>3160</v>
      </c>
      <c r="H44" s="123">
        <v>0</v>
      </c>
    </row>
    <row r="45" spans="1:10" ht="13.5" thickBot="1">
      <c r="A45" s="193"/>
      <c r="B45" s="161" t="s">
        <v>71</v>
      </c>
      <c r="C45" s="168">
        <v>1501</v>
      </c>
      <c r="D45" s="123">
        <v>0</v>
      </c>
      <c r="E45" s="167"/>
      <c r="F45" s="180" t="s">
        <v>72</v>
      </c>
      <c r="G45" s="181"/>
      <c r="H45" s="154">
        <f>+SUM(H46:H48)</f>
        <v>0</v>
      </c>
    </row>
    <row r="46" spans="1:10">
      <c r="A46" s="193"/>
      <c r="B46" s="155" t="s">
        <v>73</v>
      </c>
      <c r="C46" s="198">
        <v>1502</v>
      </c>
      <c r="D46" s="123">
        <v>0</v>
      </c>
      <c r="E46" s="152"/>
      <c r="F46" s="199" t="s">
        <v>74</v>
      </c>
      <c r="G46" s="197">
        <v>3170</v>
      </c>
      <c r="H46" s="123">
        <v>0</v>
      </c>
    </row>
    <row r="47" spans="1:10">
      <c r="A47" s="193"/>
      <c r="B47" s="155" t="s">
        <v>75</v>
      </c>
      <c r="C47" s="198">
        <v>1503</v>
      </c>
      <c r="D47" s="123">
        <v>0</v>
      </c>
      <c r="E47" s="152"/>
      <c r="F47" s="200" t="s">
        <v>76</v>
      </c>
      <c r="G47" s="197">
        <v>3171</v>
      </c>
      <c r="H47" s="123">
        <v>0</v>
      </c>
    </row>
    <row r="48" spans="1:10" ht="13.5" thickBot="1">
      <c r="A48" s="193"/>
      <c r="B48" s="155" t="s">
        <v>77</v>
      </c>
      <c r="C48" s="198">
        <v>1504</v>
      </c>
      <c r="D48" s="123">
        <v>0</v>
      </c>
      <c r="E48" s="152"/>
      <c r="F48" s="201" t="s">
        <v>78</v>
      </c>
      <c r="G48" s="197">
        <v>3172</v>
      </c>
      <c r="H48" s="123">
        <v>0</v>
      </c>
    </row>
    <row r="49" spans="1:8" ht="13.5" thickBot="1">
      <c r="A49" s="193"/>
      <c r="B49" s="155" t="s">
        <v>79</v>
      </c>
      <c r="C49" s="198">
        <v>1505</v>
      </c>
      <c r="D49" s="123">
        <v>0</v>
      </c>
      <c r="E49" s="1029" t="s">
        <v>80</v>
      </c>
      <c r="F49" s="1030"/>
      <c r="G49" s="147"/>
      <c r="H49" s="148">
        <f>+SUM(H50:H51)</f>
        <v>0</v>
      </c>
    </row>
    <row r="50" spans="1:8">
      <c r="A50" s="193"/>
      <c r="B50" s="155" t="s">
        <v>81</v>
      </c>
      <c r="C50" s="198">
        <v>1506</v>
      </c>
      <c r="D50" s="123">
        <v>0</v>
      </c>
      <c r="E50" s="152"/>
      <c r="F50" s="199" t="s">
        <v>82</v>
      </c>
      <c r="G50" s="202">
        <v>3201</v>
      </c>
      <c r="H50" s="123">
        <v>0</v>
      </c>
    </row>
    <row r="51" spans="1:8" ht="13.5" thickBot="1">
      <c r="A51" s="193"/>
      <c r="B51" s="155" t="s">
        <v>83</v>
      </c>
      <c r="C51" s="198">
        <v>1507</v>
      </c>
      <c r="D51" s="123">
        <v>0</v>
      </c>
      <c r="E51" s="152"/>
      <c r="F51" s="201" t="s">
        <v>84</v>
      </c>
      <c r="G51" s="197">
        <v>3202</v>
      </c>
      <c r="H51" s="123">
        <v>0</v>
      </c>
    </row>
    <row r="52" spans="1:8" ht="13.5" thickBot="1">
      <c r="A52" s="193"/>
      <c r="B52" s="155" t="s">
        <v>85</v>
      </c>
      <c r="C52" s="198">
        <v>1508</v>
      </c>
      <c r="D52" s="123">
        <v>0</v>
      </c>
      <c r="E52" s="1029" t="s">
        <v>86</v>
      </c>
      <c r="F52" s="1030"/>
      <c r="G52" s="203"/>
      <c r="H52" s="143">
        <f>+H53+H56+H58+H61+H68</f>
        <v>0</v>
      </c>
    </row>
    <row r="53" spans="1:8" ht="13.5" thickBot="1">
      <c r="A53" s="193"/>
      <c r="B53" s="155" t="s">
        <v>87</v>
      </c>
      <c r="C53" s="198">
        <v>1509</v>
      </c>
      <c r="D53" s="123"/>
      <c r="E53" s="204" t="s">
        <v>88</v>
      </c>
      <c r="F53" s="147"/>
      <c r="G53" s="147"/>
      <c r="H53" s="148">
        <f>+SUM(H54:H55)</f>
        <v>0</v>
      </c>
    </row>
    <row r="54" spans="1:8" ht="13.5" thickBot="1">
      <c r="A54" s="193"/>
      <c r="B54" s="149" t="s">
        <v>68</v>
      </c>
      <c r="C54" s="195"/>
      <c r="D54" s="151">
        <f>+D55</f>
        <v>0</v>
      </c>
      <c r="E54" s="152"/>
      <c r="F54" s="199" t="s">
        <v>89</v>
      </c>
      <c r="G54" s="202">
        <v>4101</v>
      </c>
      <c r="H54" s="123">
        <v>0</v>
      </c>
    </row>
    <row r="55" spans="1:8" ht="13.5" thickBot="1">
      <c r="A55" s="193"/>
      <c r="B55" s="158" t="s">
        <v>90</v>
      </c>
      <c r="C55" s="205">
        <v>1510</v>
      </c>
      <c r="D55" s="123">
        <v>0</v>
      </c>
      <c r="E55" s="152"/>
      <c r="F55" s="200" t="s">
        <v>91</v>
      </c>
      <c r="G55" s="197">
        <v>4110</v>
      </c>
      <c r="H55" s="123">
        <v>0</v>
      </c>
    </row>
    <row r="56" spans="1:8" ht="13.5" thickBot="1">
      <c r="A56" s="193"/>
      <c r="B56" s="206" t="s">
        <v>92</v>
      </c>
      <c r="C56" s="195"/>
      <c r="D56" s="151">
        <f>+SUM(D57:D60)</f>
        <v>0</v>
      </c>
      <c r="E56" s="207" t="s">
        <v>93</v>
      </c>
      <c r="F56" s="208"/>
      <c r="G56" s="209"/>
      <c r="H56" s="151">
        <f>+H57</f>
        <v>0</v>
      </c>
    </row>
    <row r="57" spans="1:8" ht="13.5" thickBot="1">
      <c r="A57" s="193"/>
      <c r="B57" s="161" t="s">
        <v>94</v>
      </c>
      <c r="C57" s="202">
        <v>1520</v>
      </c>
      <c r="D57" s="123">
        <v>0</v>
      </c>
      <c r="E57" s="152"/>
      <c r="F57" s="201" t="s">
        <v>95</v>
      </c>
      <c r="G57" s="197">
        <v>4120</v>
      </c>
      <c r="H57" s="123">
        <v>0</v>
      </c>
    </row>
    <row r="58" spans="1:8" ht="26.25" thickBot="1">
      <c r="A58" s="193"/>
      <c r="B58" s="155" t="s">
        <v>96</v>
      </c>
      <c r="C58" s="197">
        <v>1530</v>
      </c>
      <c r="D58" s="123">
        <v>0</v>
      </c>
      <c r="E58" s="204" t="s">
        <v>97</v>
      </c>
      <c r="F58" s="147"/>
      <c r="G58" s="147"/>
      <c r="H58" s="148">
        <f>+SUM(H59:H60)</f>
        <v>0</v>
      </c>
    </row>
    <row r="59" spans="1:8" ht="25.5">
      <c r="A59" s="193"/>
      <c r="B59" s="155" t="s">
        <v>98</v>
      </c>
      <c r="C59" s="197">
        <v>1540</v>
      </c>
      <c r="D59" s="123">
        <v>0</v>
      </c>
      <c r="E59" s="152"/>
      <c r="F59" s="199" t="s">
        <v>99</v>
      </c>
      <c r="G59" s="197">
        <v>4130</v>
      </c>
      <c r="H59" s="123"/>
    </row>
    <row r="60" spans="1:8" ht="13.5" thickBot="1">
      <c r="A60" s="193"/>
      <c r="B60" s="163" t="s">
        <v>100</v>
      </c>
      <c r="C60" s="210">
        <v>1550</v>
      </c>
      <c r="D60" s="123">
        <v>0</v>
      </c>
      <c r="E60" s="152"/>
      <c r="F60" s="201" t="s">
        <v>101</v>
      </c>
      <c r="G60" s="197">
        <v>4131</v>
      </c>
      <c r="H60" s="123">
        <v>0</v>
      </c>
    </row>
    <row r="61" spans="1:8" ht="13.5" thickBot="1">
      <c r="A61" s="1029" t="s">
        <v>102</v>
      </c>
      <c r="B61" s="1030"/>
      <c r="C61" s="203"/>
      <c r="D61" s="143">
        <f>+D62+D77+D86</f>
        <v>0</v>
      </c>
      <c r="E61" s="204" t="s">
        <v>103</v>
      </c>
      <c r="F61" s="147"/>
      <c r="G61" s="147"/>
      <c r="H61" s="148">
        <f>+SUM(H62:H65)</f>
        <v>0</v>
      </c>
    </row>
    <row r="62" spans="1:8" ht="13.5" thickBot="1">
      <c r="A62" s="1040" t="s">
        <v>104</v>
      </c>
      <c r="B62" s="1030"/>
      <c r="C62" s="147"/>
      <c r="D62" s="143">
        <f>+D63-D71</f>
        <v>0</v>
      </c>
      <c r="E62" s="152"/>
      <c r="F62" s="199" t="s">
        <v>105</v>
      </c>
      <c r="G62" s="211">
        <v>4140</v>
      </c>
      <c r="H62" s="124">
        <v>0</v>
      </c>
    </row>
    <row r="63" spans="1:8" ht="13.5" thickBot="1">
      <c r="A63" s="193"/>
      <c r="B63" s="212" t="s">
        <v>106</v>
      </c>
      <c r="C63" s="195"/>
      <c r="D63" s="151">
        <f>+SUM(D64:D70)</f>
        <v>0</v>
      </c>
      <c r="E63" s="152"/>
      <c r="F63" s="200" t="s">
        <v>107</v>
      </c>
      <c r="G63" s="189">
        <v>4141</v>
      </c>
      <c r="H63" s="123">
        <v>0</v>
      </c>
    </row>
    <row r="64" spans="1:8">
      <c r="A64" s="193"/>
      <c r="B64" s="199" t="s">
        <v>108</v>
      </c>
      <c r="C64" s="168">
        <v>2001</v>
      </c>
      <c r="D64" s="123">
        <v>0</v>
      </c>
      <c r="E64" s="167"/>
      <c r="F64" s="200" t="s">
        <v>109</v>
      </c>
      <c r="G64" s="189">
        <v>4142</v>
      </c>
      <c r="H64" s="123">
        <v>0</v>
      </c>
    </row>
    <row r="65" spans="1:8">
      <c r="A65" s="193"/>
      <c r="B65" s="200" t="s">
        <v>110</v>
      </c>
      <c r="C65" s="198">
        <v>2002</v>
      </c>
      <c r="D65" s="123">
        <v>0</v>
      </c>
      <c r="E65" s="167"/>
      <c r="F65" s="200" t="s">
        <v>111</v>
      </c>
      <c r="G65" s="189">
        <v>4143</v>
      </c>
      <c r="H65" s="842">
        <f>+SUM(H66:H67)</f>
        <v>0</v>
      </c>
    </row>
    <row r="66" spans="1:8">
      <c r="A66" s="193"/>
      <c r="B66" s="200" t="s">
        <v>112</v>
      </c>
      <c r="C66" s="198">
        <v>2003</v>
      </c>
      <c r="D66" s="123">
        <v>0</v>
      </c>
      <c r="E66" s="140"/>
      <c r="F66" s="84" t="s">
        <v>113</v>
      </c>
      <c r="G66" s="189">
        <v>414310</v>
      </c>
      <c r="H66" s="123">
        <v>0</v>
      </c>
    </row>
    <row r="67" spans="1:8" ht="13.5" thickBot="1">
      <c r="A67" s="193"/>
      <c r="B67" s="200" t="s">
        <v>114</v>
      </c>
      <c r="C67" s="198">
        <v>2004</v>
      </c>
      <c r="D67" s="123">
        <v>0</v>
      </c>
      <c r="E67" s="140"/>
      <c r="F67" s="213" t="s">
        <v>115</v>
      </c>
      <c r="G67" s="189">
        <v>414320</v>
      </c>
      <c r="H67" s="123">
        <v>0</v>
      </c>
    </row>
    <row r="68" spans="1:8" ht="13.5" thickBot="1">
      <c r="A68" s="193"/>
      <c r="B68" s="200" t="s">
        <v>116</v>
      </c>
      <c r="C68" s="198">
        <v>2005</v>
      </c>
      <c r="D68" s="123">
        <v>0</v>
      </c>
      <c r="E68" s="204" t="s">
        <v>117</v>
      </c>
      <c r="F68" s="147"/>
      <c r="G68" s="147"/>
      <c r="H68" s="148">
        <f>+SUM(H69:H70)</f>
        <v>0</v>
      </c>
    </row>
    <row r="69" spans="1:8">
      <c r="A69" s="193"/>
      <c r="B69" s="200" t="s">
        <v>118</v>
      </c>
      <c r="C69" s="198">
        <v>2006</v>
      </c>
      <c r="D69" s="123">
        <v>0</v>
      </c>
      <c r="E69" s="152"/>
      <c r="F69" s="199" t="s">
        <v>119</v>
      </c>
      <c r="G69" s="202">
        <v>4150</v>
      </c>
      <c r="H69" s="123">
        <v>0</v>
      </c>
    </row>
    <row r="70" spans="1:8" ht="13.5" thickBot="1">
      <c r="A70" s="193"/>
      <c r="B70" s="200" t="s">
        <v>120</v>
      </c>
      <c r="C70" s="198">
        <v>2007</v>
      </c>
      <c r="D70" s="123">
        <v>0</v>
      </c>
      <c r="E70" s="152"/>
      <c r="F70" s="201" t="s">
        <v>121</v>
      </c>
      <c r="G70" s="197">
        <v>4160</v>
      </c>
      <c r="H70" s="123"/>
    </row>
    <row r="71" spans="1:8" ht="13.5" thickBot="1">
      <c r="A71" s="193"/>
      <c r="B71" s="214" t="s">
        <v>122</v>
      </c>
      <c r="C71" s="214"/>
      <c r="D71" s="215">
        <f>+SUM(D72:D76)</f>
        <v>0</v>
      </c>
      <c r="E71" s="216" t="s">
        <v>123</v>
      </c>
      <c r="F71" s="217"/>
      <c r="G71" s="203"/>
      <c r="H71" s="148">
        <f>+H72+H79+H85</f>
        <v>0</v>
      </c>
    </row>
    <row r="72" spans="1:8" ht="13.5" thickBot="1">
      <c r="A72" s="193"/>
      <c r="B72" s="199" t="s">
        <v>110</v>
      </c>
      <c r="C72" s="168">
        <v>2010</v>
      </c>
      <c r="D72" s="123">
        <v>0</v>
      </c>
      <c r="E72" s="152"/>
      <c r="F72" s="180" t="s">
        <v>124</v>
      </c>
      <c r="G72" s="181"/>
      <c r="H72" s="154">
        <f>+SUM(H73:H77)-H78</f>
        <v>0</v>
      </c>
    </row>
    <row r="73" spans="1:8">
      <c r="A73" s="193"/>
      <c r="B73" s="200" t="s">
        <v>125</v>
      </c>
      <c r="C73" s="198">
        <v>2011</v>
      </c>
      <c r="D73" s="123">
        <v>0</v>
      </c>
      <c r="E73" s="152"/>
      <c r="F73" s="200" t="s">
        <v>126</v>
      </c>
      <c r="G73" s="197">
        <v>5101</v>
      </c>
      <c r="H73" s="124">
        <v>0</v>
      </c>
    </row>
    <row r="74" spans="1:8">
      <c r="A74" s="193"/>
      <c r="B74" s="200" t="s">
        <v>127</v>
      </c>
      <c r="C74" s="198">
        <v>2012</v>
      </c>
      <c r="D74" s="123">
        <v>0</v>
      </c>
      <c r="E74" s="152"/>
      <c r="F74" s="200" t="s">
        <v>128</v>
      </c>
      <c r="G74" s="197">
        <v>5102</v>
      </c>
      <c r="H74" s="837">
        <v>0</v>
      </c>
    </row>
    <row r="75" spans="1:8">
      <c r="A75" s="193"/>
      <c r="B75" s="200" t="s">
        <v>116</v>
      </c>
      <c r="C75" s="198">
        <v>2013</v>
      </c>
      <c r="D75" s="123">
        <v>0</v>
      </c>
      <c r="E75" s="152"/>
      <c r="F75" s="200" t="s">
        <v>129</v>
      </c>
      <c r="G75" s="197">
        <v>5110</v>
      </c>
      <c r="H75" s="123">
        <v>0</v>
      </c>
    </row>
    <row r="76" spans="1:8" ht="13.5" thickBot="1">
      <c r="A76" s="193"/>
      <c r="B76" s="200" t="s">
        <v>120</v>
      </c>
      <c r="C76" s="198">
        <v>2014</v>
      </c>
      <c r="D76" s="123">
        <v>0</v>
      </c>
      <c r="E76" s="152"/>
      <c r="F76" s="200" t="s">
        <v>130</v>
      </c>
      <c r="G76" s="197">
        <v>5120</v>
      </c>
      <c r="H76" s="123">
        <v>0</v>
      </c>
    </row>
    <row r="77" spans="1:8" ht="13.5" thickBot="1">
      <c r="A77" s="1040" t="s">
        <v>131</v>
      </c>
      <c r="B77" s="1030"/>
      <c r="C77" s="147"/>
      <c r="D77" s="143">
        <f>+D78-D84</f>
        <v>0</v>
      </c>
      <c r="E77" s="152"/>
      <c r="F77" s="200" t="s">
        <v>132</v>
      </c>
      <c r="G77" s="197">
        <v>5130</v>
      </c>
      <c r="H77" s="123">
        <v>0</v>
      </c>
    </row>
    <row r="78" spans="1:8" ht="13.5" thickBot="1">
      <c r="A78" s="193"/>
      <c r="B78" s="195" t="s">
        <v>133</v>
      </c>
      <c r="C78" s="195"/>
      <c r="D78" s="151">
        <f>+SUM(D79:D83)</f>
        <v>0</v>
      </c>
      <c r="E78" s="152"/>
      <c r="F78" s="200" t="s">
        <v>134</v>
      </c>
      <c r="G78" s="197">
        <v>5140</v>
      </c>
      <c r="H78" s="123">
        <v>0</v>
      </c>
    </row>
    <row r="79" spans="1:8" ht="13.5" thickBot="1">
      <c r="A79" s="193"/>
      <c r="B79" s="200" t="s">
        <v>135</v>
      </c>
      <c r="C79" s="198">
        <v>2101</v>
      </c>
      <c r="D79" s="123">
        <v>0</v>
      </c>
      <c r="E79" s="152"/>
      <c r="F79" s="180" t="s">
        <v>136</v>
      </c>
      <c r="G79" s="181"/>
      <c r="H79" s="154">
        <f>+SUM(H80:H84)</f>
        <v>0</v>
      </c>
    </row>
    <row r="80" spans="1:8">
      <c r="A80" s="193"/>
      <c r="B80" s="200" t="s">
        <v>137</v>
      </c>
      <c r="C80" s="198">
        <v>2102</v>
      </c>
      <c r="D80" s="123">
        <v>0</v>
      </c>
      <c r="E80" s="152"/>
      <c r="F80" s="200" t="s">
        <v>138</v>
      </c>
      <c r="G80" s="197">
        <v>5141</v>
      </c>
      <c r="H80" s="124">
        <v>0</v>
      </c>
    </row>
    <row r="81" spans="1:8">
      <c r="A81" s="193"/>
      <c r="B81" s="200" t="s">
        <v>139</v>
      </c>
      <c r="C81" s="198">
        <v>2103</v>
      </c>
      <c r="D81" s="123">
        <v>0</v>
      </c>
      <c r="E81" s="152"/>
      <c r="F81" s="200" t="s">
        <v>140</v>
      </c>
      <c r="G81" s="197">
        <v>5142</v>
      </c>
      <c r="H81" s="123">
        <v>0</v>
      </c>
    </row>
    <row r="82" spans="1:8">
      <c r="A82" s="193"/>
      <c r="B82" s="200" t="s">
        <v>141</v>
      </c>
      <c r="C82" s="198">
        <v>2104</v>
      </c>
      <c r="D82" s="123">
        <v>0</v>
      </c>
      <c r="E82" s="152"/>
      <c r="F82" s="200" t="s">
        <v>142</v>
      </c>
      <c r="G82" s="197">
        <v>5143</v>
      </c>
      <c r="H82" s="123">
        <v>0</v>
      </c>
    </row>
    <row r="83" spans="1:8" ht="13.5" thickBot="1">
      <c r="A83" s="193"/>
      <c r="B83" s="200" t="s">
        <v>143</v>
      </c>
      <c r="C83" s="198">
        <v>2105</v>
      </c>
      <c r="D83" s="123">
        <v>0</v>
      </c>
      <c r="E83" s="167"/>
      <c r="F83" s="200" t="s">
        <v>144</v>
      </c>
      <c r="G83" s="197">
        <v>5144</v>
      </c>
      <c r="H83" s="838">
        <v>0</v>
      </c>
    </row>
    <row r="84" spans="1:8" ht="26.25" thickBot="1">
      <c r="A84" s="193"/>
      <c r="B84" s="214" t="s">
        <v>122</v>
      </c>
      <c r="C84" s="214"/>
      <c r="D84" s="215">
        <f>+D85</f>
        <v>0</v>
      </c>
      <c r="E84" s="152"/>
      <c r="F84" s="155" t="s">
        <v>145</v>
      </c>
      <c r="G84" s="197">
        <v>5150</v>
      </c>
      <c r="H84" s="123">
        <v>0</v>
      </c>
    </row>
    <row r="85" spans="1:8" ht="13.5" thickBot="1">
      <c r="A85" s="193"/>
      <c r="B85" s="200" t="s">
        <v>146</v>
      </c>
      <c r="C85" s="198">
        <v>2015</v>
      </c>
      <c r="D85" s="123">
        <v>0</v>
      </c>
      <c r="E85" s="152"/>
      <c r="F85" s="180" t="s">
        <v>147</v>
      </c>
      <c r="G85" s="181"/>
      <c r="H85" s="154">
        <f>+SUM(H86:H91)</f>
        <v>0</v>
      </c>
    </row>
    <row r="86" spans="1:8" ht="25.5" customHeight="1" thickBot="1">
      <c r="A86" s="1037" t="s">
        <v>148</v>
      </c>
      <c r="B86" s="1030"/>
      <c r="C86" s="172"/>
      <c r="D86" s="143">
        <f>+SUM(D87:D89)</f>
        <v>0</v>
      </c>
      <c r="E86" s="152"/>
      <c r="F86" s="200" t="s">
        <v>149</v>
      </c>
      <c r="G86" s="197">
        <v>5181</v>
      </c>
      <c r="H86" s="124">
        <v>0</v>
      </c>
    </row>
    <row r="87" spans="1:8">
      <c r="A87" s="193"/>
      <c r="B87" s="200" t="s">
        <v>150</v>
      </c>
      <c r="C87" s="198">
        <v>2201</v>
      </c>
      <c r="D87" s="123">
        <v>0</v>
      </c>
      <c r="E87" s="152"/>
      <c r="F87" s="200" t="s">
        <v>151</v>
      </c>
      <c r="G87" s="197">
        <v>5182</v>
      </c>
      <c r="H87" s="123">
        <v>0</v>
      </c>
    </row>
    <row r="88" spans="1:8">
      <c r="A88" s="193"/>
      <c r="B88" s="200" t="s">
        <v>152</v>
      </c>
      <c r="C88" s="198">
        <v>2202</v>
      </c>
      <c r="D88" s="123">
        <v>0</v>
      </c>
      <c r="E88" s="152"/>
      <c r="F88" s="200" t="s">
        <v>153</v>
      </c>
      <c r="G88" s="197">
        <v>5183</v>
      </c>
      <c r="H88" s="123">
        <v>0</v>
      </c>
    </row>
    <row r="89" spans="1:8" ht="13.5" thickBot="1">
      <c r="A89" s="193"/>
      <c r="B89" s="200" t="s">
        <v>154</v>
      </c>
      <c r="C89" s="198">
        <v>2210</v>
      </c>
      <c r="D89" s="123">
        <v>0</v>
      </c>
      <c r="E89" s="152"/>
      <c r="F89" s="200" t="s">
        <v>155</v>
      </c>
      <c r="G89" s="197">
        <v>5184</v>
      </c>
      <c r="H89" s="123">
        <v>0</v>
      </c>
    </row>
    <row r="90" spans="1:8" ht="13.5" thickBot="1">
      <c r="A90" s="1029" t="s">
        <v>156</v>
      </c>
      <c r="B90" s="1030"/>
      <c r="C90" s="203"/>
      <c r="D90" s="143">
        <f>+D91+D97+D101+D109+D136+D147</f>
        <v>0</v>
      </c>
      <c r="E90" s="152"/>
      <c r="F90" s="200" t="s">
        <v>157</v>
      </c>
      <c r="G90" s="197">
        <v>5185</v>
      </c>
      <c r="H90" s="123">
        <v>0</v>
      </c>
    </row>
    <row r="91" spans="1:8" ht="13.5" thickBot="1">
      <c r="A91" s="218"/>
      <c r="B91" s="212" t="s">
        <v>158</v>
      </c>
      <c r="C91" s="195"/>
      <c r="D91" s="151">
        <f>+SUM(D92:D95)-D96</f>
        <v>0</v>
      </c>
      <c r="E91" s="152"/>
      <c r="F91" s="201" t="s">
        <v>159</v>
      </c>
      <c r="G91" s="210">
        <v>5190</v>
      </c>
      <c r="H91" s="125">
        <v>0</v>
      </c>
    </row>
    <row r="92" spans="1:8">
      <c r="A92" s="218"/>
      <c r="B92" s="199" t="s">
        <v>160</v>
      </c>
      <c r="C92" s="168">
        <v>7001</v>
      </c>
      <c r="D92" s="123">
        <v>0</v>
      </c>
      <c r="E92" s="152"/>
      <c r="F92" s="219" t="s">
        <v>161</v>
      </c>
      <c r="G92" s="220"/>
      <c r="H92" s="221"/>
    </row>
    <row r="93" spans="1:8" ht="25.5">
      <c r="A93" s="218"/>
      <c r="B93" s="155" t="s">
        <v>162</v>
      </c>
      <c r="C93" s="198">
        <v>7002</v>
      </c>
      <c r="D93" s="123">
        <v>0</v>
      </c>
      <c r="E93" s="152"/>
      <c r="F93" s="219" t="s">
        <v>161</v>
      </c>
      <c r="G93" s="220"/>
      <c r="H93" s="221"/>
    </row>
    <row r="94" spans="1:8">
      <c r="A94" s="218"/>
      <c r="B94" s="200" t="s">
        <v>163</v>
      </c>
      <c r="C94" s="198">
        <v>7003</v>
      </c>
      <c r="D94" s="123">
        <v>0</v>
      </c>
      <c r="E94" s="167"/>
      <c r="F94" s="219" t="s">
        <v>161</v>
      </c>
      <c r="G94" s="220"/>
      <c r="H94" s="221"/>
    </row>
    <row r="95" spans="1:8">
      <c r="A95" s="218"/>
      <c r="B95" s="200" t="s">
        <v>164</v>
      </c>
      <c r="C95" s="198">
        <v>7004</v>
      </c>
      <c r="D95" s="123">
        <v>0</v>
      </c>
      <c r="E95" s="152"/>
      <c r="F95" s="219" t="s">
        <v>161</v>
      </c>
      <c r="G95" s="220"/>
      <c r="H95" s="221"/>
    </row>
    <row r="96" spans="1:8" ht="13.5" thickBot="1">
      <c r="A96" s="218"/>
      <c r="B96" s="200" t="s">
        <v>165</v>
      </c>
      <c r="C96" s="198">
        <v>7010</v>
      </c>
      <c r="D96" s="123">
        <v>0</v>
      </c>
      <c r="E96" s="152"/>
      <c r="F96" s="219" t="s">
        <v>161</v>
      </c>
      <c r="G96" s="220"/>
      <c r="H96" s="221"/>
    </row>
    <row r="97" spans="1:8" ht="13.5" thickBot="1">
      <c r="A97" s="218"/>
      <c r="B97" s="195" t="s">
        <v>166</v>
      </c>
      <c r="C97" s="195"/>
      <c r="D97" s="151">
        <f>+SUM(D98:D99)-D100</f>
        <v>0</v>
      </c>
      <c r="E97" s="152"/>
      <c r="F97" s="219"/>
      <c r="G97" s="220"/>
      <c r="H97" s="221"/>
    </row>
    <row r="98" spans="1:8">
      <c r="A98" s="218"/>
      <c r="B98" s="200" t="s">
        <v>167</v>
      </c>
      <c r="C98" s="198">
        <v>7021</v>
      </c>
      <c r="D98" s="123">
        <v>0</v>
      </c>
      <c r="E98" s="152"/>
      <c r="F98" s="219" t="s">
        <v>161</v>
      </c>
      <c r="G98" s="220"/>
      <c r="H98" s="221"/>
    </row>
    <row r="99" spans="1:8" ht="25.5">
      <c r="A99" s="218"/>
      <c r="B99" s="155" t="s">
        <v>168</v>
      </c>
      <c r="C99" s="198">
        <v>7022</v>
      </c>
      <c r="D99" s="123">
        <v>0</v>
      </c>
      <c r="E99" s="152"/>
      <c r="F99" s="219" t="s">
        <v>161</v>
      </c>
      <c r="G99" s="220"/>
      <c r="H99" s="221"/>
    </row>
    <row r="100" spans="1:8" ht="13.5" thickBot="1">
      <c r="A100" s="218"/>
      <c r="B100" s="200" t="s">
        <v>169</v>
      </c>
      <c r="C100" s="198">
        <v>7030</v>
      </c>
      <c r="D100" s="123">
        <v>0</v>
      </c>
      <c r="E100" s="152"/>
      <c r="F100" s="219" t="s">
        <v>161</v>
      </c>
      <c r="G100" s="220"/>
      <c r="H100" s="221"/>
    </row>
    <row r="101" spans="1:8" ht="13.5" thickBot="1">
      <c r="A101" s="218"/>
      <c r="B101" s="195" t="s">
        <v>170</v>
      </c>
      <c r="C101" s="195"/>
      <c r="D101" s="151">
        <f>+SUM(D102:D108)</f>
        <v>0</v>
      </c>
      <c r="E101" s="152"/>
      <c r="F101" s="219"/>
      <c r="G101" s="220"/>
      <c r="H101" s="221"/>
    </row>
    <row r="102" spans="1:8">
      <c r="A102" s="218"/>
      <c r="B102" s="155" t="s">
        <v>171</v>
      </c>
      <c r="C102" s="198">
        <v>7041</v>
      </c>
      <c r="D102" s="123">
        <v>0</v>
      </c>
      <c r="E102" s="152"/>
      <c r="F102" s="219" t="s">
        <v>161</v>
      </c>
      <c r="G102" s="220"/>
      <c r="H102" s="221"/>
    </row>
    <row r="103" spans="1:8" ht="25.5">
      <c r="A103" s="218"/>
      <c r="B103" s="155" t="s">
        <v>172</v>
      </c>
      <c r="C103" s="198">
        <v>7042</v>
      </c>
      <c r="D103" s="123">
        <v>0</v>
      </c>
      <c r="E103" s="152"/>
      <c r="F103" s="219" t="s">
        <v>161</v>
      </c>
      <c r="G103" s="220"/>
      <c r="H103" s="221"/>
    </row>
    <row r="104" spans="1:8">
      <c r="A104" s="218"/>
      <c r="B104" s="155" t="s">
        <v>173</v>
      </c>
      <c r="C104" s="198">
        <v>7043</v>
      </c>
      <c r="D104" s="123">
        <v>0</v>
      </c>
      <c r="E104" s="152"/>
      <c r="F104" s="219" t="s">
        <v>161</v>
      </c>
      <c r="G104" s="220"/>
      <c r="H104" s="221"/>
    </row>
    <row r="105" spans="1:8">
      <c r="A105" s="218"/>
      <c r="B105" s="155" t="s">
        <v>174</v>
      </c>
      <c r="C105" s="198">
        <v>7044</v>
      </c>
      <c r="D105" s="123">
        <v>0</v>
      </c>
      <c r="E105" s="152"/>
      <c r="F105" s="219" t="s">
        <v>161</v>
      </c>
      <c r="G105" s="220"/>
      <c r="H105" s="221"/>
    </row>
    <row r="106" spans="1:8">
      <c r="A106" s="218"/>
      <c r="B106" s="155" t="s">
        <v>175</v>
      </c>
      <c r="C106" s="198">
        <v>7045</v>
      </c>
      <c r="D106" s="123">
        <v>0</v>
      </c>
      <c r="E106" s="152"/>
      <c r="F106" s="219" t="s">
        <v>161</v>
      </c>
      <c r="G106" s="220"/>
      <c r="H106" s="221"/>
    </row>
    <row r="107" spans="1:8" ht="25.5">
      <c r="A107" s="193"/>
      <c r="B107" s="155" t="s">
        <v>176</v>
      </c>
      <c r="C107" s="198">
        <v>7046</v>
      </c>
      <c r="D107" s="123">
        <v>0</v>
      </c>
      <c r="E107" s="152"/>
      <c r="F107" s="219" t="s">
        <v>161</v>
      </c>
      <c r="G107" s="220"/>
      <c r="H107" s="221"/>
    </row>
    <row r="108" spans="1:8" ht="13.5" thickBot="1">
      <c r="A108" s="87"/>
      <c r="B108" s="155" t="s">
        <v>177</v>
      </c>
      <c r="C108" s="198">
        <v>7047</v>
      </c>
      <c r="D108" s="123">
        <v>0</v>
      </c>
      <c r="E108" s="152"/>
      <c r="F108" s="219" t="s">
        <v>161</v>
      </c>
      <c r="G108" s="220"/>
      <c r="H108" s="221"/>
    </row>
    <row r="109" spans="1:8" ht="13.5" thickBot="1">
      <c r="A109" s="87"/>
      <c r="B109" s="195" t="s">
        <v>178</v>
      </c>
      <c r="C109" s="195"/>
      <c r="D109" s="151">
        <f>+SUM(D110:D135)</f>
        <v>0</v>
      </c>
      <c r="E109" s="152"/>
      <c r="F109" s="219"/>
      <c r="G109" s="222"/>
      <c r="H109" s="223"/>
    </row>
    <row r="110" spans="1:8" ht="25.5">
      <c r="A110" s="87"/>
      <c r="B110" s="155" t="s">
        <v>179</v>
      </c>
      <c r="C110" s="198">
        <v>7050</v>
      </c>
      <c r="D110" s="123">
        <v>0</v>
      </c>
      <c r="E110" s="152"/>
      <c r="F110" s="219" t="s">
        <v>161</v>
      </c>
      <c r="G110" s="222"/>
      <c r="H110" s="223"/>
    </row>
    <row r="111" spans="1:8" ht="25.5">
      <c r="A111" s="87"/>
      <c r="B111" s="155" t="s">
        <v>180</v>
      </c>
      <c r="C111" s="198">
        <v>7051</v>
      </c>
      <c r="D111" s="123">
        <v>0</v>
      </c>
      <c r="E111" s="152"/>
      <c r="F111" s="219" t="s">
        <v>161</v>
      </c>
      <c r="G111" s="222"/>
      <c r="H111" s="223"/>
    </row>
    <row r="112" spans="1:8">
      <c r="A112" s="87"/>
      <c r="B112" s="155" t="s">
        <v>181</v>
      </c>
      <c r="C112" s="198">
        <v>7052</v>
      </c>
      <c r="D112" s="123">
        <v>0</v>
      </c>
      <c r="E112" s="152"/>
      <c r="F112" s="219" t="s">
        <v>161</v>
      </c>
      <c r="G112" s="222"/>
      <c r="H112" s="223"/>
    </row>
    <row r="113" spans="1:8" ht="25.5">
      <c r="A113" s="87"/>
      <c r="B113" s="155" t="s">
        <v>182</v>
      </c>
      <c r="C113" s="198">
        <v>7053</v>
      </c>
      <c r="D113" s="123">
        <v>0</v>
      </c>
      <c r="E113" s="152"/>
      <c r="F113" s="219" t="s">
        <v>161</v>
      </c>
      <c r="G113" s="222"/>
      <c r="H113" s="223"/>
    </row>
    <row r="114" spans="1:8">
      <c r="A114" s="87"/>
      <c r="B114" s="155" t="s">
        <v>183</v>
      </c>
      <c r="C114" s="198">
        <v>7054</v>
      </c>
      <c r="D114" s="123">
        <v>0</v>
      </c>
      <c r="E114" s="152"/>
      <c r="F114" s="219" t="s">
        <v>161</v>
      </c>
      <c r="G114" s="222"/>
      <c r="H114" s="223"/>
    </row>
    <row r="115" spans="1:8">
      <c r="A115" s="87"/>
      <c r="B115" s="155" t="s">
        <v>184</v>
      </c>
      <c r="C115" s="198">
        <v>7055</v>
      </c>
      <c r="D115" s="123">
        <v>0</v>
      </c>
      <c r="E115" s="152"/>
      <c r="F115" s="219" t="s">
        <v>161</v>
      </c>
      <c r="G115" s="222"/>
      <c r="H115" s="223"/>
    </row>
    <row r="116" spans="1:8">
      <c r="A116" s="87"/>
      <c r="B116" s="155" t="s">
        <v>185</v>
      </c>
      <c r="C116" s="198">
        <v>7056</v>
      </c>
      <c r="D116" s="123">
        <v>0</v>
      </c>
      <c r="E116" s="152"/>
      <c r="F116" s="219" t="s">
        <v>161</v>
      </c>
      <c r="G116" s="222"/>
      <c r="H116" s="223"/>
    </row>
    <row r="117" spans="1:8">
      <c r="A117" s="87"/>
      <c r="B117" s="155" t="s">
        <v>186</v>
      </c>
      <c r="C117" s="198">
        <v>7057</v>
      </c>
      <c r="D117" s="123">
        <v>0</v>
      </c>
      <c r="E117" s="152"/>
      <c r="F117" s="219" t="s">
        <v>161</v>
      </c>
      <c r="G117" s="222"/>
      <c r="H117" s="223"/>
    </row>
    <row r="118" spans="1:8">
      <c r="A118" s="87"/>
      <c r="B118" s="155" t="s">
        <v>187</v>
      </c>
      <c r="C118" s="198">
        <v>7058</v>
      </c>
      <c r="D118" s="123">
        <v>0</v>
      </c>
      <c r="E118" s="152"/>
      <c r="F118" s="219" t="s">
        <v>161</v>
      </c>
      <c r="G118" s="222"/>
      <c r="H118" s="223"/>
    </row>
    <row r="119" spans="1:8">
      <c r="A119" s="87"/>
      <c r="B119" s="155" t="s">
        <v>188</v>
      </c>
      <c r="C119" s="198">
        <v>7059</v>
      </c>
      <c r="D119" s="123">
        <v>0</v>
      </c>
      <c r="E119" s="152"/>
      <c r="F119" s="219" t="s">
        <v>161</v>
      </c>
      <c r="G119" s="222"/>
      <c r="H119" s="223"/>
    </row>
    <row r="120" spans="1:8">
      <c r="A120" s="87"/>
      <c r="B120" s="155" t="s">
        <v>189</v>
      </c>
      <c r="C120" s="198">
        <v>7060</v>
      </c>
      <c r="D120" s="123">
        <v>0</v>
      </c>
      <c r="E120" s="152"/>
      <c r="F120" s="219" t="s">
        <v>161</v>
      </c>
      <c r="G120" s="222"/>
      <c r="H120" s="223"/>
    </row>
    <row r="121" spans="1:8">
      <c r="A121" s="87"/>
      <c r="B121" s="155" t="s">
        <v>190</v>
      </c>
      <c r="C121" s="198">
        <v>7061</v>
      </c>
      <c r="D121" s="123">
        <v>0</v>
      </c>
      <c r="E121" s="152"/>
      <c r="F121" s="219" t="s">
        <v>161</v>
      </c>
      <c r="G121" s="222"/>
      <c r="H121" s="223"/>
    </row>
    <row r="122" spans="1:8">
      <c r="A122" s="87"/>
      <c r="B122" s="155" t="s">
        <v>191</v>
      </c>
      <c r="C122" s="198">
        <v>7062</v>
      </c>
      <c r="D122" s="123">
        <v>0</v>
      </c>
      <c r="E122" s="152"/>
      <c r="F122" s="219" t="s">
        <v>161</v>
      </c>
      <c r="G122" s="222"/>
      <c r="H122" s="223"/>
    </row>
    <row r="123" spans="1:8">
      <c r="A123" s="87"/>
      <c r="B123" s="155" t="s">
        <v>192</v>
      </c>
      <c r="C123" s="198">
        <v>7063</v>
      </c>
      <c r="D123" s="123">
        <v>0</v>
      </c>
      <c r="E123" s="152"/>
      <c r="F123" s="219" t="s">
        <v>161</v>
      </c>
      <c r="G123" s="222"/>
      <c r="H123" s="223"/>
    </row>
    <row r="124" spans="1:8">
      <c r="A124" s="87"/>
      <c r="B124" s="155" t="s">
        <v>193</v>
      </c>
      <c r="C124" s="198">
        <v>7064</v>
      </c>
      <c r="D124" s="123">
        <v>0</v>
      </c>
      <c r="E124" s="152"/>
      <c r="F124" s="219" t="s">
        <v>161</v>
      </c>
      <c r="G124" s="222"/>
      <c r="H124" s="223"/>
    </row>
    <row r="125" spans="1:8">
      <c r="A125" s="87"/>
      <c r="B125" s="155" t="s">
        <v>194</v>
      </c>
      <c r="C125" s="198">
        <v>7065</v>
      </c>
      <c r="D125" s="123">
        <v>0</v>
      </c>
      <c r="E125" s="152"/>
      <c r="F125" s="219" t="s">
        <v>161</v>
      </c>
      <c r="G125" s="222"/>
      <c r="H125" s="223"/>
    </row>
    <row r="126" spans="1:8">
      <c r="A126" s="87"/>
      <c r="B126" s="155" t="s">
        <v>195</v>
      </c>
      <c r="C126" s="198">
        <v>7066</v>
      </c>
      <c r="D126" s="123">
        <v>0</v>
      </c>
      <c r="E126" s="152"/>
      <c r="F126" s="219" t="s">
        <v>161</v>
      </c>
      <c r="G126" s="222"/>
      <c r="H126" s="223"/>
    </row>
    <row r="127" spans="1:8">
      <c r="A127" s="87"/>
      <c r="B127" s="155" t="s">
        <v>196</v>
      </c>
      <c r="C127" s="198">
        <v>7067</v>
      </c>
      <c r="D127" s="123">
        <v>0</v>
      </c>
      <c r="E127" s="152"/>
      <c r="F127" s="219" t="s">
        <v>161</v>
      </c>
      <c r="G127" s="222"/>
      <c r="H127" s="223"/>
    </row>
    <row r="128" spans="1:8">
      <c r="A128" s="87"/>
      <c r="B128" s="155" t="s">
        <v>197</v>
      </c>
      <c r="C128" s="198">
        <v>7068</v>
      </c>
      <c r="D128" s="123">
        <v>0</v>
      </c>
      <c r="E128" s="152"/>
      <c r="F128" s="219" t="s">
        <v>161</v>
      </c>
      <c r="G128" s="222"/>
      <c r="H128" s="223"/>
    </row>
    <row r="129" spans="1:8">
      <c r="A129" s="87"/>
      <c r="B129" s="155" t="s">
        <v>198</v>
      </c>
      <c r="C129" s="198">
        <v>7069</v>
      </c>
      <c r="D129" s="123">
        <v>0</v>
      </c>
      <c r="E129" s="152"/>
      <c r="F129" s="219" t="s">
        <v>161</v>
      </c>
      <c r="G129" s="222"/>
      <c r="H129" s="223"/>
    </row>
    <row r="130" spans="1:8">
      <c r="A130" s="87"/>
      <c r="B130" s="155" t="s">
        <v>199</v>
      </c>
      <c r="C130" s="198">
        <v>7070</v>
      </c>
      <c r="D130" s="123">
        <v>0</v>
      </c>
      <c r="E130" s="152"/>
      <c r="F130" s="219" t="s">
        <v>161</v>
      </c>
      <c r="G130" s="222"/>
      <c r="H130" s="223"/>
    </row>
    <row r="131" spans="1:8">
      <c r="A131" s="87"/>
      <c r="B131" s="155" t="s">
        <v>200</v>
      </c>
      <c r="C131" s="198">
        <v>7071</v>
      </c>
      <c r="D131" s="123">
        <v>0</v>
      </c>
      <c r="E131" s="152"/>
      <c r="F131" s="219" t="s">
        <v>161</v>
      </c>
      <c r="G131" s="222"/>
      <c r="H131" s="223"/>
    </row>
    <row r="132" spans="1:8">
      <c r="A132" s="87"/>
      <c r="B132" s="155" t="s">
        <v>201</v>
      </c>
      <c r="C132" s="198">
        <v>7072</v>
      </c>
      <c r="D132" s="123">
        <v>0</v>
      </c>
      <c r="E132" s="152"/>
      <c r="F132" s="219" t="s">
        <v>161</v>
      </c>
      <c r="G132" s="222"/>
      <c r="H132" s="223"/>
    </row>
    <row r="133" spans="1:8">
      <c r="A133" s="87"/>
      <c r="B133" s="155" t="s">
        <v>202</v>
      </c>
      <c r="C133" s="198">
        <v>7073</v>
      </c>
      <c r="D133" s="123">
        <v>0</v>
      </c>
      <c r="E133" s="152"/>
      <c r="F133" s="219" t="s">
        <v>161</v>
      </c>
      <c r="G133" s="222"/>
      <c r="H133" s="223"/>
    </row>
    <row r="134" spans="1:8">
      <c r="A134" s="87"/>
      <c r="B134" s="155" t="s">
        <v>203</v>
      </c>
      <c r="C134" s="198">
        <v>7074</v>
      </c>
      <c r="D134" s="123">
        <v>0</v>
      </c>
      <c r="E134" s="152"/>
      <c r="F134" s="219" t="s">
        <v>161</v>
      </c>
      <c r="G134" s="222"/>
      <c r="H134" s="223"/>
    </row>
    <row r="135" spans="1:8" ht="13.5" thickBot="1">
      <c r="A135" s="87"/>
      <c r="B135" s="155" t="s">
        <v>204</v>
      </c>
      <c r="C135" s="198">
        <v>7075</v>
      </c>
      <c r="D135" s="123">
        <v>0</v>
      </c>
      <c r="E135" s="152"/>
      <c r="F135" s="219" t="s">
        <v>161</v>
      </c>
      <c r="G135" s="222"/>
      <c r="H135" s="223"/>
    </row>
    <row r="136" spans="1:8" ht="13.5" thickBot="1">
      <c r="A136" s="87"/>
      <c r="B136" s="195" t="s">
        <v>205</v>
      </c>
      <c r="C136" s="195"/>
      <c r="D136" s="151">
        <f>+SUM(D137:D146)</f>
        <v>0</v>
      </c>
      <c r="E136" s="152"/>
      <c r="F136" s="219"/>
      <c r="G136" s="222"/>
      <c r="H136" s="223"/>
    </row>
    <row r="137" spans="1:8">
      <c r="A137" s="87"/>
      <c r="B137" s="200" t="s">
        <v>206</v>
      </c>
      <c r="C137" s="198">
        <v>7080</v>
      </c>
      <c r="D137" s="123">
        <v>0</v>
      </c>
      <c r="E137" s="152"/>
      <c r="F137" s="219" t="s">
        <v>161</v>
      </c>
      <c r="G137" s="222"/>
      <c r="H137" s="223"/>
    </row>
    <row r="138" spans="1:8">
      <c r="A138" s="87"/>
      <c r="B138" s="836" t="s">
        <v>818</v>
      </c>
      <c r="C138" s="198">
        <v>7081</v>
      </c>
      <c r="D138" s="123">
        <v>0</v>
      </c>
      <c r="E138" s="152"/>
      <c r="F138" s="219" t="s">
        <v>161</v>
      </c>
      <c r="G138" s="222"/>
      <c r="H138" s="223"/>
    </row>
    <row r="139" spans="1:8">
      <c r="A139" s="87"/>
      <c r="B139" s="200" t="s">
        <v>207</v>
      </c>
      <c r="C139" s="198">
        <v>7082</v>
      </c>
      <c r="D139" s="123">
        <v>0</v>
      </c>
      <c r="E139" s="152"/>
      <c r="F139" s="219" t="s">
        <v>161</v>
      </c>
      <c r="G139" s="222"/>
      <c r="H139" s="223"/>
    </row>
    <row r="140" spans="1:8">
      <c r="A140" s="87"/>
      <c r="B140" s="200" t="s">
        <v>208</v>
      </c>
      <c r="C140" s="198">
        <v>7083</v>
      </c>
      <c r="D140" s="123">
        <v>0</v>
      </c>
      <c r="E140" s="152"/>
      <c r="F140" s="219" t="s">
        <v>161</v>
      </c>
      <c r="G140" s="222"/>
      <c r="H140" s="223"/>
    </row>
    <row r="141" spans="1:8">
      <c r="A141" s="87"/>
      <c r="B141" s="200" t="s">
        <v>209</v>
      </c>
      <c r="C141" s="198">
        <v>7084</v>
      </c>
      <c r="D141" s="123">
        <v>0</v>
      </c>
      <c r="E141" s="152"/>
      <c r="F141" s="219" t="s">
        <v>161</v>
      </c>
      <c r="G141" s="222"/>
      <c r="H141" s="223"/>
    </row>
    <row r="142" spans="1:8">
      <c r="A142" s="87"/>
      <c r="B142" s="836" t="s">
        <v>405</v>
      </c>
      <c r="C142" s="198">
        <v>7085</v>
      </c>
      <c r="D142" s="123">
        <v>0</v>
      </c>
      <c r="E142" s="152"/>
      <c r="F142" s="219" t="s">
        <v>161</v>
      </c>
      <c r="G142" s="222"/>
      <c r="H142" s="223"/>
    </row>
    <row r="143" spans="1:8">
      <c r="A143" s="87"/>
      <c r="B143" s="200" t="s">
        <v>210</v>
      </c>
      <c r="C143" s="198">
        <v>7086</v>
      </c>
      <c r="D143" s="123">
        <v>0</v>
      </c>
      <c r="E143" s="152"/>
      <c r="F143" s="219" t="s">
        <v>161</v>
      </c>
      <c r="G143" s="222"/>
      <c r="H143" s="223"/>
    </row>
    <row r="144" spans="1:8">
      <c r="A144" s="87"/>
      <c r="B144" s="200" t="s">
        <v>211</v>
      </c>
      <c r="C144" s="198">
        <v>7087</v>
      </c>
      <c r="D144" s="123">
        <v>0</v>
      </c>
      <c r="E144" s="152"/>
      <c r="F144" s="219" t="s">
        <v>161</v>
      </c>
      <c r="G144" s="222"/>
      <c r="H144" s="223"/>
    </row>
    <row r="145" spans="1:9">
      <c r="A145" s="87"/>
      <c r="B145" s="200" t="s">
        <v>212</v>
      </c>
      <c r="C145" s="198">
        <v>7088</v>
      </c>
      <c r="D145" s="123">
        <v>0</v>
      </c>
      <c r="E145" s="152"/>
      <c r="F145" s="219" t="s">
        <v>161</v>
      </c>
      <c r="G145" s="222"/>
      <c r="H145" s="223"/>
    </row>
    <row r="146" spans="1:9" ht="13.5" thickBot="1">
      <c r="A146" s="87"/>
      <c r="B146" s="200" t="s">
        <v>213</v>
      </c>
      <c r="C146" s="198">
        <v>7089</v>
      </c>
      <c r="D146" s="123">
        <v>0</v>
      </c>
      <c r="E146" s="152"/>
      <c r="F146" s="219" t="s">
        <v>161</v>
      </c>
      <c r="G146" s="222"/>
      <c r="H146" s="223"/>
    </row>
    <row r="147" spans="1:9" ht="13.5" thickBot="1">
      <c r="A147" s="87"/>
      <c r="B147" s="195" t="s">
        <v>214</v>
      </c>
      <c r="C147" s="195"/>
      <c r="D147" s="151">
        <f>+D148</f>
        <v>0</v>
      </c>
      <c r="E147" s="152"/>
      <c r="F147" s="219"/>
      <c r="G147" s="222"/>
      <c r="H147" s="223"/>
    </row>
    <row r="148" spans="1:9" ht="13.5" thickBot="1">
      <c r="A148" s="213"/>
      <c r="B148" s="201" t="s">
        <v>214</v>
      </c>
      <c r="C148" s="198">
        <v>9101</v>
      </c>
      <c r="D148" s="124"/>
      <c r="E148" s="152"/>
      <c r="F148" s="219" t="s">
        <v>161</v>
      </c>
      <c r="G148" s="222"/>
      <c r="H148" s="223"/>
    </row>
    <row r="149" spans="1:9" ht="13.5" thickBot="1">
      <c r="A149" s="1029" t="s">
        <v>215</v>
      </c>
      <c r="B149" s="1028"/>
      <c r="C149" s="1028"/>
      <c r="D149" s="224">
        <f>+D10+D61+D90</f>
        <v>0</v>
      </c>
      <c r="E149" s="1038" t="s">
        <v>216</v>
      </c>
      <c r="F149" s="1028"/>
      <c r="G149" s="142"/>
      <c r="H149" s="143">
        <f>+H10+H52+H71</f>
        <v>0</v>
      </c>
      <c r="I149" s="839" t="str">
        <f>+IF(H149=D149,"","Алдаатай")</f>
        <v/>
      </c>
    </row>
    <row r="150" spans="1:9">
      <c r="A150" s="140"/>
      <c r="B150" s="140"/>
      <c r="C150" s="140"/>
      <c r="D150" s="140"/>
      <c r="E150" s="140"/>
      <c r="F150" s="140"/>
      <c r="G150" s="140"/>
      <c r="H150" s="140"/>
    </row>
    <row r="151" spans="1:9">
      <c r="A151" s="140"/>
      <c r="B151" s="140"/>
      <c r="C151" s="140"/>
      <c r="D151" s="140"/>
      <c r="E151" s="140"/>
      <c r="F151" s="225"/>
      <c r="G151" s="225"/>
      <c r="H151" s="226">
        <v>0</v>
      </c>
    </row>
    <row r="152" spans="1:9" ht="13.5">
      <c r="A152" s="140"/>
      <c r="B152" s="140"/>
      <c r="C152" s="140"/>
      <c r="D152" s="140"/>
      <c r="E152" s="140"/>
      <c r="F152" s="227" t="s">
        <v>217</v>
      </c>
      <c r="G152" s="227"/>
      <c r="H152" s="228">
        <f>+H153-H154</f>
        <v>0</v>
      </c>
    </row>
    <row r="153" spans="1:9" ht="13.5">
      <c r="A153" s="140"/>
      <c r="B153" s="140"/>
      <c r="C153" s="140"/>
      <c r="D153" s="140"/>
      <c r="E153" s="140"/>
      <c r="F153" s="229" t="s">
        <v>218</v>
      </c>
      <c r="G153" s="229"/>
      <c r="H153" s="152">
        <f>+H71</f>
        <v>0</v>
      </c>
    </row>
    <row r="154" spans="1:9" ht="13.5">
      <c r="A154" s="140"/>
      <c r="B154" s="140"/>
      <c r="C154" s="140"/>
      <c r="D154" s="140"/>
      <c r="E154" s="140"/>
      <c r="F154" s="229" t="s">
        <v>219</v>
      </c>
      <c r="G154" s="229"/>
      <c r="H154" s="152">
        <f>+D90</f>
        <v>0</v>
      </c>
    </row>
    <row r="155" spans="1:9" ht="13.5" thickBot="1">
      <c r="A155" s="140"/>
      <c r="B155" s="140"/>
      <c r="C155" s="140"/>
      <c r="D155" s="140"/>
      <c r="E155" s="140"/>
      <c r="F155" s="140"/>
      <c r="G155" s="140"/>
      <c r="H155" s="140"/>
    </row>
    <row r="156" spans="1:9" ht="13.5" thickBot="1">
      <c r="A156" s="119"/>
      <c r="B156" s="230" t="s">
        <v>220</v>
      </c>
      <c r="C156" s="1039" t="s">
        <v>7</v>
      </c>
      <c r="D156" s="231"/>
      <c r="E156" s="119"/>
      <c r="F156" s="119"/>
      <c r="G156" s="119"/>
      <c r="H156" s="119"/>
    </row>
    <row r="157" spans="1:9" ht="13.5" thickBot="1">
      <c r="A157" s="119"/>
      <c r="B157" s="108"/>
      <c r="C157" s="989"/>
      <c r="D157" s="232" t="s">
        <v>8</v>
      </c>
      <c r="E157" s="119"/>
      <c r="F157" s="119"/>
      <c r="G157" s="119"/>
      <c r="H157" s="119"/>
    </row>
    <row r="158" spans="1:9" ht="13.5" thickBot="1">
      <c r="A158" s="119"/>
      <c r="B158" s="233" t="s">
        <v>221</v>
      </c>
      <c r="C158" s="233"/>
      <c r="D158" s="145">
        <f>+SUM(D159:D161)</f>
        <v>0</v>
      </c>
      <c r="E158" s="119"/>
      <c r="F158" s="119"/>
      <c r="G158" s="119"/>
      <c r="H158" s="119"/>
    </row>
    <row r="159" spans="1:9">
      <c r="A159" s="119"/>
      <c r="B159" s="199" t="s">
        <v>222</v>
      </c>
      <c r="C159" s="168">
        <v>9901</v>
      </c>
      <c r="D159" s="134">
        <v>0</v>
      </c>
      <c r="E159" s="119"/>
      <c r="F159" s="119"/>
      <c r="G159" s="119"/>
      <c r="H159" s="119"/>
    </row>
    <row r="160" spans="1:9">
      <c r="A160" s="119"/>
      <c r="B160" s="200" t="s">
        <v>223</v>
      </c>
      <c r="C160" s="198">
        <v>9902</v>
      </c>
      <c r="D160" s="133">
        <v>0</v>
      </c>
      <c r="E160" s="119"/>
      <c r="F160" s="119"/>
      <c r="G160" s="119"/>
      <c r="H160" s="119"/>
    </row>
    <row r="161" spans="1:8" ht="13.5" thickBot="1">
      <c r="A161" s="119"/>
      <c r="B161" s="201" t="s">
        <v>224</v>
      </c>
      <c r="C161" s="171">
        <v>9903</v>
      </c>
      <c r="D161" s="135">
        <v>0</v>
      </c>
      <c r="E161" s="119"/>
      <c r="F161" s="119"/>
      <c r="G161" s="119"/>
      <c r="H161" s="119"/>
    </row>
    <row r="162" spans="1:8" ht="13.5" thickBot="1">
      <c r="A162" s="119"/>
      <c r="B162" s="234" t="s">
        <v>225</v>
      </c>
      <c r="C162" s="234"/>
      <c r="D162" s="143">
        <f>+SUM(D163:D165)</f>
        <v>0</v>
      </c>
      <c r="E162" s="119"/>
      <c r="F162" s="119"/>
      <c r="G162" s="119"/>
      <c r="H162" s="119"/>
    </row>
    <row r="163" spans="1:8">
      <c r="A163" s="119"/>
      <c r="B163" s="199" t="s">
        <v>226</v>
      </c>
      <c r="C163" s="168">
        <v>9910</v>
      </c>
      <c r="D163" s="134">
        <v>0</v>
      </c>
      <c r="E163" s="119"/>
      <c r="F163" s="119"/>
      <c r="G163" s="119"/>
      <c r="H163" s="119"/>
    </row>
    <row r="164" spans="1:8">
      <c r="A164" s="119"/>
      <c r="B164" s="200" t="s">
        <v>227</v>
      </c>
      <c r="C164" s="198">
        <v>9911</v>
      </c>
      <c r="D164" s="133">
        <v>0</v>
      </c>
      <c r="E164" s="119"/>
      <c r="F164" s="119"/>
      <c r="G164" s="119"/>
      <c r="H164" s="119"/>
    </row>
    <row r="165" spans="1:8" ht="13.5" thickBot="1">
      <c r="A165" s="119"/>
      <c r="B165" s="201" t="s">
        <v>228</v>
      </c>
      <c r="C165" s="171">
        <v>9915</v>
      </c>
      <c r="D165" s="135">
        <v>0</v>
      </c>
      <c r="E165" s="119"/>
      <c r="F165" s="119"/>
      <c r="G165" s="119"/>
      <c r="H165" s="119"/>
    </row>
    <row r="166" spans="1:8" ht="13.5" thickBot="1">
      <c r="A166" s="119"/>
      <c r="B166" s="234" t="s">
        <v>229</v>
      </c>
      <c r="C166" s="234"/>
      <c r="D166" s="143">
        <f>+SUM(D167:D168)</f>
        <v>0</v>
      </c>
      <c r="E166" s="119"/>
      <c r="F166" s="119"/>
      <c r="G166" s="119"/>
      <c r="H166" s="119"/>
    </row>
    <row r="167" spans="1:8">
      <c r="A167" s="119"/>
      <c r="B167" s="199" t="s">
        <v>230</v>
      </c>
      <c r="C167" s="168">
        <v>9920</v>
      </c>
      <c r="D167" s="134">
        <v>0</v>
      </c>
      <c r="E167" s="119"/>
      <c r="F167" s="119"/>
      <c r="G167" s="119"/>
      <c r="H167" s="119"/>
    </row>
    <row r="168" spans="1:8" ht="13.5" thickBot="1">
      <c r="A168" s="119"/>
      <c r="B168" s="201" t="s">
        <v>231</v>
      </c>
      <c r="C168" s="171">
        <v>9921</v>
      </c>
      <c r="D168" s="135">
        <v>0</v>
      </c>
      <c r="E168" s="119"/>
      <c r="F168" s="119"/>
      <c r="G168" s="119"/>
      <c r="H168" s="119"/>
    </row>
    <row r="169" spans="1:8">
      <c r="A169" s="152"/>
      <c r="B169" s="140"/>
      <c r="C169" s="140"/>
      <c r="D169" s="119"/>
      <c r="E169" s="119"/>
      <c r="F169" s="119"/>
      <c r="G169" s="119"/>
      <c r="H169" s="119"/>
    </row>
    <row r="170" spans="1:8">
      <c r="A170" s="152"/>
      <c r="B170" s="140"/>
      <c r="C170" s="140"/>
      <c r="D170" s="119"/>
      <c r="E170" s="119"/>
      <c r="F170" s="119"/>
      <c r="G170" s="119"/>
      <c r="H170" s="119"/>
    </row>
    <row r="171" spans="1:8" ht="15" customHeight="1">
      <c r="A171" s="1024" t="s">
        <v>232</v>
      </c>
      <c r="B171" s="1024"/>
      <c r="C171" s="1024"/>
      <c r="D171" s="1024"/>
      <c r="E171" s="1024"/>
      <c r="F171" s="1024"/>
      <c r="G171" s="1024"/>
      <c r="H171" s="1024"/>
    </row>
    <row r="172" spans="1:8">
      <c r="A172" s="1025" t="s">
        <v>233</v>
      </c>
      <c r="B172" s="1026"/>
      <c r="C172" s="1026"/>
      <c r="D172" s="1026"/>
      <c r="E172" s="1026"/>
      <c r="F172" s="1026"/>
      <c r="G172" s="1026"/>
      <c r="H172" s="1026"/>
    </row>
    <row r="173" spans="1:8">
      <c r="A173" s="140"/>
      <c r="B173" s="140"/>
      <c r="C173" s="140"/>
      <c r="D173" s="119"/>
      <c r="E173" s="119"/>
      <c r="F173" s="119"/>
      <c r="G173" s="119"/>
      <c r="H173" s="119"/>
    </row>
    <row r="174" spans="1:8">
      <c r="A174" s="140"/>
      <c r="B174" s="140"/>
      <c r="D174" s="235" t="s">
        <v>234</v>
      </c>
      <c r="E174" s="119"/>
      <c r="F174" s="119" t="str">
        <f>+STATISTICS!C94</f>
        <v>/Нэр/</v>
      </c>
      <c r="G174" s="119"/>
      <c r="H174" s="119"/>
    </row>
    <row r="175" spans="1:8">
      <c r="A175" s="140"/>
      <c r="B175" s="140"/>
      <c r="D175" s="236"/>
      <c r="E175" s="119"/>
      <c r="F175" s="119"/>
      <c r="G175" s="119"/>
      <c r="H175" s="119"/>
    </row>
    <row r="176" spans="1:8">
      <c r="A176" s="140"/>
      <c r="B176" s="140"/>
      <c r="D176" s="235" t="s">
        <v>236</v>
      </c>
      <c r="E176" s="119"/>
      <c r="F176" s="119" t="str">
        <f>+STATISTICS!C96</f>
        <v>/Нэр/</v>
      </c>
      <c r="G176" s="119"/>
      <c r="H176" s="119"/>
    </row>
    <row r="177" spans="1:8">
      <c r="A177" s="140"/>
      <c r="B177" s="140"/>
      <c r="C177" s="119"/>
      <c r="D177" s="119"/>
      <c r="E177" s="119"/>
      <c r="F177" s="119"/>
      <c r="G177" s="119"/>
      <c r="H177" s="119"/>
    </row>
    <row r="178" spans="1:8">
      <c r="A178" s="119"/>
      <c r="B178" s="119"/>
      <c r="C178" s="119"/>
      <c r="D178" s="119"/>
      <c r="E178" s="119"/>
      <c r="F178" s="119"/>
      <c r="G178" s="119"/>
      <c r="H178" s="119"/>
    </row>
    <row r="179" spans="1:8">
      <c r="A179" s="237"/>
      <c r="B179" s="237"/>
      <c r="C179" s="237"/>
      <c r="D179" s="237"/>
      <c r="E179" s="237"/>
      <c r="F179" s="140"/>
      <c r="G179" s="140"/>
      <c r="H179" s="119"/>
    </row>
    <row r="180" spans="1:8">
      <c r="A180" s="140"/>
      <c r="B180" s="140"/>
      <c r="C180" s="140"/>
      <c r="D180" s="189"/>
      <c r="E180" s="189"/>
      <c r="F180" s="140"/>
      <c r="G180" s="140"/>
      <c r="H180" s="119"/>
    </row>
    <row r="181" spans="1:8">
      <c r="A181" s="140"/>
      <c r="B181" s="238"/>
      <c r="C181" s="119"/>
      <c r="D181" s="119"/>
      <c r="E181" s="238"/>
      <c r="F181" s="140"/>
      <c r="G181" s="239"/>
      <c r="H181" s="119"/>
    </row>
    <row r="182" spans="1:8">
      <c r="A182" s="140"/>
      <c r="B182" s="140"/>
      <c r="C182" s="140"/>
      <c r="D182" s="238"/>
      <c r="E182" s="238"/>
      <c r="F182" s="140"/>
      <c r="G182" s="240"/>
      <c r="H182" s="119"/>
    </row>
    <row r="183" spans="1:8">
      <c r="A183" s="140"/>
      <c r="B183" s="238"/>
      <c r="C183" s="119"/>
      <c r="D183" s="119"/>
      <c r="E183" s="238"/>
      <c r="F183" s="140"/>
      <c r="G183" s="239"/>
      <c r="H183" s="119"/>
    </row>
    <row r="184" spans="1:8">
      <c r="A184" s="119"/>
      <c r="B184" s="119"/>
      <c r="C184" s="119"/>
      <c r="D184" s="119"/>
      <c r="E184" s="119"/>
      <c r="F184" s="119"/>
      <c r="G184" s="119"/>
      <c r="H184" s="119"/>
    </row>
  </sheetData>
  <sheetProtection algorithmName="SHA-512" hashValue="iplzobPTuAU1EY8dovM/4Mk8dU8cVvc3f8nAmB9RbdBGHgd3hiDDfoWKlJi8D7WEWXIlgSTMZSaS0w4K4NZkPA==" saltValue="RawkbzOr5jcwNL7gEkpiFQ==" spinCount="100000" sheet="1" objects="1" scenarios="1" formatCells="0" formatColumns="0" formatRows="0" insertColumns="0" insertRows="0" insertHyperlinks="0" deleteColumns="0" deleteRows="0" sort="0" autoFilter="0" pivotTables="0"/>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10:H68 H71:H91">
      <formula1>0</formula1>
      <formula2>1000000000000000</formula2>
    </dataValidation>
    <dataValidation type="decimal" allowBlank="1" showInputMessage="1" showErrorMessage="1" sqref="H69:H70">
      <formula1>-531321313200000000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Normal="100" workbookViewId="0">
      <selection activeCell="I1" sqref="I1"/>
    </sheetView>
  </sheetViews>
  <sheetFormatPr defaultColWidth="12.5703125" defaultRowHeight="15"/>
  <cols>
    <col min="1" max="1" width="4" style="312" customWidth="1"/>
    <col min="2" max="2" width="36.28515625" style="312" customWidth="1"/>
    <col min="3" max="3" width="25.42578125" style="312" customWidth="1"/>
    <col min="4" max="4" width="15" style="312" customWidth="1"/>
    <col min="5" max="5" width="4" style="312" customWidth="1"/>
    <col min="6" max="6" width="44.85546875" style="312" customWidth="1"/>
    <col min="7" max="7" width="24.85546875" style="312" customWidth="1"/>
    <col min="8" max="8" width="13.7109375" style="312" customWidth="1"/>
    <col min="9" max="9" width="8.5703125" style="242" customWidth="1"/>
    <col min="10" max="10" width="12.140625" style="242" customWidth="1"/>
    <col min="11" max="26" width="8.5703125" style="242" customWidth="1"/>
    <col min="27" max="16384" width="12.5703125" style="242"/>
  </cols>
  <sheetData>
    <row r="1" spans="1:10">
      <c r="A1" s="257"/>
      <c r="B1" s="257"/>
      <c r="C1" s="257"/>
      <c r="D1" s="257"/>
      <c r="E1" s="257"/>
      <c r="F1" s="1021" t="s">
        <v>749</v>
      </c>
      <c r="G1" s="1021"/>
      <c r="H1" s="1021"/>
    </row>
    <row r="2" spans="1:10">
      <c r="A2" s="257"/>
      <c r="B2" s="257"/>
      <c r="C2" s="257"/>
      <c r="D2" s="257"/>
      <c r="E2" s="257"/>
      <c r="F2" s="1021" t="s">
        <v>750</v>
      </c>
      <c r="G2" s="1021"/>
      <c r="H2" s="1021"/>
    </row>
    <row r="3" spans="1:10">
      <c r="A3" s="1010" t="s">
        <v>285</v>
      </c>
      <c r="B3" s="1043"/>
      <c r="C3" s="1043"/>
      <c r="D3" s="1043"/>
      <c r="E3" s="1043"/>
      <c r="F3" s="1043"/>
      <c r="G3" s="1043"/>
      <c r="H3" s="1043"/>
    </row>
    <row r="4" spans="1:10">
      <c r="A4" s="1032" t="str">
        <f>+STATISTICS!A4</f>
        <v>ХАДГАЛАМЖ, ЗЭЭЛИЙН ХОРШООНЫ НЭР</v>
      </c>
      <c r="B4" s="1043"/>
      <c r="C4" s="1043"/>
      <c r="D4" s="1043"/>
      <c r="E4" s="1043"/>
      <c r="F4" s="1043"/>
      <c r="G4" s="1043"/>
      <c r="H4" s="1043"/>
    </row>
    <row r="5" spans="1:10">
      <c r="A5" s="1010" t="s">
        <v>4</v>
      </c>
      <c r="B5" s="1043"/>
      <c r="C5" s="1043"/>
      <c r="D5" s="1043"/>
      <c r="E5" s="1043"/>
      <c r="F5" s="1043"/>
      <c r="G5" s="1043"/>
      <c r="H5" s="1043"/>
    </row>
    <row r="7" spans="1:10" ht="15.75" thickBot="1">
      <c r="A7" s="1033" t="str">
        <f>+STATISTICS!A7</f>
        <v>Огноо</v>
      </c>
      <c r="B7" s="1049"/>
      <c r="C7" s="258"/>
      <c r="D7" s="259"/>
      <c r="E7" s="258"/>
      <c r="F7" s="258"/>
      <c r="G7" s="258"/>
      <c r="H7" s="141" t="s">
        <v>5</v>
      </c>
      <c r="I7" s="1044"/>
      <c r="J7" s="1045"/>
    </row>
    <row r="8" spans="1:10">
      <c r="A8" s="1034" t="s">
        <v>286</v>
      </c>
      <c r="B8" s="1050"/>
      <c r="C8" s="1036" t="str">
        <f>+BALANCE!D8</f>
        <v>.... р сарын ...</v>
      </c>
      <c r="D8" s="1047" t="s">
        <v>287</v>
      </c>
      <c r="E8" s="1034" t="s">
        <v>288</v>
      </c>
      <c r="F8" s="1050"/>
      <c r="G8" s="1036" t="str">
        <f>+BALANCE!H8</f>
        <v>.... р сарын ...</v>
      </c>
      <c r="H8" s="1047" t="s">
        <v>287</v>
      </c>
      <c r="I8" s="1045"/>
      <c r="J8" s="1045"/>
    </row>
    <row r="9" spans="1:10" ht="15.75" thickBot="1">
      <c r="A9" s="1051"/>
      <c r="B9" s="1052"/>
      <c r="C9" s="1048"/>
      <c r="D9" s="1048"/>
      <c r="E9" s="1051"/>
      <c r="F9" s="1052"/>
      <c r="G9" s="1048"/>
      <c r="H9" s="1048"/>
    </row>
    <row r="10" spans="1:10" ht="15.75" thickBot="1">
      <c r="A10" s="216" t="s">
        <v>289</v>
      </c>
      <c r="B10" s="260"/>
      <c r="C10" s="261">
        <f>+C11+C15+C17+C26+C29+C36</f>
        <v>0</v>
      </c>
      <c r="D10" s="262" t="e">
        <f>+C10/$C$51</f>
        <v>#DIV/0!</v>
      </c>
      <c r="E10" s="234" t="s">
        <v>290</v>
      </c>
      <c r="F10" s="263"/>
      <c r="G10" s="143">
        <f>+G11+G14+G19+G29</f>
        <v>0</v>
      </c>
      <c r="H10" s="264" t="e">
        <f>+G10/$G$51</f>
        <v>#DIV/0!</v>
      </c>
    </row>
    <row r="11" spans="1:10" ht="15.75" thickBot="1">
      <c r="A11" s="265">
        <v>1.1000000000000001</v>
      </c>
      <c r="B11" s="234" t="s">
        <v>12</v>
      </c>
      <c r="C11" s="261">
        <f>+SUM(C12:C14)</f>
        <v>0</v>
      </c>
      <c r="D11" s="262" t="e">
        <f t="shared" ref="D11:D47" si="0">+C11/$C$51</f>
        <v>#DIV/0!</v>
      </c>
      <c r="E11" s="198">
        <v>1.1000000000000001</v>
      </c>
      <c r="F11" s="266" t="s">
        <v>13</v>
      </c>
      <c r="G11" s="145">
        <f>+SUM(G12:G13)</f>
        <v>0</v>
      </c>
      <c r="H11" s="264" t="e">
        <f t="shared" ref="H11:H51" si="1">+G11/$G$51</f>
        <v>#DIV/0!</v>
      </c>
    </row>
    <row r="12" spans="1:10" ht="15.75" thickBot="1">
      <c r="A12" s="265"/>
      <c r="B12" s="267" t="s">
        <v>14</v>
      </c>
      <c r="C12" s="244">
        <f>+BALANCE!D12</f>
        <v>0</v>
      </c>
      <c r="D12" s="262" t="e">
        <f t="shared" si="0"/>
        <v>#DIV/0!</v>
      </c>
      <c r="E12" s="265"/>
      <c r="F12" s="267" t="s">
        <v>291</v>
      </c>
      <c r="G12" s="124">
        <f>+BALANCE!H12</f>
        <v>0</v>
      </c>
      <c r="H12" s="264" t="e">
        <f t="shared" si="1"/>
        <v>#DIV/0!</v>
      </c>
    </row>
    <row r="13" spans="1:10" ht="15.75" thickBot="1">
      <c r="A13" s="265"/>
      <c r="B13" s="169" t="s">
        <v>18</v>
      </c>
      <c r="C13" s="244">
        <f>+BALANCE!D15</f>
        <v>0</v>
      </c>
      <c r="D13" s="262" t="e">
        <f t="shared" si="0"/>
        <v>#DIV/0!</v>
      </c>
      <c r="E13" s="265"/>
      <c r="F13" s="268" t="s">
        <v>292</v>
      </c>
      <c r="G13" s="125">
        <f>+BALANCE!H15</f>
        <v>0</v>
      </c>
      <c r="H13" s="264" t="e">
        <f t="shared" si="1"/>
        <v>#DIV/0!</v>
      </c>
    </row>
    <row r="14" spans="1:10" ht="15.75" thickBot="1">
      <c r="A14" s="265"/>
      <c r="B14" s="169" t="s">
        <v>23</v>
      </c>
      <c r="C14" s="244">
        <f>+BALANCE!D18</f>
        <v>0</v>
      </c>
      <c r="D14" s="262" t="e">
        <f t="shared" si="0"/>
        <v>#DIV/0!</v>
      </c>
      <c r="E14" s="265">
        <v>1.2</v>
      </c>
      <c r="F14" s="269" t="s">
        <v>293</v>
      </c>
      <c r="G14" s="148">
        <f>+SUM(G15:G18)</f>
        <v>0</v>
      </c>
      <c r="H14" s="264" t="e">
        <f t="shared" si="1"/>
        <v>#DIV/0!</v>
      </c>
    </row>
    <row r="15" spans="1:10" ht="26.25" thickBot="1">
      <c r="A15" s="265">
        <v>1.2</v>
      </c>
      <c r="B15" s="269" t="s">
        <v>51</v>
      </c>
      <c r="C15" s="261">
        <f>+C16</f>
        <v>0</v>
      </c>
      <c r="D15" s="262" t="e">
        <f t="shared" si="0"/>
        <v>#DIV/0!</v>
      </c>
      <c r="E15" s="265"/>
      <c r="F15" s="270" t="s">
        <v>294</v>
      </c>
      <c r="G15" s="245">
        <f>+BALANCE!H26</f>
        <v>0</v>
      </c>
      <c r="H15" s="264" t="e">
        <f t="shared" si="1"/>
        <v>#DIV/0!</v>
      </c>
    </row>
    <row r="16" spans="1:10" ht="15.75" thickBot="1">
      <c r="A16" s="265"/>
      <c r="B16" s="169" t="s">
        <v>53</v>
      </c>
      <c r="C16" s="244">
        <f>+BALANCE!D34</f>
        <v>0</v>
      </c>
      <c r="D16" s="262" t="e">
        <f t="shared" si="0"/>
        <v>#DIV/0!</v>
      </c>
      <c r="E16" s="265"/>
      <c r="F16" s="271" t="s">
        <v>42</v>
      </c>
      <c r="G16" s="245">
        <f>+BALANCE!H29</f>
        <v>0</v>
      </c>
      <c r="H16" s="264" t="e">
        <f t="shared" si="1"/>
        <v>#DIV/0!</v>
      </c>
    </row>
    <row r="17" spans="1:8" ht="15.75" thickBot="1">
      <c r="A17" s="265">
        <v>1.3</v>
      </c>
      <c r="B17" s="269" t="s">
        <v>295</v>
      </c>
      <c r="C17" s="261">
        <f>+C18-C25</f>
        <v>0</v>
      </c>
      <c r="D17" s="262" t="e">
        <f t="shared" si="0"/>
        <v>#DIV/0!</v>
      </c>
      <c r="E17" s="265"/>
      <c r="F17" s="271" t="s">
        <v>296</v>
      </c>
      <c r="G17" s="245">
        <f>+BALANCE!H19</f>
        <v>0</v>
      </c>
      <c r="H17" s="264" t="e">
        <f t="shared" si="1"/>
        <v>#DIV/0!</v>
      </c>
    </row>
    <row r="18" spans="1:8" ht="15.75" thickBot="1">
      <c r="A18" s="265"/>
      <c r="B18" s="272" t="s">
        <v>297</v>
      </c>
      <c r="C18" s="273">
        <f>+SUM(C19:C21)</f>
        <v>0</v>
      </c>
      <c r="D18" s="262" t="e">
        <f t="shared" si="0"/>
        <v>#DIV/0!</v>
      </c>
      <c r="E18" s="265"/>
      <c r="F18" s="274" t="s">
        <v>30</v>
      </c>
      <c r="G18" s="245">
        <f>+BALANCE!H22</f>
        <v>0</v>
      </c>
      <c r="H18" s="264" t="e">
        <f t="shared" si="1"/>
        <v>#DIV/0!</v>
      </c>
    </row>
    <row r="19" spans="1:8" ht="15.75" thickBot="1">
      <c r="A19" s="265"/>
      <c r="B19" s="169" t="s">
        <v>31</v>
      </c>
      <c r="C19" s="244">
        <f>+BALANCE!D22</f>
        <v>0</v>
      </c>
      <c r="D19" s="262" t="e">
        <f t="shared" si="0"/>
        <v>#DIV/0!</v>
      </c>
      <c r="E19" s="265">
        <v>1.3</v>
      </c>
      <c r="F19" s="269" t="s">
        <v>298</v>
      </c>
      <c r="G19" s="148">
        <f>+SUM(G20:G28)</f>
        <v>0</v>
      </c>
      <c r="H19" s="264" t="e">
        <f t="shared" si="1"/>
        <v>#DIV/0!</v>
      </c>
    </row>
    <row r="20" spans="1:8" ht="15.75" thickBot="1">
      <c r="A20" s="265"/>
      <c r="B20" s="169" t="s">
        <v>35</v>
      </c>
      <c r="C20" s="244">
        <f>+BALANCE!D24</f>
        <v>0</v>
      </c>
      <c r="D20" s="262" t="e">
        <f t="shared" si="0"/>
        <v>#DIV/0!</v>
      </c>
      <c r="E20" s="265"/>
      <c r="F20" s="275" t="s">
        <v>50</v>
      </c>
      <c r="G20" s="246">
        <f>+BALANCE!H33</f>
        <v>0</v>
      </c>
      <c r="H20" s="264" t="e">
        <f t="shared" si="1"/>
        <v>#DIV/0!</v>
      </c>
    </row>
    <row r="21" spans="1:8" ht="15.75" thickBot="1">
      <c r="A21" s="265"/>
      <c r="B21" s="276" t="s">
        <v>299</v>
      </c>
      <c r="C21" s="277">
        <f>+SUM(C22:C24)</f>
        <v>0</v>
      </c>
      <c r="D21" s="262" t="e">
        <f t="shared" si="0"/>
        <v>#DIV/0!</v>
      </c>
      <c r="E21" s="265"/>
      <c r="F21" s="278" t="s">
        <v>300</v>
      </c>
      <c r="G21" s="247">
        <f>+BALANCE!H34+BALANCE!H35+BALANCE!H37</f>
        <v>0</v>
      </c>
      <c r="H21" s="264" t="e">
        <f t="shared" si="1"/>
        <v>#DIV/0!</v>
      </c>
    </row>
    <row r="22" spans="1:8" ht="15.75" thickBot="1">
      <c r="A22" s="265"/>
      <c r="B22" s="169" t="s">
        <v>301</v>
      </c>
      <c r="C22" s="244">
        <f>+BALANCE!D26</f>
        <v>0</v>
      </c>
      <c r="D22" s="262" t="e">
        <f t="shared" si="0"/>
        <v>#DIV/0!</v>
      </c>
      <c r="E22" s="265"/>
      <c r="F22" s="278" t="s">
        <v>59</v>
      </c>
      <c r="G22" s="247">
        <f>+BALANCE!H38+BALANCE!H39</f>
        <v>0</v>
      </c>
      <c r="H22" s="264" t="e">
        <f t="shared" si="1"/>
        <v>#DIV/0!</v>
      </c>
    </row>
    <row r="23" spans="1:8" ht="15.75" thickBot="1">
      <c r="A23" s="265"/>
      <c r="B23" s="169" t="s">
        <v>302</v>
      </c>
      <c r="C23" s="244">
        <f>+BALANCE!D28</f>
        <v>0</v>
      </c>
      <c r="D23" s="262" t="e">
        <f t="shared" si="0"/>
        <v>#DIV/0!</v>
      </c>
      <c r="E23" s="265"/>
      <c r="F23" s="278" t="s">
        <v>303</v>
      </c>
      <c r="G23" s="247">
        <f>+BALANCE!H40</f>
        <v>0</v>
      </c>
      <c r="H23" s="264" t="e">
        <f t="shared" si="1"/>
        <v>#DIV/0!</v>
      </c>
    </row>
    <row r="24" spans="1:8" ht="15.75" thickBot="1">
      <c r="A24" s="265"/>
      <c r="B24" s="169" t="s">
        <v>304</v>
      </c>
      <c r="C24" s="244">
        <f>+BALANCE!D30</f>
        <v>0</v>
      </c>
      <c r="D24" s="262" t="e">
        <f t="shared" si="0"/>
        <v>#DIV/0!</v>
      </c>
      <c r="E24" s="265"/>
      <c r="F24" s="278" t="s">
        <v>55</v>
      </c>
      <c r="G24" s="247">
        <f>+BALANCE!H36</f>
        <v>0</v>
      </c>
      <c r="H24" s="264" t="e">
        <f t="shared" si="1"/>
        <v>#DIV/0!</v>
      </c>
    </row>
    <row r="25" spans="1:8" ht="15.75" thickBot="1">
      <c r="A25" s="265"/>
      <c r="B25" s="169" t="s">
        <v>305</v>
      </c>
      <c r="C25" s="244">
        <f>+BALANCE!D32</f>
        <v>0</v>
      </c>
      <c r="D25" s="262" t="e">
        <f t="shared" si="0"/>
        <v>#DIV/0!</v>
      </c>
      <c r="E25" s="265"/>
      <c r="F25" s="278" t="s">
        <v>306</v>
      </c>
      <c r="G25" s="247">
        <f>+BALANCE!H49</f>
        <v>0</v>
      </c>
      <c r="H25" s="264" t="e">
        <f t="shared" si="1"/>
        <v>#DIV/0!</v>
      </c>
    </row>
    <row r="26" spans="1:8" ht="15.75" thickBot="1">
      <c r="A26" s="265">
        <v>1.4</v>
      </c>
      <c r="B26" s="269" t="s">
        <v>307</v>
      </c>
      <c r="C26" s="279">
        <f>+SUM(C27:C28)</f>
        <v>0</v>
      </c>
      <c r="D26" s="262" t="e">
        <f t="shared" si="0"/>
        <v>#DIV/0!</v>
      </c>
      <c r="E26" s="265"/>
      <c r="F26" s="280" t="s">
        <v>308</v>
      </c>
      <c r="G26" s="247">
        <f>+BALANCE!H45</f>
        <v>0</v>
      </c>
      <c r="H26" s="264" t="e">
        <f t="shared" si="1"/>
        <v>#DIV/0!</v>
      </c>
    </row>
    <row r="27" spans="1:8" ht="15.75" thickBot="1">
      <c r="A27" s="265"/>
      <c r="B27" s="169" t="s">
        <v>309</v>
      </c>
      <c r="C27" s="248">
        <f>+BALANCE!D45</f>
        <v>0</v>
      </c>
      <c r="D27" s="262" t="e">
        <f t="shared" si="0"/>
        <v>#DIV/0!</v>
      </c>
      <c r="E27" s="265"/>
      <c r="F27" s="278" t="s">
        <v>70</v>
      </c>
      <c r="G27" s="247">
        <f>+BALANCE!H43</f>
        <v>0</v>
      </c>
      <c r="H27" s="264" t="e">
        <f t="shared" si="1"/>
        <v>#DIV/0!</v>
      </c>
    </row>
    <row r="28" spans="1:8" ht="15.75" thickBot="1">
      <c r="A28" s="265"/>
      <c r="B28" s="169" t="s">
        <v>310</v>
      </c>
      <c r="C28" s="249">
        <f>+BALANCE!D56</f>
        <v>0</v>
      </c>
      <c r="D28" s="262" t="e">
        <f t="shared" si="0"/>
        <v>#DIV/0!</v>
      </c>
      <c r="E28" s="265"/>
      <c r="F28" s="281" t="s">
        <v>311</v>
      </c>
      <c r="G28" s="250">
        <f>+BALANCE!H41</f>
        <v>0</v>
      </c>
      <c r="H28" s="264" t="e">
        <f t="shared" si="1"/>
        <v>#DIV/0!</v>
      </c>
    </row>
    <row r="29" spans="1:8" ht="15.75" thickBot="1">
      <c r="A29" s="265">
        <v>1.5</v>
      </c>
      <c r="B29" s="269" t="s">
        <v>67</v>
      </c>
      <c r="C29" s="261">
        <f>+SUM(C30:C35)</f>
        <v>0</v>
      </c>
      <c r="D29" s="262" t="e">
        <f t="shared" si="0"/>
        <v>#DIV/0!</v>
      </c>
      <c r="E29" s="189">
        <v>1.4</v>
      </c>
      <c r="F29" s="269" t="s">
        <v>312</v>
      </c>
      <c r="G29" s="148">
        <f>+SUM(G30:G34)</f>
        <v>0</v>
      </c>
      <c r="H29" s="264" t="e">
        <f t="shared" si="1"/>
        <v>#DIV/0!</v>
      </c>
    </row>
    <row r="30" spans="1:8" ht="15.75" thickBot="1">
      <c r="A30" s="265"/>
      <c r="B30" s="282" t="s">
        <v>313</v>
      </c>
      <c r="C30" s="248">
        <f>+BALANCE!D46</f>
        <v>0</v>
      </c>
      <c r="D30" s="262" t="e">
        <f t="shared" si="0"/>
        <v>#DIV/0!</v>
      </c>
      <c r="E30" s="189"/>
      <c r="F30" s="270" t="s">
        <v>294</v>
      </c>
      <c r="G30" s="251">
        <f>+BALANCE!H27</f>
        <v>0</v>
      </c>
      <c r="H30" s="264" t="e">
        <f t="shared" si="1"/>
        <v>#DIV/0!</v>
      </c>
    </row>
    <row r="31" spans="1:8" ht="15.75" thickBot="1">
      <c r="A31" s="265"/>
      <c r="B31" s="274" t="s">
        <v>314</v>
      </c>
      <c r="C31" s="244">
        <f>+BALANCE!D47+BALANCE!D51+BALANCE!D52+BALANCE!D53</f>
        <v>0</v>
      </c>
      <c r="D31" s="262" t="e">
        <f t="shared" si="0"/>
        <v>#DIV/0!</v>
      </c>
      <c r="E31" s="189"/>
      <c r="F31" s="271" t="s">
        <v>42</v>
      </c>
      <c r="G31" s="245">
        <f>+BALANCE!H30</f>
        <v>0</v>
      </c>
      <c r="H31" s="264" t="e">
        <f t="shared" si="1"/>
        <v>#DIV/0!</v>
      </c>
    </row>
    <row r="32" spans="1:8" ht="15.75" thickBot="1">
      <c r="A32" s="265"/>
      <c r="B32" s="283" t="s">
        <v>77</v>
      </c>
      <c r="C32" s="244">
        <f>+BALANCE!D48</f>
        <v>0</v>
      </c>
      <c r="D32" s="262" t="e">
        <f t="shared" si="0"/>
        <v>#DIV/0!</v>
      </c>
      <c r="E32" s="189"/>
      <c r="F32" s="271" t="s">
        <v>296</v>
      </c>
      <c r="G32" s="245">
        <f>+BALANCE!H20</f>
        <v>0</v>
      </c>
      <c r="H32" s="264" t="e">
        <f t="shared" si="1"/>
        <v>#DIV/0!</v>
      </c>
    </row>
    <row r="33" spans="1:9" ht="15.75" thickBot="1">
      <c r="A33" s="265"/>
      <c r="B33" s="283" t="s">
        <v>79</v>
      </c>
      <c r="C33" s="244">
        <f>+BALANCE!D49</f>
        <v>0</v>
      </c>
      <c r="D33" s="262" t="e">
        <f t="shared" si="0"/>
        <v>#DIV/0!</v>
      </c>
      <c r="E33" s="189"/>
      <c r="F33" s="274" t="s">
        <v>30</v>
      </c>
      <c r="G33" s="245">
        <f>+BALANCE!H23</f>
        <v>0</v>
      </c>
      <c r="H33" s="264" t="e">
        <f t="shared" si="1"/>
        <v>#DIV/0!</v>
      </c>
      <c r="I33" s="241"/>
    </row>
    <row r="34" spans="1:9" ht="15.75" thickBot="1">
      <c r="A34" s="265"/>
      <c r="B34" s="271" t="s">
        <v>315</v>
      </c>
      <c r="C34" s="244">
        <f>+BALANCE!D50</f>
        <v>0</v>
      </c>
      <c r="D34" s="262" t="e">
        <f t="shared" si="0"/>
        <v>#DIV/0!</v>
      </c>
      <c r="E34" s="189"/>
      <c r="F34" s="274" t="s">
        <v>66</v>
      </c>
      <c r="G34" s="245">
        <f>+BALANCE!H42</f>
        <v>0</v>
      </c>
      <c r="H34" s="264" t="e">
        <f t="shared" si="1"/>
        <v>#DIV/0!</v>
      </c>
      <c r="I34" s="241"/>
    </row>
    <row r="35" spans="1:9" ht="15.75" thickBot="1">
      <c r="A35" s="265"/>
      <c r="B35" s="284" t="s">
        <v>316</v>
      </c>
      <c r="C35" s="244">
        <f>+BALANCE!D54</f>
        <v>0</v>
      </c>
      <c r="D35" s="262" t="e">
        <f t="shared" si="0"/>
        <v>#DIV/0!</v>
      </c>
      <c r="E35" s="1040" t="s">
        <v>317</v>
      </c>
      <c r="F35" s="1046"/>
      <c r="G35" s="143">
        <f>+G36+G39+G41</f>
        <v>0</v>
      </c>
      <c r="H35" s="264" t="e">
        <f t="shared" si="1"/>
        <v>#DIV/0!</v>
      </c>
      <c r="I35" s="241"/>
    </row>
    <row r="36" spans="1:9" ht="26.25" thickBot="1">
      <c r="A36" s="265">
        <v>1.6</v>
      </c>
      <c r="B36" s="269" t="s">
        <v>318</v>
      </c>
      <c r="C36" s="285">
        <f>+C37-C38</f>
        <v>0</v>
      </c>
      <c r="D36" s="262" t="e">
        <f t="shared" si="0"/>
        <v>#DIV/0!</v>
      </c>
      <c r="E36" s="189">
        <v>2.1</v>
      </c>
      <c r="F36" s="286" t="s">
        <v>319</v>
      </c>
      <c r="G36" s="287">
        <f>+SUM(G37:G38)</f>
        <v>0</v>
      </c>
      <c r="H36" s="264" t="e">
        <f t="shared" si="1"/>
        <v>#DIV/0!</v>
      </c>
      <c r="I36" s="252"/>
    </row>
    <row r="37" spans="1:9" ht="15.75" thickBot="1">
      <c r="A37" s="265"/>
      <c r="B37" s="169" t="s">
        <v>58</v>
      </c>
      <c r="C37" s="248">
        <f>+BALANCE!D38</f>
        <v>0</v>
      </c>
      <c r="D37" s="262" t="e">
        <f t="shared" si="0"/>
        <v>#DIV/0!</v>
      </c>
      <c r="E37" s="189"/>
      <c r="F37" s="288" t="s">
        <v>89</v>
      </c>
      <c r="G37" s="124">
        <f>+BALANCE!H54</f>
        <v>0</v>
      </c>
      <c r="H37" s="264" t="e">
        <f t="shared" si="1"/>
        <v>#DIV/0!</v>
      </c>
      <c r="I37" s="241"/>
    </row>
    <row r="38" spans="1:9" ht="26.25" thickBot="1">
      <c r="A38" s="265"/>
      <c r="B38" s="169" t="s">
        <v>320</v>
      </c>
      <c r="C38" s="244">
        <f>+BALANCE!D41</f>
        <v>0</v>
      </c>
      <c r="D38" s="262" t="e">
        <f t="shared" si="0"/>
        <v>#DIV/0!</v>
      </c>
      <c r="E38" s="189"/>
      <c r="F38" s="289" t="s">
        <v>91</v>
      </c>
      <c r="G38" s="250">
        <f>+BALANCE!H55</f>
        <v>0</v>
      </c>
      <c r="H38" s="264" t="e">
        <f t="shared" si="1"/>
        <v>#DIV/0!</v>
      </c>
      <c r="I38" s="241"/>
    </row>
    <row r="39" spans="1:9" ht="15.75" thickBot="1">
      <c r="A39" s="1040" t="s">
        <v>321</v>
      </c>
      <c r="B39" s="1046"/>
      <c r="C39" s="261">
        <f>+C40+C43+C46</f>
        <v>0</v>
      </c>
      <c r="D39" s="262" t="e">
        <f t="shared" si="0"/>
        <v>#DIV/0!</v>
      </c>
      <c r="E39" s="189">
        <v>2.2000000000000002</v>
      </c>
      <c r="F39" s="269" t="s">
        <v>322</v>
      </c>
      <c r="G39" s="148">
        <f>+G40</f>
        <v>0</v>
      </c>
      <c r="H39" s="264" t="e">
        <f t="shared" si="1"/>
        <v>#DIV/0!</v>
      </c>
      <c r="I39" s="241"/>
    </row>
    <row r="40" spans="1:9" ht="15.75" thickBot="1">
      <c r="A40" s="265">
        <v>2.1</v>
      </c>
      <c r="B40" s="290" t="s">
        <v>104</v>
      </c>
      <c r="C40" s="291">
        <f>+C41-C42</f>
        <v>0</v>
      </c>
      <c r="D40" s="262" t="e">
        <f t="shared" si="0"/>
        <v>#DIV/0!</v>
      </c>
      <c r="E40" s="189"/>
      <c r="F40" s="292" t="s">
        <v>323</v>
      </c>
      <c r="G40" s="253">
        <f>+BALANCE!H57</f>
        <v>0</v>
      </c>
      <c r="H40" s="264" t="e">
        <f t="shared" si="1"/>
        <v>#DIV/0!</v>
      </c>
      <c r="I40" s="241"/>
    </row>
    <row r="41" spans="1:9" ht="15.75" thickBot="1">
      <c r="A41" s="265"/>
      <c r="B41" s="267" t="s">
        <v>106</v>
      </c>
      <c r="C41" s="254">
        <f>+BALANCE!D63</f>
        <v>0</v>
      </c>
      <c r="D41" s="262" t="e">
        <f t="shared" si="0"/>
        <v>#DIV/0!</v>
      </c>
      <c r="E41" s="189">
        <v>2.2999999999999998</v>
      </c>
      <c r="F41" s="269" t="s">
        <v>324</v>
      </c>
      <c r="G41" s="148">
        <f>+SUM(G42:G48)</f>
        <v>0</v>
      </c>
      <c r="H41" s="264" t="e">
        <f t="shared" si="1"/>
        <v>#DIV/0!</v>
      </c>
      <c r="I41" s="241"/>
    </row>
    <row r="42" spans="1:9" ht="15.75" thickBot="1">
      <c r="A42" s="265"/>
      <c r="B42" s="169" t="s">
        <v>325</v>
      </c>
      <c r="C42" s="249">
        <f>+BALANCE!D71</f>
        <v>0</v>
      </c>
      <c r="D42" s="262" t="e">
        <f t="shared" si="0"/>
        <v>#DIV/0!</v>
      </c>
      <c r="E42" s="189"/>
      <c r="F42" s="270" t="s">
        <v>326</v>
      </c>
      <c r="G42" s="246">
        <f>+BALANCE!H62</f>
        <v>0</v>
      </c>
      <c r="H42" s="264" t="e">
        <f t="shared" si="1"/>
        <v>#DIV/0!</v>
      </c>
      <c r="I42" s="241"/>
    </row>
    <row r="43" spans="1:9" ht="15.75" thickBot="1">
      <c r="A43" s="265">
        <v>2.2000000000000002</v>
      </c>
      <c r="B43" s="269" t="s">
        <v>327</v>
      </c>
      <c r="C43" s="293">
        <f>C44-C45</f>
        <v>0</v>
      </c>
      <c r="D43" s="262" t="e">
        <f t="shared" si="0"/>
        <v>#DIV/0!</v>
      </c>
      <c r="E43" s="189"/>
      <c r="F43" s="271" t="s">
        <v>328</v>
      </c>
      <c r="G43" s="247">
        <f>+BALANCE!H58</f>
        <v>0</v>
      </c>
      <c r="H43" s="264" t="e">
        <f t="shared" si="1"/>
        <v>#DIV/0!</v>
      </c>
      <c r="I43" s="241"/>
    </row>
    <row r="44" spans="1:9" ht="15.75" thickBot="1">
      <c r="A44" s="265"/>
      <c r="B44" s="294" t="s">
        <v>133</v>
      </c>
      <c r="C44" s="248">
        <f>+BALANCE!D78</f>
        <v>0</v>
      </c>
      <c r="D44" s="262" t="e">
        <f t="shared" si="0"/>
        <v>#DIV/0!</v>
      </c>
      <c r="E44" s="189"/>
      <c r="F44" s="271" t="s">
        <v>329</v>
      </c>
      <c r="G44" s="247">
        <f>+BALANCE!H63</f>
        <v>0</v>
      </c>
      <c r="H44" s="264" t="e">
        <f t="shared" si="1"/>
        <v>#DIV/0!</v>
      </c>
      <c r="I44" s="241"/>
    </row>
    <row r="45" spans="1:9" ht="15.75" thickBot="1">
      <c r="A45" s="265"/>
      <c r="B45" s="294" t="s">
        <v>330</v>
      </c>
      <c r="C45" s="255">
        <f>+BALANCE!D84</f>
        <v>0</v>
      </c>
      <c r="D45" s="262" t="e">
        <f t="shared" si="0"/>
        <v>#DIV/0!</v>
      </c>
      <c r="E45" s="189"/>
      <c r="F45" s="271" t="s">
        <v>109</v>
      </c>
      <c r="G45" s="247">
        <f>+BALANCE!H64</f>
        <v>0</v>
      </c>
      <c r="H45" s="264" t="e">
        <f t="shared" si="1"/>
        <v>#DIV/0!</v>
      </c>
      <c r="I45" s="241"/>
    </row>
    <row r="46" spans="1:9" ht="26.25" thickBot="1">
      <c r="A46" s="265"/>
      <c r="B46" s="295" t="s">
        <v>148</v>
      </c>
      <c r="C46" s="296">
        <f>+C47</f>
        <v>0</v>
      </c>
      <c r="D46" s="262" t="e">
        <f t="shared" si="0"/>
        <v>#DIV/0!</v>
      </c>
      <c r="E46" s="189"/>
      <c r="F46" s="84" t="s">
        <v>331</v>
      </c>
      <c r="G46" s="123">
        <f>+BALANCE!H66</f>
        <v>0</v>
      </c>
      <c r="H46" s="264" t="e">
        <f t="shared" si="1"/>
        <v>#DIV/0!</v>
      </c>
      <c r="I46" s="241"/>
    </row>
    <row r="47" spans="1:9" ht="26.25" thickBot="1">
      <c r="A47" s="265">
        <v>2.2999999999999998</v>
      </c>
      <c r="B47" s="267" t="s">
        <v>332</v>
      </c>
      <c r="C47" s="248">
        <f>+BALANCE!D86</f>
        <v>0</v>
      </c>
      <c r="D47" s="262" t="e">
        <f t="shared" si="0"/>
        <v>#DIV/0!</v>
      </c>
      <c r="E47" s="189"/>
      <c r="F47" s="169" t="s">
        <v>333</v>
      </c>
      <c r="G47" s="123">
        <f>+BALANCE!H67</f>
        <v>0</v>
      </c>
      <c r="H47" s="264" t="e">
        <f t="shared" si="1"/>
        <v>#DIV/0!</v>
      </c>
      <c r="I47" s="241"/>
    </row>
    <row r="48" spans="1:9" ht="15.75" thickBot="1">
      <c r="A48" s="265"/>
      <c r="B48" s="288"/>
      <c r="C48" s="297"/>
      <c r="D48" s="298"/>
      <c r="E48" s="189"/>
      <c r="F48" s="276" t="s">
        <v>334</v>
      </c>
      <c r="G48" s="299">
        <f>+SUM(G49:G50)</f>
        <v>0</v>
      </c>
      <c r="H48" s="264" t="e">
        <f t="shared" si="1"/>
        <v>#DIV/0!</v>
      </c>
      <c r="I48" s="241"/>
    </row>
    <row r="49" spans="1:8" ht="15.75" thickBot="1">
      <c r="A49" s="265"/>
      <c r="B49" s="294"/>
      <c r="C49" s="300"/>
      <c r="D49" s="301"/>
      <c r="E49" s="189"/>
      <c r="F49" s="271" t="s">
        <v>335</v>
      </c>
      <c r="G49" s="247">
        <f>+BALANCE!H152</f>
        <v>0</v>
      </c>
      <c r="H49" s="264" t="e">
        <f t="shared" si="1"/>
        <v>#DIV/0!</v>
      </c>
    </row>
    <row r="50" spans="1:8" ht="15.75" thickBot="1">
      <c r="A50" s="87"/>
      <c r="B50" s="302"/>
      <c r="C50" s="303"/>
      <c r="D50" s="304"/>
      <c r="E50" s="189"/>
      <c r="F50" s="271" t="s">
        <v>336</v>
      </c>
      <c r="G50" s="247">
        <f>+BALANCE!H70</f>
        <v>0</v>
      </c>
      <c r="H50" s="264" t="e">
        <f t="shared" si="1"/>
        <v>#DIV/0!</v>
      </c>
    </row>
    <row r="51" spans="1:8" ht="15.75" thickBot="1">
      <c r="A51" s="1029" t="s">
        <v>337</v>
      </c>
      <c r="B51" s="1046"/>
      <c r="C51" s="296">
        <f>+C10+C39</f>
        <v>0</v>
      </c>
      <c r="D51" s="304">
        <v>1</v>
      </c>
      <c r="E51" s="305"/>
      <c r="F51" s="203" t="s">
        <v>338</v>
      </c>
      <c r="G51" s="143">
        <f>+G10+G35</f>
        <v>0</v>
      </c>
      <c r="H51" s="264" t="e">
        <f t="shared" si="1"/>
        <v>#DIV/0!</v>
      </c>
    </row>
    <row r="52" spans="1:8">
      <c r="A52" s="87"/>
      <c r="B52" s="306"/>
      <c r="C52" s="167"/>
      <c r="D52" s="307"/>
      <c r="E52" s="238"/>
      <c r="F52" s="308"/>
      <c r="G52" s="309">
        <f>+C51-G51</f>
        <v>0</v>
      </c>
      <c r="H52" s="310"/>
    </row>
    <row r="53" spans="1:8">
      <c r="A53" s="238"/>
      <c r="B53" s="220"/>
      <c r="C53" s="220"/>
      <c r="D53" s="220"/>
      <c r="E53" s="220"/>
      <c r="F53" s="220"/>
      <c r="G53" s="220"/>
      <c r="H53" s="257"/>
    </row>
    <row r="54" spans="1:8">
      <c r="A54" s="984" t="s">
        <v>232</v>
      </c>
      <c r="B54" s="984"/>
      <c r="C54" s="984"/>
      <c r="D54" s="984"/>
      <c r="E54" s="984"/>
      <c r="F54" s="984"/>
      <c r="G54" s="984"/>
      <c r="H54" s="984"/>
    </row>
    <row r="55" spans="1:8">
      <c r="A55" s="1042" t="s">
        <v>233</v>
      </c>
      <c r="B55" s="1042"/>
      <c r="C55" s="1042"/>
      <c r="D55" s="1042"/>
      <c r="E55" s="1042"/>
      <c r="F55" s="1042"/>
      <c r="G55" s="1042"/>
      <c r="H55" s="1042"/>
    </row>
    <row r="56" spans="1:8">
      <c r="A56" s="257"/>
      <c r="B56" s="220"/>
      <c r="C56" s="220"/>
      <c r="D56" s="220"/>
      <c r="E56" s="220"/>
      <c r="F56" s="220"/>
      <c r="G56" s="220"/>
      <c r="H56" s="257"/>
    </row>
    <row r="57" spans="1:8">
      <c r="A57" s="257"/>
      <c r="B57" s="220"/>
      <c r="C57" s="220"/>
      <c r="D57" s="235" t="s">
        <v>234</v>
      </c>
      <c r="E57" s="220"/>
      <c r="F57" s="311" t="str">
        <f>+STATISTICS!C94</f>
        <v>/Нэр/</v>
      </c>
      <c r="G57" s="220"/>
      <c r="H57" s="257"/>
    </row>
    <row r="58" spans="1:8">
      <c r="A58" s="257"/>
      <c r="B58" s="220"/>
      <c r="C58" s="220"/>
      <c r="D58" s="236"/>
      <c r="E58" s="220"/>
      <c r="F58" s="311"/>
      <c r="G58" s="220"/>
      <c r="H58" s="257"/>
    </row>
    <row r="59" spans="1:8">
      <c r="A59" s="257"/>
      <c r="B59" s="220"/>
      <c r="C59" s="220"/>
      <c r="D59" s="235" t="s">
        <v>236</v>
      </c>
      <c r="E59" s="220"/>
      <c r="F59" s="311" t="str">
        <f>+STATISTICS!C96</f>
        <v>/Нэр/</v>
      </c>
      <c r="G59" s="220"/>
      <c r="H59" s="257"/>
    </row>
    <row r="60" spans="1:8">
      <c r="A60" s="257"/>
      <c r="B60" s="220"/>
      <c r="C60" s="220"/>
      <c r="D60" s="220"/>
      <c r="E60" s="220"/>
      <c r="F60" s="220"/>
      <c r="G60" s="220"/>
      <c r="H60" s="257"/>
    </row>
    <row r="61" spans="1:8">
      <c r="A61" s="257"/>
      <c r="B61" s="220"/>
      <c r="C61" s="220"/>
      <c r="D61" s="220"/>
      <c r="E61" s="220"/>
      <c r="F61" s="220"/>
      <c r="G61" s="220"/>
      <c r="H61" s="257"/>
    </row>
    <row r="62" spans="1:8">
      <c r="A62" s="257"/>
      <c r="B62" s="220"/>
      <c r="C62" s="220"/>
      <c r="D62" s="220"/>
      <c r="E62" s="220"/>
      <c r="F62" s="220"/>
      <c r="G62" s="220"/>
      <c r="H62" s="257"/>
    </row>
    <row r="63" spans="1:8">
      <c r="A63" s="257"/>
      <c r="B63" s="257"/>
      <c r="C63" s="257"/>
      <c r="D63" s="257"/>
      <c r="E63" s="257"/>
      <c r="F63" s="257"/>
      <c r="G63" s="257"/>
      <c r="H63" s="257"/>
    </row>
    <row r="64" spans="1:8">
      <c r="A64" s="257"/>
      <c r="B64" s="257"/>
      <c r="C64" s="257"/>
      <c r="D64" s="257"/>
      <c r="E64" s="257"/>
      <c r="F64" s="257"/>
      <c r="G64" s="257"/>
      <c r="H64" s="257"/>
    </row>
    <row r="65" spans="5:6">
      <c r="E65" s="257"/>
      <c r="F65" s="257"/>
    </row>
    <row r="70" spans="5:6">
      <c r="E70" s="257"/>
      <c r="F70" s="257"/>
    </row>
    <row r="72" spans="5:6">
      <c r="E72" s="238"/>
      <c r="F72" s="238"/>
    </row>
    <row r="73" spans="5:6">
      <c r="E73" s="238"/>
      <c r="F73" s="238"/>
    </row>
    <row r="74" spans="5:6">
      <c r="E74" s="238"/>
      <c r="F74" s="238"/>
    </row>
    <row r="75" spans="5:6">
      <c r="E75" s="238"/>
      <c r="F75" s="313"/>
    </row>
    <row r="76" spans="5:6">
      <c r="E76" s="238"/>
      <c r="F76" s="238"/>
    </row>
    <row r="77" spans="5:6">
      <c r="E77" s="238"/>
      <c r="F77" s="313"/>
    </row>
    <row r="78" spans="5:6">
      <c r="E78" s="257"/>
      <c r="F78" s="257"/>
    </row>
    <row r="79" spans="5:6">
      <c r="E79" s="257"/>
      <c r="F79" s="257"/>
    </row>
    <row r="80" spans="5:6">
      <c r="E80" s="257"/>
      <c r="F80" s="257"/>
    </row>
  </sheetData>
  <sheetProtection algorithmName="SHA-512" hashValue="6V25CD1fsVhEdqqluzGsMnvT2NGJiF6mxjwNp7va5zr513WyR2Pz6TGjDa85ELKXM+uFIeGjPs+P7IoBeJBx2A==" saltValue="lKdkpptfsKwRBvgCcHxFkw==" spinCount="100000" sheet="1" objects="1" scenarios="1" formatCells="0" formatColumns="0" formatRows="0" insertColumns="0" insertRows="0" insertHyperlinks="0" deleteColumns="0" deleteRows="0" sort="0" autoFilter="0" pivotTables="0"/>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2" customWidth="1"/>
    <col min="2" max="2" width="1.42578125" style="312" customWidth="1"/>
    <col min="3" max="3" width="3.42578125" style="312" customWidth="1"/>
    <col min="4" max="4" width="56.28515625" style="312" customWidth="1"/>
    <col min="5" max="5" width="22.85546875" style="312" customWidth="1"/>
    <col min="6" max="6" width="11.7109375" style="312" customWidth="1"/>
    <col min="7" max="13" width="9.140625" style="242" customWidth="1"/>
    <col min="14" max="14" width="9.28515625" style="242" customWidth="1"/>
    <col min="15" max="15" width="9.140625" style="242" customWidth="1"/>
    <col min="16" max="26" width="4.28515625" style="242" customWidth="1"/>
    <col min="27" max="16384" width="12.5703125" style="242"/>
  </cols>
  <sheetData>
    <row r="1" spans="1:26" ht="15" customHeight="1">
      <c r="A1" s="258"/>
      <c r="B1" s="258"/>
      <c r="C1" s="258"/>
      <c r="D1" s="1021" t="s">
        <v>749</v>
      </c>
      <c r="E1" s="1021"/>
      <c r="F1" s="1021"/>
      <c r="G1" s="243"/>
      <c r="H1" s="243"/>
      <c r="I1" s="243"/>
      <c r="J1" s="243"/>
      <c r="K1" s="243"/>
      <c r="L1" s="243"/>
      <c r="M1" s="243"/>
      <c r="N1" s="243"/>
      <c r="O1" s="243"/>
      <c r="P1" s="243"/>
      <c r="Q1" s="243"/>
      <c r="R1" s="243"/>
      <c r="S1" s="243"/>
      <c r="T1" s="243"/>
      <c r="U1" s="243"/>
      <c r="V1" s="243"/>
      <c r="W1" s="243"/>
      <c r="X1" s="243"/>
      <c r="Y1" s="243"/>
      <c r="Z1" s="243"/>
    </row>
    <row r="2" spans="1:26" ht="12.75" customHeight="1">
      <c r="A2" s="258"/>
      <c r="B2" s="258"/>
      <c r="C2" s="258"/>
      <c r="D2" s="1021" t="s">
        <v>751</v>
      </c>
      <c r="E2" s="1021"/>
      <c r="F2" s="1021"/>
      <c r="G2" s="243"/>
      <c r="H2" s="243"/>
      <c r="I2" s="243"/>
      <c r="J2" s="243"/>
      <c r="K2" s="243"/>
      <c r="L2" s="243"/>
      <c r="M2" s="243"/>
      <c r="N2" s="243"/>
      <c r="O2" s="243"/>
      <c r="P2" s="243"/>
      <c r="Q2" s="243"/>
      <c r="R2" s="243"/>
      <c r="S2" s="243"/>
      <c r="T2" s="243"/>
      <c r="U2" s="243"/>
      <c r="V2" s="243"/>
      <c r="W2" s="243"/>
      <c r="X2" s="243"/>
      <c r="Y2" s="243"/>
      <c r="Z2" s="243"/>
    </row>
    <row r="3" spans="1:26" ht="13.5" customHeight="1">
      <c r="A3" s="238"/>
      <c r="B3" s="238"/>
      <c r="C3" s="238"/>
      <c r="D3" s="238"/>
      <c r="E3" s="337" t="s">
        <v>339</v>
      </c>
      <c r="F3" s="338"/>
      <c r="G3" s="136"/>
      <c r="H3" s="136"/>
      <c r="I3" s="136"/>
      <c r="J3" s="136"/>
      <c r="K3" s="136"/>
      <c r="L3" s="136"/>
      <c r="M3" s="136"/>
      <c r="N3" s="136"/>
      <c r="O3" s="136"/>
      <c r="P3" s="136"/>
      <c r="Q3" s="136"/>
      <c r="R3" s="136"/>
      <c r="S3" s="136"/>
      <c r="T3" s="136"/>
      <c r="U3" s="136"/>
      <c r="V3" s="136"/>
      <c r="W3" s="136"/>
      <c r="X3" s="136"/>
      <c r="Y3" s="136"/>
      <c r="Z3" s="136"/>
    </row>
    <row r="4" spans="1:26" ht="12.75" customHeight="1">
      <c r="A4" s="1010" t="s">
        <v>340</v>
      </c>
      <c r="B4" s="1043"/>
      <c r="C4" s="1043"/>
      <c r="D4" s="1043"/>
      <c r="E4" s="1043"/>
      <c r="F4" s="1043"/>
      <c r="G4" s="136"/>
      <c r="H4" s="136"/>
      <c r="I4" s="136"/>
      <c r="J4" s="136"/>
      <c r="K4" s="136"/>
      <c r="L4" s="136"/>
      <c r="M4" s="136"/>
      <c r="N4" s="136"/>
      <c r="O4" s="136"/>
      <c r="P4" s="136"/>
      <c r="Q4" s="136"/>
      <c r="R4" s="136"/>
      <c r="S4" s="136"/>
      <c r="T4" s="136"/>
      <c r="U4" s="136"/>
      <c r="V4" s="136"/>
      <c r="W4" s="136"/>
      <c r="X4" s="136"/>
      <c r="Y4" s="136"/>
      <c r="Z4" s="136"/>
    </row>
    <row r="5" spans="1:26" ht="12.75" customHeight="1">
      <c r="A5" s="1032" t="str">
        <f>+STATISTICS!A4</f>
        <v>ХАДГАЛАМЖ, ЗЭЭЛИЙН ХОРШООНЫ НЭР</v>
      </c>
      <c r="B5" s="1043"/>
      <c r="C5" s="1043"/>
      <c r="D5" s="1043"/>
      <c r="E5" s="1043"/>
      <c r="F5" s="1043"/>
      <c r="G5" s="136"/>
      <c r="H5" s="136"/>
      <c r="I5" s="136"/>
      <c r="J5" s="136"/>
      <c r="K5" s="136"/>
      <c r="L5" s="136"/>
      <c r="M5" s="136"/>
      <c r="N5" s="136"/>
      <c r="O5" s="136"/>
      <c r="P5" s="136"/>
      <c r="Q5" s="136"/>
      <c r="R5" s="136"/>
      <c r="S5" s="136"/>
      <c r="T5" s="136"/>
      <c r="U5" s="136"/>
      <c r="V5" s="136"/>
      <c r="W5" s="136"/>
      <c r="X5" s="136"/>
      <c r="Y5" s="136"/>
      <c r="Z5" s="136"/>
    </row>
    <row r="6" spans="1:26" ht="12.75" customHeight="1">
      <c r="A6" s="1010" t="s">
        <v>4</v>
      </c>
      <c r="B6" s="1043"/>
      <c r="C6" s="1043"/>
      <c r="D6" s="1043"/>
      <c r="E6" s="1043"/>
      <c r="F6" s="1043"/>
      <c r="G6" s="136"/>
      <c r="H6" s="136"/>
      <c r="I6" s="136"/>
      <c r="J6" s="136"/>
      <c r="K6" s="136"/>
      <c r="L6" s="136"/>
      <c r="M6" s="136"/>
      <c r="N6" s="136"/>
      <c r="O6" s="136"/>
      <c r="P6" s="136"/>
      <c r="Q6" s="136"/>
      <c r="R6" s="136"/>
      <c r="S6" s="136"/>
      <c r="T6" s="136"/>
      <c r="U6" s="136"/>
      <c r="V6" s="136"/>
      <c r="W6" s="136"/>
      <c r="X6" s="136"/>
      <c r="Y6" s="136"/>
      <c r="Z6" s="136"/>
    </row>
    <row r="7" spans="1:26" ht="7.5" customHeight="1">
      <c r="A7" s="238"/>
      <c r="B7" s="238"/>
      <c r="C7" s="238"/>
      <c r="D7" s="238"/>
      <c r="E7" s="337"/>
      <c r="F7" s="338"/>
      <c r="G7" s="136"/>
      <c r="H7" s="136"/>
      <c r="I7" s="136"/>
      <c r="J7" s="136"/>
      <c r="K7" s="136"/>
      <c r="L7" s="136"/>
      <c r="M7" s="136"/>
      <c r="N7" s="136"/>
      <c r="O7" s="136"/>
      <c r="P7" s="136"/>
      <c r="Q7" s="136"/>
      <c r="R7" s="136"/>
      <c r="S7" s="136"/>
      <c r="T7" s="136"/>
      <c r="U7" s="136"/>
      <c r="V7" s="136"/>
      <c r="W7" s="136"/>
      <c r="X7" s="136"/>
      <c r="Y7" s="136"/>
      <c r="Z7" s="136"/>
    </row>
    <row r="8" spans="1:26" ht="16.5" customHeight="1" thickBot="1">
      <c r="A8" s="1033" t="str">
        <f>+STATISTICS!A7</f>
        <v>Огноо</v>
      </c>
      <c r="B8" s="1064"/>
      <c r="C8" s="1064"/>
      <c r="D8" s="1064"/>
      <c r="E8" s="339"/>
      <c r="F8" s="340" t="s">
        <v>5</v>
      </c>
      <c r="G8" s="314"/>
      <c r="H8" s="314"/>
      <c r="I8" s="314"/>
      <c r="J8" s="314"/>
      <c r="K8" s="314"/>
      <c r="L8" s="314"/>
      <c r="M8" s="314"/>
      <c r="N8" s="314"/>
      <c r="O8" s="314"/>
      <c r="P8" s="314"/>
      <c r="Q8" s="314"/>
      <c r="R8" s="314"/>
      <c r="S8" s="314"/>
      <c r="T8" s="314"/>
      <c r="U8" s="314"/>
      <c r="V8" s="314"/>
      <c r="W8" s="314"/>
      <c r="X8" s="314"/>
      <c r="Y8" s="314"/>
      <c r="Z8" s="314"/>
    </row>
    <row r="9" spans="1:26" ht="16.5" customHeight="1">
      <c r="A9" s="1059" t="s">
        <v>341</v>
      </c>
      <c r="B9" s="1057"/>
      <c r="C9" s="1057"/>
      <c r="D9" s="1057"/>
      <c r="E9" s="1060" t="str">
        <f>+BALANCE!D8</f>
        <v>.... р сарын ...</v>
      </c>
      <c r="F9" s="1062" t="s">
        <v>342</v>
      </c>
      <c r="G9" s="136"/>
      <c r="H9" s="136"/>
      <c r="I9" s="136"/>
      <c r="J9" s="136"/>
      <c r="K9" s="136"/>
      <c r="L9" s="136"/>
      <c r="M9" s="136"/>
      <c r="N9" s="136"/>
      <c r="O9" s="136"/>
      <c r="P9" s="136"/>
      <c r="Q9" s="136"/>
      <c r="R9" s="136"/>
      <c r="S9" s="136"/>
      <c r="T9" s="136"/>
      <c r="U9" s="136"/>
      <c r="V9" s="136"/>
      <c r="W9" s="136"/>
      <c r="X9" s="136"/>
      <c r="Y9" s="136"/>
      <c r="Z9" s="136"/>
    </row>
    <row r="10" spans="1:26" ht="14.25" customHeight="1" thickBot="1">
      <c r="A10" s="1049"/>
      <c r="B10" s="1049"/>
      <c r="C10" s="1049"/>
      <c r="D10" s="1049"/>
      <c r="E10" s="1061"/>
      <c r="F10" s="1063"/>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thickBot="1">
      <c r="A11" s="341" t="s">
        <v>239</v>
      </c>
      <c r="B11" s="1055" t="s">
        <v>343</v>
      </c>
      <c r="C11" s="1056"/>
      <c r="D11" s="1057"/>
      <c r="E11" s="342">
        <f>SUM(E12:E16)-E17</f>
        <v>0</v>
      </c>
      <c r="F11" s="343" t="e">
        <f>E11/$E$95</f>
        <v>#DIV/0!</v>
      </c>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c r="A12" s="265"/>
      <c r="B12" s="238"/>
      <c r="C12" s="238"/>
      <c r="D12" s="344" t="s">
        <v>126</v>
      </c>
      <c r="E12" s="315">
        <f>+BALANCE!H73</f>
        <v>0</v>
      </c>
      <c r="F12" s="345" t="e">
        <f t="shared" ref="F12:F17" si="0">E12/$E$95</f>
        <v>#DIV/0!</v>
      </c>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c r="A13" s="265"/>
      <c r="B13" s="238"/>
      <c r="C13" s="238"/>
      <c r="D13" s="346" t="s">
        <v>344</v>
      </c>
      <c r="E13" s="316">
        <f>+BALANCE!H74</f>
        <v>0</v>
      </c>
      <c r="F13" s="345" t="e">
        <f t="shared" si="0"/>
        <v>#DIV/0!</v>
      </c>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c r="A14" s="265"/>
      <c r="B14" s="238"/>
      <c r="C14" s="238"/>
      <c r="D14" s="347" t="s">
        <v>345</v>
      </c>
      <c r="E14" s="317">
        <f>+BALANCE!H75</f>
        <v>0</v>
      </c>
      <c r="F14" s="345" t="e">
        <f t="shared" si="0"/>
        <v>#DIV/0!</v>
      </c>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c r="A15" s="265"/>
      <c r="B15" s="238"/>
      <c r="C15" s="238"/>
      <c r="D15" s="348" t="s">
        <v>346</v>
      </c>
      <c r="E15" s="318">
        <f>+BALANCE!H76</f>
        <v>0</v>
      </c>
      <c r="F15" s="345" t="e">
        <f t="shared" si="0"/>
        <v>#DIV/0!</v>
      </c>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c r="A16" s="265"/>
      <c r="B16" s="238"/>
      <c r="C16" s="238"/>
      <c r="D16" s="348" t="s">
        <v>347</v>
      </c>
      <c r="E16" s="318">
        <f>+BALANCE!H77</f>
        <v>0</v>
      </c>
      <c r="F16" s="345" t="e">
        <f t="shared" si="0"/>
        <v>#DIV/0!</v>
      </c>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thickBot="1">
      <c r="A17" s="265"/>
      <c r="B17" s="238"/>
      <c r="C17" s="238"/>
      <c r="D17" s="349" t="s">
        <v>348</v>
      </c>
      <c r="E17" s="319">
        <f>+BALANCE!H78</f>
        <v>0</v>
      </c>
      <c r="F17" s="345" t="e">
        <f t="shared" si="0"/>
        <v>#DIV/0!</v>
      </c>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thickBot="1">
      <c r="A18" s="82" t="s">
        <v>261</v>
      </c>
      <c r="B18" s="350" t="s">
        <v>349</v>
      </c>
      <c r="C18" s="350"/>
      <c r="D18" s="86"/>
      <c r="E18" s="351">
        <f>SUM(E19:E22)-E23</f>
        <v>0</v>
      </c>
      <c r="F18" s="343" t="e">
        <f>E18/$E$96</f>
        <v>#DIV/0!</v>
      </c>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c r="A19" s="265"/>
      <c r="B19" s="238"/>
      <c r="C19" s="238"/>
      <c r="D19" s="352" t="s">
        <v>160</v>
      </c>
      <c r="E19" s="320">
        <f>+BALANCE!D92</f>
        <v>0</v>
      </c>
      <c r="F19" s="353" t="e">
        <f t="shared" ref="F19:F23" si="1">E19/$E$96</f>
        <v>#DIV/0!</v>
      </c>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c r="A20" s="265"/>
      <c r="B20" s="238"/>
      <c r="C20" s="238"/>
      <c r="D20" s="348" t="s">
        <v>350</v>
      </c>
      <c r="E20" s="321">
        <f>+BALANCE!D93</f>
        <v>0</v>
      </c>
      <c r="F20" s="353" t="e">
        <f t="shared" si="1"/>
        <v>#DIV/0!</v>
      </c>
      <c r="G20" s="136"/>
      <c r="H20" s="322"/>
      <c r="I20" s="136"/>
      <c r="J20" s="136"/>
      <c r="K20" s="136"/>
      <c r="L20" s="136"/>
      <c r="M20" s="136"/>
      <c r="N20" s="136"/>
      <c r="O20" s="136"/>
      <c r="P20" s="136"/>
      <c r="Q20" s="136"/>
      <c r="R20" s="136"/>
      <c r="S20" s="136"/>
      <c r="T20" s="136"/>
      <c r="U20" s="136"/>
      <c r="V20" s="136"/>
      <c r="W20" s="136"/>
      <c r="X20" s="136"/>
      <c r="Y20" s="136"/>
      <c r="Z20" s="136"/>
    </row>
    <row r="21" spans="1:26" ht="12.75" customHeight="1">
      <c r="A21" s="265"/>
      <c r="B21" s="238"/>
      <c r="C21" s="238"/>
      <c r="D21" s="348" t="s">
        <v>163</v>
      </c>
      <c r="E21" s="321">
        <f>+BALANCE!D94</f>
        <v>0</v>
      </c>
      <c r="F21" s="353" t="e">
        <f t="shared" si="1"/>
        <v>#DIV/0!</v>
      </c>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c r="A22" s="265"/>
      <c r="B22" s="238"/>
      <c r="C22" s="238"/>
      <c r="D22" s="348" t="s">
        <v>351</v>
      </c>
      <c r="E22" s="321">
        <f>+BALANCE!D95</f>
        <v>0</v>
      </c>
      <c r="F22" s="353" t="e">
        <f t="shared" si="1"/>
        <v>#DIV/0!</v>
      </c>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thickBot="1">
      <c r="A23" s="265"/>
      <c r="B23" s="238"/>
      <c r="C23" s="238"/>
      <c r="D23" s="349" t="s">
        <v>352</v>
      </c>
      <c r="E23" s="323">
        <f>+BALANCE!D96</f>
        <v>0</v>
      </c>
      <c r="F23" s="354" t="e">
        <f t="shared" si="1"/>
        <v>#DIV/0!</v>
      </c>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thickBot="1">
      <c r="A24" s="82"/>
      <c r="B24" s="350" t="s">
        <v>353</v>
      </c>
      <c r="C24" s="350"/>
      <c r="D24" s="355"/>
      <c r="E24" s="356">
        <f>E11-E18</f>
        <v>0</v>
      </c>
      <c r="F24" s="343" t="e">
        <f t="shared" ref="F24" si="2">E24/$E$95</f>
        <v>#DIV/0!</v>
      </c>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thickBot="1">
      <c r="A25" s="341" t="s">
        <v>279</v>
      </c>
      <c r="B25" s="350" t="s">
        <v>354</v>
      </c>
      <c r="C25" s="350"/>
      <c r="D25" s="266"/>
      <c r="E25" s="357">
        <f>SUM(E26:E27)-E28</f>
        <v>0</v>
      </c>
      <c r="F25" s="343" t="e">
        <f>E25/$E$96</f>
        <v>#DIV/0!</v>
      </c>
      <c r="G25" s="136"/>
      <c r="H25" s="324"/>
      <c r="I25" s="136"/>
      <c r="J25" s="136"/>
      <c r="K25" s="136"/>
      <c r="L25" s="136"/>
      <c r="M25" s="136"/>
      <c r="N25" s="136"/>
      <c r="O25" s="136"/>
      <c r="P25" s="136"/>
      <c r="Q25" s="136"/>
      <c r="R25" s="136"/>
      <c r="S25" s="136"/>
      <c r="T25" s="136"/>
      <c r="U25" s="136"/>
      <c r="V25" s="136"/>
      <c r="W25" s="136"/>
      <c r="X25" s="136"/>
      <c r="Y25" s="136"/>
      <c r="Z25" s="136"/>
    </row>
    <row r="26" spans="1:26" ht="12.75" customHeight="1">
      <c r="A26" s="265"/>
      <c r="B26" s="238"/>
      <c r="C26" s="238"/>
      <c r="D26" s="344" t="s">
        <v>355</v>
      </c>
      <c r="E26" s="316">
        <f>+BALANCE!D98</f>
        <v>0</v>
      </c>
      <c r="F26" s="345" t="e">
        <f t="shared" ref="F26:F28" si="3">E26/$E$96</f>
        <v>#DIV/0!</v>
      </c>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c r="A27" s="265"/>
      <c r="B27" s="238"/>
      <c r="C27" s="238"/>
      <c r="D27" s="346" t="s">
        <v>356</v>
      </c>
      <c r="E27" s="316">
        <f>+BALANCE!D99</f>
        <v>0</v>
      </c>
      <c r="F27" s="345" t="e">
        <f t="shared" si="3"/>
        <v>#DIV/0!</v>
      </c>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thickBot="1">
      <c r="A28" s="265"/>
      <c r="B28" s="238"/>
      <c r="C28" s="238"/>
      <c r="D28" s="358" t="s">
        <v>357</v>
      </c>
      <c r="E28" s="316">
        <f>+BALANCE!D100</f>
        <v>0</v>
      </c>
      <c r="F28" s="345" t="e">
        <f t="shared" si="3"/>
        <v>#DIV/0!</v>
      </c>
      <c r="G28" s="136"/>
      <c r="H28" s="322"/>
      <c r="I28" s="136"/>
      <c r="J28" s="136"/>
      <c r="K28" s="136"/>
      <c r="L28" s="136"/>
      <c r="M28" s="136"/>
      <c r="N28" s="136"/>
      <c r="O28" s="136"/>
      <c r="P28" s="136"/>
      <c r="Q28" s="136"/>
      <c r="R28" s="136"/>
      <c r="S28" s="136"/>
      <c r="T28" s="136"/>
      <c r="U28" s="136"/>
      <c r="V28" s="136"/>
      <c r="W28" s="136"/>
      <c r="X28" s="136"/>
      <c r="Y28" s="136"/>
      <c r="Z28" s="136"/>
    </row>
    <row r="29" spans="1:26" ht="12.75" customHeight="1" thickBot="1">
      <c r="A29" s="359"/>
      <c r="B29" s="266" t="s">
        <v>358</v>
      </c>
      <c r="C29" s="266"/>
      <c r="D29" s="360"/>
      <c r="E29" s="342">
        <f>E24-E25</f>
        <v>0</v>
      </c>
      <c r="F29" s="343" t="e">
        <f t="shared" ref="F29:F35" si="4">E29/$E$95</f>
        <v>#DIV/0!</v>
      </c>
      <c r="G29" s="136"/>
      <c r="H29" s="322"/>
      <c r="I29" s="136"/>
      <c r="J29" s="136"/>
      <c r="K29" s="136"/>
      <c r="L29" s="136"/>
      <c r="M29" s="136"/>
      <c r="N29" s="136"/>
      <c r="O29" s="136"/>
      <c r="P29" s="136"/>
      <c r="Q29" s="136"/>
      <c r="R29" s="136"/>
      <c r="S29" s="136"/>
      <c r="T29" s="136"/>
      <c r="U29" s="136"/>
      <c r="V29" s="136"/>
      <c r="W29" s="136"/>
      <c r="X29" s="136"/>
      <c r="Y29" s="136"/>
      <c r="Z29" s="136"/>
    </row>
    <row r="30" spans="1:26" ht="12.75" customHeight="1" thickBot="1">
      <c r="A30" s="361" t="s">
        <v>280</v>
      </c>
      <c r="B30" s="362" t="s">
        <v>359</v>
      </c>
      <c r="C30" s="362"/>
      <c r="D30" s="363"/>
      <c r="E30" s="364">
        <f>SUM(E31:E35)</f>
        <v>0</v>
      </c>
      <c r="F30" s="343" t="e">
        <f t="shared" si="4"/>
        <v>#DIV/0!</v>
      </c>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c r="A31" s="265"/>
      <c r="B31" s="238"/>
      <c r="C31" s="238"/>
      <c r="D31" s="352" t="s">
        <v>360</v>
      </c>
      <c r="E31" s="325">
        <f>+BALANCE!H80</f>
        <v>0</v>
      </c>
      <c r="F31" s="345" t="e">
        <f t="shared" si="4"/>
        <v>#DIV/0!</v>
      </c>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c r="A32" s="265"/>
      <c r="B32" s="238"/>
      <c r="C32" s="238"/>
      <c r="D32" s="348" t="s">
        <v>361</v>
      </c>
      <c r="E32" s="318">
        <f>+BALANCE!H81</f>
        <v>0</v>
      </c>
      <c r="F32" s="345" t="e">
        <f t="shared" si="4"/>
        <v>#DIV/0!</v>
      </c>
      <c r="G32" s="136"/>
      <c r="H32" s="136"/>
      <c r="I32" s="136"/>
      <c r="J32" s="136"/>
      <c r="K32" s="136"/>
      <c r="L32" s="136"/>
      <c r="M32" s="136"/>
      <c r="N32" s="136"/>
      <c r="O32" s="136"/>
      <c r="P32" s="136"/>
      <c r="Q32" s="136"/>
      <c r="R32" s="136"/>
      <c r="S32" s="136"/>
      <c r="T32" s="136"/>
      <c r="U32" s="136"/>
      <c r="V32" s="136"/>
      <c r="W32" s="136"/>
      <c r="X32" s="136"/>
      <c r="Y32" s="136"/>
    </row>
    <row r="33" spans="1:26" ht="12.75" customHeight="1">
      <c r="A33" s="265"/>
      <c r="B33" s="238"/>
      <c r="C33" s="238"/>
      <c r="D33" s="348" t="s">
        <v>362</v>
      </c>
      <c r="E33" s="318">
        <f>+BALANCE!H82</f>
        <v>0</v>
      </c>
      <c r="F33" s="345" t="e">
        <f t="shared" si="4"/>
        <v>#DIV/0!</v>
      </c>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c r="A34" s="265"/>
      <c r="B34" s="238"/>
      <c r="C34" s="238"/>
      <c r="D34" s="348" t="s">
        <v>363</v>
      </c>
      <c r="E34" s="318">
        <f>+BALANCE!H83</f>
        <v>0</v>
      </c>
      <c r="F34" s="345" t="e">
        <f t="shared" si="4"/>
        <v>#DIV/0!</v>
      </c>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thickBot="1">
      <c r="A35" s="265"/>
      <c r="B35" s="238"/>
      <c r="C35" s="238"/>
      <c r="D35" s="349" t="s">
        <v>364</v>
      </c>
      <c r="E35" s="326">
        <f>+BALANCE!H84</f>
        <v>0</v>
      </c>
      <c r="F35" s="345" t="e">
        <f t="shared" si="4"/>
        <v>#DIV/0!</v>
      </c>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thickBot="1">
      <c r="A36" s="82" t="s">
        <v>282</v>
      </c>
      <c r="B36" s="350" t="s">
        <v>365</v>
      </c>
      <c r="C36" s="350"/>
      <c r="D36" s="355"/>
      <c r="E36" s="365">
        <f>SUM(E37,E45)</f>
        <v>0</v>
      </c>
      <c r="F36" s="343" t="e">
        <f t="shared" ref="F36:F71" si="5">E36/$E$96</f>
        <v>#DIV/0!</v>
      </c>
      <c r="G36" s="136"/>
      <c r="H36" s="322"/>
      <c r="I36" s="136"/>
      <c r="J36" s="136"/>
      <c r="K36" s="136"/>
      <c r="L36" s="136"/>
      <c r="M36" s="136"/>
      <c r="N36" s="136"/>
      <c r="O36" s="136"/>
      <c r="P36" s="136"/>
      <c r="Q36" s="136"/>
      <c r="R36" s="136"/>
      <c r="S36" s="136"/>
      <c r="T36" s="136"/>
      <c r="U36" s="136"/>
      <c r="V36" s="136"/>
      <c r="W36" s="136"/>
      <c r="X36" s="136"/>
      <c r="Y36" s="136"/>
      <c r="Z36" s="136"/>
    </row>
    <row r="37" spans="1:26" ht="12.75" customHeight="1" thickBot="1">
      <c r="A37" s="366"/>
      <c r="B37" s="220"/>
      <c r="C37" s="216" t="s">
        <v>366</v>
      </c>
      <c r="D37" s="266"/>
      <c r="E37" s="367">
        <f>SUM(E38:E44)</f>
        <v>0</v>
      </c>
      <c r="F37" s="343" t="e">
        <f t="shared" si="5"/>
        <v>#DIV/0!</v>
      </c>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c r="A38" s="265"/>
      <c r="B38" s="238"/>
      <c r="C38" s="238"/>
      <c r="D38" s="344" t="s">
        <v>367</v>
      </c>
      <c r="E38" s="133">
        <f>+BALANCE!D102</f>
        <v>0</v>
      </c>
      <c r="F38" s="345" t="e">
        <f t="shared" si="5"/>
        <v>#DIV/0!</v>
      </c>
      <c r="G38" s="136"/>
      <c r="H38" s="136"/>
      <c r="I38" s="136"/>
      <c r="J38" s="136"/>
      <c r="K38" s="136"/>
      <c r="L38" s="136"/>
      <c r="M38" s="136"/>
      <c r="N38" s="136"/>
      <c r="O38" s="136"/>
      <c r="P38" s="136"/>
      <c r="Q38" s="136"/>
      <c r="R38" s="136"/>
      <c r="S38" s="136"/>
      <c r="T38" s="136"/>
      <c r="U38" s="136"/>
      <c r="V38" s="136"/>
      <c r="W38" s="136"/>
      <c r="X38" s="136"/>
      <c r="Y38" s="136"/>
      <c r="Z38" s="136"/>
    </row>
    <row r="39" spans="1:26" ht="15.75" customHeight="1">
      <c r="A39" s="265"/>
      <c r="B39" s="238"/>
      <c r="C39" s="238"/>
      <c r="D39" s="346" t="s">
        <v>368</v>
      </c>
      <c r="E39" s="133">
        <f>+BALANCE!D103</f>
        <v>0</v>
      </c>
      <c r="F39" s="345" t="e">
        <f t="shared" si="5"/>
        <v>#DIV/0!</v>
      </c>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c r="A40" s="265"/>
      <c r="B40" s="238"/>
      <c r="C40" s="238"/>
      <c r="D40" s="346" t="s">
        <v>369</v>
      </c>
      <c r="E40" s="133">
        <f>+BALANCE!D104</f>
        <v>0</v>
      </c>
      <c r="F40" s="345" t="e">
        <f t="shared" si="5"/>
        <v>#DIV/0!</v>
      </c>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c r="A41" s="265"/>
      <c r="B41" s="238"/>
      <c r="C41" s="238"/>
      <c r="D41" s="346" t="s">
        <v>370</v>
      </c>
      <c r="E41" s="133">
        <f>+BALANCE!D105</f>
        <v>0</v>
      </c>
      <c r="F41" s="345" t="e">
        <f t="shared" si="5"/>
        <v>#DIV/0!</v>
      </c>
      <c r="G41" s="136"/>
      <c r="H41" s="136"/>
      <c r="I41" s="136"/>
      <c r="J41" s="136"/>
      <c r="K41" s="136"/>
      <c r="L41" s="136"/>
      <c r="M41" s="136"/>
      <c r="N41" s="136"/>
      <c r="O41" s="136"/>
      <c r="P41" s="136"/>
      <c r="Q41" s="136"/>
      <c r="R41" s="136"/>
      <c r="S41" s="136"/>
      <c r="T41" s="136"/>
      <c r="U41" s="136"/>
      <c r="V41" s="136"/>
      <c r="W41" s="136"/>
      <c r="X41" s="136"/>
      <c r="Y41" s="136"/>
      <c r="Z41" s="136"/>
    </row>
    <row r="42" spans="1:26" ht="13.5" customHeight="1">
      <c r="A42" s="265"/>
      <c r="B42" s="238"/>
      <c r="C42" s="238"/>
      <c r="D42" s="346" t="s">
        <v>371</v>
      </c>
      <c r="E42" s="133">
        <f>+BALANCE!D106</f>
        <v>0</v>
      </c>
      <c r="F42" s="345" t="e">
        <f t="shared" si="5"/>
        <v>#DIV/0!</v>
      </c>
      <c r="G42" s="136"/>
      <c r="H42" s="1058"/>
      <c r="I42" s="1045"/>
      <c r="J42" s="1045"/>
      <c r="K42" s="1045"/>
      <c r="L42" s="1045"/>
      <c r="M42" s="1045"/>
      <c r="N42" s="1045"/>
      <c r="O42" s="1045"/>
      <c r="P42" s="136"/>
      <c r="Q42" s="136"/>
      <c r="R42" s="136"/>
      <c r="S42" s="136"/>
      <c r="T42" s="136"/>
      <c r="U42" s="136"/>
      <c r="V42" s="136"/>
      <c r="W42" s="136"/>
      <c r="X42" s="136"/>
      <c r="Y42" s="136"/>
      <c r="Z42" s="136"/>
    </row>
    <row r="43" spans="1:26" ht="12.75" customHeight="1">
      <c r="A43" s="265"/>
      <c r="B43" s="238"/>
      <c r="C43" s="238"/>
      <c r="D43" s="346" t="s">
        <v>372</v>
      </c>
      <c r="E43" s="133">
        <f>+BALANCE!D107</f>
        <v>0</v>
      </c>
      <c r="F43" s="345" t="e">
        <f t="shared" si="5"/>
        <v>#DIV/0!</v>
      </c>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thickBot="1">
      <c r="A44" s="265"/>
      <c r="B44" s="238"/>
      <c r="C44" s="238"/>
      <c r="D44" s="358" t="s">
        <v>373</v>
      </c>
      <c r="E44" s="133">
        <f>+BALANCE!D108</f>
        <v>0</v>
      </c>
      <c r="F44" s="345" t="e">
        <f t="shared" si="5"/>
        <v>#DIV/0!</v>
      </c>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thickBot="1">
      <c r="A45" s="265"/>
      <c r="B45" s="238"/>
      <c r="C45" s="216" t="s">
        <v>374</v>
      </c>
      <c r="D45" s="360"/>
      <c r="E45" s="368">
        <f>SUM(E46:E71)</f>
        <v>0</v>
      </c>
      <c r="F45" s="343" t="e">
        <f t="shared" si="5"/>
        <v>#DIV/0!</v>
      </c>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c r="A46" s="265"/>
      <c r="B46" s="238"/>
      <c r="C46" s="238"/>
      <c r="D46" s="369" t="s">
        <v>375</v>
      </c>
      <c r="E46" s="327">
        <f>+BALANCE!D110</f>
        <v>0</v>
      </c>
      <c r="F46" s="345" t="e">
        <f t="shared" si="5"/>
        <v>#DIV/0!</v>
      </c>
      <c r="G46" s="136"/>
      <c r="H46" s="328"/>
      <c r="I46" s="136"/>
      <c r="J46" s="136"/>
      <c r="K46" s="136"/>
      <c r="L46" s="136"/>
      <c r="M46" s="136"/>
      <c r="N46" s="136"/>
      <c r="O46" s="136"/>
      <c r="P46" s="136"/>
      <c r="Q46" s="136"/>
      <c r="R46" s="136"/>
      <c r="S46" s="136"/>
      <c r="T46" s="136"/>
      <c r="U46" s="136"/>
      <c r="V46" s="136"/>
      <c r="W46" s="136"/>
      <c r="X46" s="136"/>
      <c r="Y46" s="136"/>
      <c r="Z46" s="136"/>
    </row>
    <row r="47" spans="1:26" ht="12.75" customHeight="1">
      <c r="A47" s="265"/>
      <c r="B47" s="238"/>
      <c r="C47" s="238"/>
      <c r="D47" s="348" t="s">
        <v>376</v>
      </c>
      <c r="E47" s="329">
        <f>+BALANCE!D111</f>
        <v>0</v>
      </c>
      <c r="F47" s="345" t="e">
        <f t="shared" si="5"/>
        <v>#DIV/0!</v>
      </c>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c r="A48" s="265"/>
      <c r="B48" s="238"/>
      <c r="C48" s="238"/>
      <c r="D48" s="370" t="s">
        <v>181</v>
      </c>
      <c r="E48" s="330">
        <f>+BALANCE!D112</f>
        <v>0</v>
      </c>
      <c r="F48" s="345" t="e">
        <f t="shared" si="5"/>
        <v>#DIV/0!</v>
      </c>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c r="A49" s="265"/>
      <c r="B49" s="238"/>
      <c r="C49" s="238"/>
      <c r="D49" s="348" t="s">
        <v>182</v>
      </c>
      <c r="E49" s="330">
        <f>+BALANCE!D113</f>
        <v>0</v>
      </c>
      <c r="F49" s="345" t="e">
        <f t="shared" si="5"/>
        <v>#DIV/0!</v>
      </c>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c r="A50" s="265"/>
      <c r="B50" s="238"/>
      <c r="C50" s="238"/>
      <c r="D50" s="370" t="s">
        <v>377</v>
      </c>
      <c r="E50" s="330">
        <f>+BALANCE!D114</f>
        <v>0</v>
      </c>
      <c r="F50" s="345" t="e">
        <f t="shared" si="5"/>
        <v>#DIV/0!</v>
      </c>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c r="A51" s="265"/>
      <c r="B51" s="238"/>
      <c r="C51" s="238"/>
      <c r="D51" s="348" t="s">
        <v>378</v>
      </c>
      <c r="E51" s="331">
        <f>+BALANCE!D115</f>
        <v>0</v>
      </c>
      <c r="F51" s="345" t="e">
        <f t="shared" si="5"/>
        <v>#DIV/0!</v>
      </c>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c r="A52" s="265"/>
      <c r="B52" s="238"/>
      <c r="C52" s="238"/>
      <c r="D52" s="371" t="s">
        <v>379</v>
      </c>
      <c r="E52" s="332">
        <f>+BALANCE!D116</f>
        <v>0</v>
      </c>
      <c r="F52" s="345" t="e">
        <f t="shared" si="5"/>
        <v>#DIV/0!</v>
      </c>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c r="A53" s="265"/>
      <c r="B53" s="238"/>
      <c r="C53" s="238"/>
      <c r="D53" s="372" t="s">
        <v>380</v>
      </c>
      <c r="E53" s="331">
        <f>+BALANCE!D117</f>
        <v>0</v>
      </c>
      <c r="F53" s="345" t="e">
        <f t="shared" si="5"/>
        <v>#DIV/0!</v>
      </c>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c r="A54" s="265"/>
      <c r="B54" s="238"/>
      <c r="C54" s="238"/>
      <c r="D54" s="372" t="s">
        <v>187</v>
      </c>
      <c r="E54" s="331">
        <f>+BALANCE!D118</f>
        <v>0</v>
      </c>
      <c r="F54" s="345" t="e">
        <f t="shared" si="5"/>
        <v>#DIV/0!</v>
      </c>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c r="A55" s="265"/>
      <c r="B55" s="238"/>
      <c r="C55" s="238"/>
      <c r="D55" s="372" t="s">
        <v>381</v>
      </c>
      <c r="E55" s="332">
        <f>+BALANCE!D119</f>
        <v>0</v>
      </c>
      <c r="F55" s="345" t="e">
        <f t="shared" si="5"/>
        <v>#DIV/0!</v>
      </c>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c r="A56" s="265"/>
      <c r="B56" s="238"/>
      <c r="C56" s="238"/>
      <c r="D56" s="372" t="s">
        <v>382</v>
      </c>
      <c r="E56" s="330">
        <f>+BALANCE!D120</f>
        <v>0</v>
      </c>
      <c r="F56" s="345" t="e">
        <f t="shared" si="5"/>
        <v>#DIV/0!</v>
      </c>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c r="A57" s="265"/>
      <c r="B57" s="238"/>
      <c r="C57" s="238"/>
      <c r="D57" s="372" t="s">
        <v>383</v>
      </c>
      <c r="E57" s="330">
        <f>+BALANCE!D121</f>
        <v>0</v>
      </c>
      <c r="F57" s="345" t="e">
        <f t="shared" si="5"/>
        <v>#DIV/0!</v>
      </c>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c r="A58" s="265"/>
      <c r="B58" s="238"/>
      <c r="C58" s="238"/>
      <c r="D58" s="348" t="s">
        <v>384</v>
      </c>
      <c r="E58" s="331">
        <f>+BALANCE!D122</f>
        <v>0</v>
      </c>
      <c r="F58" s="345" t="e">
        <f t="shared" si="5"/>
        <v>#DIV/0!</v>
      </c>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c r="A59" s="265"/>
      <c r="B59" s="238"/>
      <c r="C59" s="238"/>
      <c r="D59" s="371" t="s">
        <v>385</v>
      </c>
      <c r="E59" s="331">
        <f>+BALANCE!D123</f>
        <v>0</v>
      </c>
      <c r="F59" s="345" t="e">
        <f t="shared" si="5"/>
        <v>#DIV/0!</v>
      </c>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c r="A60" s="265"/>
      <c r="B60" s="238"/>
      <c r="C60" s="238"/>
      <c r="D60" s="372" t="s">
        <v>386</v>
      </c>
      <c r="E60" s="331">
        <f>+BALANCE!D124</f>
        <v>0</v>
      </c>
      <c r="F60" s="345" t="e">
        <f t="shared" si="5"/>
        <v>#DIV/0!</v>
      </c>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c r="A61" s="265"/>
      <c r="B61" s="238"/>
      <c r="C61" s="238"/>
      <c r="D61" s="348" t="s">
        <v>387</v>
      </c>
      <c r="E61" s="331">
        <f>+BALANCE!D125</f>
        <v>0</v>
      </c>
      <c r="F61" s="345" t="e">
        <f t="shared" si="5"/>
        <v>#DIV/0!</v>
      </c>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c r="A62" s="265"/>
      <c r="B62" s="238"/>
      <c r="C62" s="238"/>
      <c r="D62" s="371" t="s">
        <v>388</v>
      </c>
      <c r="E62" s="331">
        <f>+BALANCE!D126</f>
        <v>0</v>
      </c>
      <c r="F62" s="345" t="e">
        <f t="shared" si="5"/>
        <v>#DIV/0!</v>
      </c>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c r="A63" s="265"/>
      <c r="B63" s="238"/>
      <c r="C63" s="238"/>
      <c r="D63" s="372" t="s">
        <v>389</v>
      </c>
      <c r="E63" s="329">
        <f>+BALANCE!D127</f>
        <v>0</v>
      </c>
      <c r="F63" s="345" t="e">
        <f t="shared" si="5"/>
        <v>#DIV/0!</v>
      </c>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c r="A64" s="265"/>
      <c r="B64" s="238"/>
      <c r="C64" s="238"/>
      <c r="D64" s="372" t="s">
        <v>197</v>
      </c>
      <c r="E64" s="333">
        <f>+BALANCE!D128</f>
        <v>0</v>
      </c>
      <c r="F64" s="345" t="e">
        <f t="shared" si="5"/>
        <v>#DIV/0!</v>
      </c>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c r="A65" s="265"/>
      <c r="B65" s="238"/>
      <c r="C65" s="238"/>
      <c r="D65" s="348" t="s">
        <v>390</v>
      </c>
      <c r="E65" s="329">
        <f>+BALANCE!D129</f>
        <v>0</v>
      </c>
      <c r="F65" s="345" t="e">
        <f t="shared" si="5"/>
        <v>#DIV/0!</v>
      </c>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c r="A66" s="265"/>
      <c r="B66" s="238"/>
      <c r="C66" s="238"/>
      <c r="D66" s="371" t="s">
        <v>391</v>
      </c>
      <c r="E66" s="329">
        <f>+BALANCE!D130</f>
        <v>0</v>
      </c>
      <c r="F66" s="345" t="e">
        <f t="shared" si="5"/>
        <v>#DIV/0!</v>
      </c>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c r="A67" s="265"/>
      <c r="B67" s="238"/>
      <c r="C67" s="238"/>
      <c r="D67" s="372" t="s">
        <v>200</v>
      </c>
      <c r="E67" s="329">
        <f>+BALANCE!D131</f>
        <v>0</v>
      </c>
      <c r="F67" s="345" t="e">
        <f t="shared" si="5"/>
        <v>#DIV/0!</v>
      </c>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c r="A68" s="265"/>
      <c r="B68" s="238"/>
      <c r="C68" s="238"/>
      <c r="D68" s="347" t="s">
        <v>201</v>
      </c>
      <c r="E68" s="329">
        <f>+BALANCE!D132</f>
        <v>0</v>
      </c>
      <c r="F68" s="345" t="e">
        <f t="shared" si="5"/>
        <v>#DIV/0!</v>
      </c>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c r="A69" s="265"/>
      <c r="B69" s="238"/>
      <c r="C69" s="238"/>
      <c r="D69" s="348" t="s">
        <v>202</v>
      </c>
      <c r="E69" s="331">
        <f>+BALANCE!D133</f>
        <v>0</v>
      </c>
      <c r="F69" s="345" t="e">
        <f t="shared" si="5"/>
        <v>#DIV/0!</v>
      </c>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c r="A70" s="265"/>
      <c r="B70" s="238"/>
      <c r="C70" s="238"/>
      <c r="D70" s="348" t="s">
        <v>392</v>
      </c>
      <c r="E70" s="331">
        <f>+BALANCE!D134</f>
        <v>0</v>
      </c>
      <c r="F70" s="345" t="e">
        <f t="shared" si="5"/>
        <v>#DIV/0!</v>
      </c>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thickBot="1">
      <c r="A71" s="265"/>
      <c r="B71" s="238"/>
      <c r="C71" s="238"/>
      <c r="D71" s="373" t="s">
        <v>393</v>
      </c>
      <c r="E71" s="334">
        <f>+BALANCE!D135</f>
        <v>0</v>
      </c>
      <c r="F71" s="345" t="e">
        <f t="shared" si="5"/>
        <v>#DIV/0!</v>
      </c>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thickBot="1">
      <c r="A72" s="82"/>
      <c r="B72" s="350" t="s">
        <v>394</v>
      </c>
      <c r="C72" s="350"/>
      <c r="D72" s="355"/>
      <c r="E72" s="374">
        <f>E29+E30-E36</f>
        <v>0</v>
      </c>
      <c r="F72" s="343" t="e">
        <f t="shared" ref="F72:F79" si="6">E72/$E$95</f>
        <v>#DIV/0!</v>
      </c>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thickBot="1">
      <c r="A73" s="341" t="s">
        <v>395</v>
      </c>
      <c r="B73" s="350" t="s">
        <v>396</v>
      </c>
      <c r="C73" s="350"/>
      <c r="D73" s="266"/>
      <c r="E73" s="367">
        <f>SUM(E74:E79)</f>
        <v>0</v>
      </c>
      <c r="F73" s="343" t="e">
        <f t="shared" si="6"/>
        <v>#DIV/0!</v>
      </c>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c r="A74" s="265"/>
      <c r="B74" s="238"/>
      <c r="C74" s="238"/>
      <c r="D74" s="344" t="s">
        <v>397</v>
      </c>
      <c r="E74" s="133">
        <f>+BALANCE!H86</f>
        <v>0</v>
      </c>
      <c r="F74" s="345" t="e">
        <f t="shared" si="6"/>
        <v>#DIV/0!</v>
      </c>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c r="A75" s="265"/>
      <c r="B75" s="238"/>
      <c r="C75" s="238"/>
      <c r="D75" s="346" t="s">
        <v>151</v>
      </c>
      <c r="E75" s="133">
        <f>+BALANCE!H87</f>
        <v>0</v>
      </c>
      <c r="F75" s="345" t="e">
        <f t="shared" si="6"/>
        <v>#DIV/0!</v>
      </c>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c r="A76" s="265"/>
      <c r="B76" s="238"/>
      <c r="C76" s="238"/>
      <c r="D76" s="346" t="s">
        <v>398</v>
      </c>
      <c r="E76" s="133">
        <f>+BALANCE!H88</f>
        <v>0</v>
      </c>
      <c r="F76" s="345" t="e">
        <f t="shared" si="6"/>
        <v>#DIV/0!</v>
      </c>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c r="A77" s="265"/>
      <c r="B77" s="238"/>
      <c r="C77" s="238"/>
      <c r="D77" s="346" t="s">
        <v>155</v>
      </c>
      <c r="E77" s="133">
        <f>+BALANCE!H89</f>
        <v>0</v>
      </c>
      <c r="F77" s="345" t="e">
        <f t="shared" si="6"/>
        <v>#DIV/0!</v>
      </c>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c r="A78" s="265"/>
      <c r="B78" s="238"/>
      <c r="C78" s="238"/>
      <c r="D78" s="346" t="s">
        <v>399</v>
      </c>
      <c r="E78" s="133">
        <f>+BALANCE!H90</f>
        <v>0</v>
      </c>
      <c r="F78" s="345" t="e">
        <f t="shared" si="6"/>
        <v>#DIV/0!</v>
      </c>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thickBot="1">
      <c r="A79" s="265"/>
      <c r="B79" s="238"/>
      <c r="C79" s="238"/>
      <c r="D79" s="373" t="s">
        <v>400</v>
      </c>
      <c r="E79" s="133">
        <f>+BALANCE!H91</f>
        <v>0</v>
      </c>
      <c r="F79" s="345" t="e">
        <f t="shared" si="6"/>
        <v>#DIV/0!</v>
      </c>
      <c r="G79" s="136"/>
      <c r="H79" s="322"/>
      <c r="I79" s="136"/>
      <c r="J79" s="136"/>
      <c r="K79" s="136"/>
      <c r="L79" s="136"/>
      <c r="M79" s="136"/>
      <c r="N79" s="136"/>
      <c r="O79" s="136"/>
      <c r="P79" s="136"/>
      <c r="Q79" s="136"/>
      <c r="R79" s="136"/>
      <c r="S79" s="136"/>
      <c r="T79" s="136"/>
      <c r="U79" s="136"/>
      <c r="V79" s="136"/>
      <c r="W79" s="136"/>
      <c r="X79" s="136"/>
      <c r="Y79" s="136"/>
      <c r="Z79" s="136"/>
    </row>
    <row r="80" spans="1:26" ht="12.75" customHeight="1" thickBot="1">
      <c r="A80" s="82" t="s">
        <v>401</v>
      </c>
      <c r="B80" s="350" t="s">
        <v>402</v>
      </c>
      <c r="C80" s="350"/>
      <c r="D80" s="360"/>
      <c r="E80" s="368">
        <f>SUM(E81:E90)</f>
        <v>0</v>
      </c>
      <c r="F80" s="343" t="e">
        <f t="shared" ref="F80:F90" si="7">E80/$E$96</f>
        <v>#DIV/0!</v>
      </c>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c r="A81" s="265"/>
      <c r="B81" s="238"/>
      <c r="C81" s="238"/>
      <c r="D81" s="344" t="s">
        <v>403</v>
      </c>
      <c r="E81" s="335">
        <f>+BALANCE!D137</f>
        <v>0</v>
      </c>
      <c r="F81" s="375" t="e">
        <f t="shared" si="7"/>
        <v>#DIV/0!</v>
      </c>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c r="A82" s="265"/>
      <c r="B82" s="238"/>
      <c r="C82" s="238"/>
      <c r="D82" s="346" t="s">
        <v>404</v>
      </c>
      <c r="E82" s="335">
        <f>+BALANCE!D138</f>
        <v>0</v>
      </c>
      <c r="F82" s="353" t="e">
        <f t="shared" si="7"/>
        <v>#DIV/0!</v>
      </c>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c r="A83" s="265"/>
      <c r="B83" s="238"/>
      <c r="C83" s="238"/>
      <c r="D83" s="346" t="s">
        <v>207</v>
      </c>
      <c r="E83" s="335">
        <f>+BALANCE!D139</f>
        <v>0</v>
      </c>
      <c r="F83" s="353" t="e">
        <f t="shared" si="7"/>
        <v>#DIV/0!</v>
      </c>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c r="A84" s="265"/>
      <c r="B84" s="238"/>
      <c r="C84" s="238"/>
      <c r="D84" s="346" t="s">
        <v>208</v>
      </c>
      <c r="E84" s="335">
        <f>+BALANCE!D140</f>
        <v>0</v>
      </c>
      <c r="F84" s="353" t="e">
        <f t="shared" si="7"/>
        <v>#DIV/0!</v>
      </c>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c r="A85" s="265"/>
      <c r="B85" s="238"/>
      <c r="C85" s="238"/>
      <c r="D85" s="346" t="s">
        <v>209</v>
      </c>
      <c r="E85" s="335">
        <f>+BALANCE!D141</f>
        <v>0</v>
      </c>
      <c r="F85" s="353" t="e">
        <f t="shared" si="7"/>
        <v>#DIV/0!</v>
      </c>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c r="A86" s="265"/>
      <c r="B86" s="238"/>
      <c r="C86" s="238"/>
      <c r="D86" s="346" t="s">
        <v>405</v>
      </c>
      <c r="E86" s="335">
        <f>+BALANCE!D142</f>
        <v>0</v>
      </c>
      <c r="F86" s="353" t="e">
        <f t="shared" si="7"/>
        <v>#DIV/0!</v>
      </c>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c r="A87" s="265"/>
      <c r="B87" s="238"/>
      <c r="C87" s="238"/>
      <c r="D87" s="346" t="s">
        <v>210</v>
      </c>
      <c r="E87" s="335">
        <f>+BALANCE!D143</f>
        <v>0</v>
      </c>
      <c r="F87" s="353" t="e">
        <f t="shared" si="7"/>
        <v>#DIV/0!</v>
      </c>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c r="A88" s="265"/>
      <c r="B88" s="238"/>
      <c r="C88" s="238"/>
      <c r="D88" s="346" t="s">
        <v>211</v>
      </c>
      <c r="E88" s="335">
        <f>+BALANCE!D144</f>
        <v>0</v>
      </c>
      <c r="F88" s="353" t="e">
        <f t="shared" si="7"/>
        <v>#DIV/0!</v>
      </c>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c r="A89" s="265"/>
      <c r="B89" s="238"/>
      <c r="C89" s="238"/>
      <c r="D89" s="346" t="s">
        <v>212</v>
      </c>
      <c r="E89" s="335">
        <f>+BALANCE!D145</f>
        <v>0</v>
      </c>
      <c r="F89" s="353" t="e">
        <f t="shared" si="7"/>
        <v>#DIV/0!</v>
      </c>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thickBot="1">
      <c r="A90" s="265"/>
      <c r="B90" s="238"/>
      <c r="C90" s="238"/>
      <c r="D90" s="373" t="s">
        <v>406</v>
      </c>
      <c r="E90" s="335">
        <f>+BALANCE!D146</f>
        <v>0</v>
      </c>
      <c r="F90" s="354" t="e">
        <f t="shared" si="7"/>
        <v>#DIV/0!</v>
      </c>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thickBot="1">
      <c r="A91" s="82" t="s">
        <v>407</v>
      </c>
      <c r="B91" s="350" t="s">
        <v>408</v>
      </c>
      <c r="C91" s="350"/>
      <c r="D91" s="360"/>
      <c r="E91" s="143">
        <f>E72+E73-E80</f>
        <v>0</v>
      </c>
      <c r="F91" s="37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thickBot="1">
      <c r="A92" s="377"/>
      <c r="B92" s="378"/>
      <c r="C92" s="378"/>
      <c r="D92" s="379" t="s">
        <v>409</v>
      </c>
      <c r="E92" s="336">
        <f>+BALANCE!D147</f>
        <v>0</v>
      </c>
      <c r="F92" s="343" t="e">
        <f t="shared" ref="F92" si="8">E92/$E$96</f>
        <v>#DIV/0!</v>
      </c>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thickBot="1">
      <c r="A93" s="341" t="s">
        <v>410</v>
      </c>
      <c r="B93" s="350" t="s">
        <v>411</v>
      </c>
      <c r="C93" s="350"/>
      <c r="D93" s="355"/>
      <c r="E93" s="145">
        <f>E91-E92</f>
        <v>0</v>
      </c>
      <c r="F93" s="380"/>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thickBot="1">
      <c r="A94" s="238"/>
      <c r="B94" s="238"/>
      <c r="C94" s="238"/>
      <c r="D94" s="238"/>
      <c r="E94" s="381"/>
      <c r="F94" s="382"/>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thickBot="1">
      <c r="A95" s="238"/>
      <c r="B95" s="238"/>
      <c r="C95" s="238"/>
      <c r="D95" s="383" t="s">
        <v>412</v>
      </c>
      <c r="E95" s="384">
        <f>E11+E30+E73</f>
        <v>0</v>
      </c>
      <c r="F95" s="385">
        <v>1</v>
      </c>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thickBot="1">
      <c r="A96" s="238"/>
      <c r="B96" s="238"/>
      <c r="C96" s="238"/>
      <c r="D96" s="383" t="s">
        <v>413</v>
      </c>
      <c r="E96" s="386">
        <f>E18+E25+E36+E80+E92</f>
        <v>0</v>
      </c>
      <c r="F96" s="385">
        <v>1</v>
      </c>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thickBot="1">
      <c r="A97" s="238"/>
      <c r="B97" s="238"/>
      <c r="C97" s="238"/>
      <c r="D97" s="387" t="s">
        <v>414</v>
      </c>
      <c r="E97" s="386">
        <f>E95-E96</f>
        <v>0</v>
      </c>
      <c r="F97" s="385">
        <v>1</v>
      </c>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c r="A98" s="238"/>
      <c r="B98" s="238"/>
      <c r="C98" s="238"/>
      <c r="D98" s="388"/>
      <c r="E98" s="337"/>
      <c r="F98" s="338"/>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c r="A99" s="238"/>
      <c r="B99" s="238"/>
      <c r="C99" s="238"/>
      <c r="D99" s="237"/>
      <c r="E99" s="337"/>
      <c r="F99" s="338"/>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c r="A100" s="1010" t="s">
        <v>232</v>
      </c>
      <c r="B100" s="1010"/>
      <c r="C100" s="1010"/>
      <c r="D100" s="1010"/>
      <c r="E100" s="1010"/>
      <c r="F100" s="1010"/>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053" t="s">
        <v>233</v>
      </c>
      <c r="B101" s="1054"/>
      <c r="C101" s="1054"/>
      <c r="D101" s="1054"/>
      <c r="E101" s="1054"/>
      <c r="F101" s="1054"/>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c r="A102" s="238"/>
      <c r="B102" s="238"/>
      <c r="C102" s="238"/>
      <c r="D102" s="240"/>
      <c r="E102" s="337"/>
      <c r="F102" s="338"/>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c r="A103" s="238"/>
      <c r="B103" s="238"/>
      <c r="C103" s="238"/>
      <c r="D103" s="235" t="s">
        <v>234</v>
      </c>
      <c r="E103" s="337" t="str">
        <f>+STATISTICS!C94</f>
        <v>/Нэр/</v>
      </c>
      <c r="F103" s="338"/>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c r="A104" s="238"/>
      <c r="B104" s="238"/>
      <c r="C104" s="238"/>
      <c r="D104" s="236"/>
      <c r="E104" s="337"/>
      <c r="F104" s="338"/>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c r="A105" s="238"/>
      <c r="B105" s="238"/>
      <c r="C105" s="238"/>
      <c r="D105" s="235" t="s">
        <v>236</v>
      </c>
      <c r="E105" s="337" t="str">
        <f>+STATISTICS!C96</f>
        <v>/Нэр/</v>
      </c>
      <c r="F105" s="338"/>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c r="A106" s="238"/>
      <c r="B106" s="238"/>
      <c r="C106" s="238"/>
      <c r="D106" s="238"/>
      <c r="E106" s="337"/>
      <c r="F106" s="338"/>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c r="A107" s="238"/>
      <c r="B107" s="238"/>
      <c r="C107" s="238"/>
      <c r="D107" s="238"/>
      <c r="E107" s="337"/>
      <c r="F107" s="338"/>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8.75" customHeight="1">
      <c r="A108" s="238"/>
      <c r="B108" s="238"/>
      <c r="C108" s="238"/>
      <c r="D108" s="238"/>
      <c r="E108" s="337"/>
      <c r="F108" s="338"/>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6" customHeight="1">
      <c r="A109" s="238"/>
      <c r="B109" s="238"/>
      <c r="C109" s="238"/>
      <c r="D109" s="238"/>
      <c r="E109" s="337"/>
      <c r="F109" s="338"/>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c r="A110" s="238"/>
      <c r="B110" s="238"/>
      <c r="C110" s="238"/>
      <c r="D110" s="238"/>
      <c r="E110" s="337"/>
      <c r="F110" s="338"/>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c r="A111" s="238"/>
      <c r="B111" s="238"/>
      <c r="C111" s="238"/>
      <c r="D111" s="238"/>
      <c r="E111" s="337"/>
      <c r="F111" s="338"/>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c r="A112" s="238"/>
      <c r="B112" s="238"/>
      <c r="C112" s="238"/>
      <c r="D112" s="238"/>
      <c r="E112" s="337"/>
      <c r="F112" s="338"/>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c r="A113" s="238"/>
      <c r="B113" s="238"/>
      <c r="C113" s="238"/>
      <c r="D113" s="238"/>
      <c r="E113" s="337"/>
      <c r="F113" s="338"/>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c r="A114" s="238"/>
      <c r="B114" s="238"/>
      <c r="C114" s="238"/>
      <c r="D114" s="238"/>
      <c r="E114" s="337"/>
      <c r="F114" s="338"/>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c r="A115" s="238"/>
      <c r="B115" s="238"/>
      <c r="C115" s="238"/>
      <c r="D115" s="238"/>
      <c r="E115" s="337"/>
      <c r="F115" s="338"/>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c r="A116" s="238"/>
      <c r="B116" s="238"/>
      <c r="C116" s="238"/>
      <c r="D116" s="238"/>
      <c r="E116" s="337"/>
      <c r="F116" s="338"/>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c r="A117" s="238"/>
      <c r="B117" s="238"/>
      <c r="C117" s="238"/>
      <c r="D117" s="238"/>
      <c r="E117" s="337"/>
      <c r="F117" s="338"/>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c r="A118" s="238"/>
      <c r="B118" s="238"/>
      <c r="C118" s="238"/>
      <c r="D118" s="238"/>
      <c r="E118" s="337"/>
      <c r="F118" s="338"/>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c r="A119" s="238"/>
      <c r="B119" s="238"/>
      <c r="C119" s="238"/>
      <c r="D119" s="238"/>
      <c r="E119" s="337"/>
      <c r="F119" s="338"/>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c r="A120" s="238"/>
      <c r="B120" s="238"/>
      <c r="C120" s="238"/>
      <c r="D120" s="238"/>
      <c r="E120" s="337"/>
      <c r="F120" s="338"/>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c r="A121" s="238"/>
      <c r="B121" s="238"/>
      <c r="C121" s="238"/>
      <c r="D121" s="238"/>
      <c r="E121" s="337"/>
      <c r="F121" s="338"/>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c r="A122" s="238"/>
      <c r="B122" s="238"/>
      <c r="C122" s="238"/>
      <c r="D122" s="238"/>
      <c r="E122" s="337"/>
      <c r="F122" s="338"/>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c r="A123" s="238"/>
      <c r="B123" s="238"/>
      <c r="C123" s="238"/>
      <c r="D123" s="238"/>
      <c r="E123" s="337"/>
      <c r="F123" s="338"/>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c r="A124" s="238"/>
      <c r="B124" s="238"/>
      <c r="C124" s="238"/>
      <c r="D124" s="238"/>
      <c r="E124" s="337"/>
      <c r="F124" s="338"/>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c r="A125" s="238"/>
      <c r="B125" s="238"/>
      <c r="C125" s="238"/>
      <c r="D125" s="238"/>
      <c r="E125" s="337"/>
      <c r="F125" s="338"/>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c r="A126" s="238"/>
      <c r="B126" s="238"/>
      <c r="C126" s="238"/>
      <c r="D126" s="238"/>
      <c r="E126" s="337"/>
      <c r="F126" s="338"/>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c r="A127" s="238"/>
      <c r="B127" s="238"/>
      <c r="C127" s="238"/>
      <c r="D127" s="238"/>
      <c r="E127" s="337"/>
      <c r="F127" s="338"/>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c r="A128" s="238"/>
      <c r="B128" s="238"/>
      <c r="C128" s="238"/>
      <c r="D128" s="238"/>
      <c r="E128" s="337"/>
      <c r="F128" s="338"/>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c r="A129" s="238"/>
      <c r="B129" s="238"/>
      <c r="C129" s="238"/>
      <c r="D129" s="238"/>
      <c r="E129" s="337"/>
      <c r="F129" s="338"/>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c r="A130" s="238"/>
      <c r="B130" s="238"/>
      <c r="C130" s="238"/>
      <c r="D130" s="238"/>
      <c r="E130" s="337"/>
      <c r="F130" s="338"/>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c r="A131" s="238"/>
      <c r="B131" s="238"/>
      <c r="C131" s="238"/>
      <c r="D131" s="238"/>
      <c r="E131" s="337"/>
      <c r="F131" s="338"/>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c r="A132" s="238"/>
      <c r="B132" s="238"/>
      <c r="C132" s="238"/>
      <c r="D132" s="238"/>
      <c r="E132" s="337"/>
      <c r="F132" s="338"/>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c r="A133" s="238"/>
      <c r="B133" s="238"/>
      <c r="C133" s="238"/>
      <c r="D133" s="238"/>
      <c r="E133" s="337"/>
      <c r="F133" s="338"/>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c r="A134" s="238"/>
      <c r="B134" s="238"/>
      <c r="C134" s="238"/>
      <c r="D134" s="238"/>
      <c r="E134" s="337"/>
      <c r="F134" s="338"/>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c r="A135" s="238"/>
      <c r="B135" s="238"/>
      <c r="C135" s="238"/>
      <c r="D135" s="238"/>
      <c r="E135" s="337"/>
      <c r="F135" s="338"/>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c r="A136" s="238"/>
      <c r="B136" s="238"/>
      <c r="C136" s="238"/>
      <c r="D136" s="238"/>
      <c r="E136" s="337"/>
      <c r="F136" s="338"/>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c r="A137" s="238"/>
      <c r="B137" s="238"/>
      <c r="C137" s="238"/>
      <c r="D137" s="238"/>
      <c r="E137" s="337"/>
      <c r="F137" s="338"/>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c r="A138" s="238"/>
      <c r="B138" s="238"/>
      <c r="C138" s="238"/>
      <c r="D138" s="238"/>
      <c r="E138" s="337"/>
      <c r="F138" s="338"/>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c r="A139" s="238"/>
      <c r="B139" s="238"/>
      <c r="C139" s="238"/>
      <c r="D139" s="238"/>
      <c r="E139" s="337"/>
      <c r="F139" s="338"/>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c r="A140" s="238"/>
      <c r="B140" s="238"/>
      <c r="C140" s="238"/>
      <c r="D140" s="238"/>
      <c r="E140" s="337"/>
      <c r="F140" s="338"/>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c r="A141" s="238"/>
      <c r="B141" s="238"/>
      <c r="C141" s="238"/>
      <c r="D141" s="238"/>
      <c r="E141" s="337"/>
      <c r="F141" s="338"/>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c r="A142" s="238"/>
      <c r="B142" s="238"/>
      <c r="C142" s="238"/>
      <c r="D142" s="238"/>
      <c r="E142" s="337"/>
      <c r="F142" s="338"/>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c r="A143" s="238"/>
      <c r="B143" s="238"/>
      <c r="C143" s="238"/>
      <c r="D143" s="238"/>
      <c r="E143" s="337"/>
      <c r="F143" s="338"/>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c r="A144" s="238"/>
      <c r="B144" s="238"/>
      <c r="C144" s="238"/>
      <c r="D144" s="238"/>
      <c r="E144" s="337"/>
      <c r="F144" s="338"/>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c r="A145" s="238"/>
      <c r="B145" s="238"/>
      <c r="C145" s="238"/>
      <c r="D145" s="238"/>
      <c r="E145" s="337"/>
      <c r="F145" s="338"/>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c r="A146" s="238"/>
      <c r="B146" s="238"/>
      <c r="C146" s="238"/>
      <c r="D146" s="238"/>
      <c r="E146" s="337"/>
      <c r="F146" s="338"/>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c r="A147" s="238"/>
      <c r="B147" s="238"/>
      <c r="C147" s="238"/>
      <c r="D147" s="238"/>
      <c r="E147" s="337"/>
      <c r="F147" s="338"/>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c r="A148" s="238"/>
      <c r="B148" s="238"/>
      <c r="C148" s="238"/>
      <c r="D148" s="238"/>
      <c r="E148" s="337"/>
      <c r="F148" s="338"/>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c r="A149" s="238"/>
      <c r="B149" s="238"/>
      <c r="C149" s="238"/>
      <c r="D149" s="238"/>
      <c r="E149" s="337"/>
      <c r="F149" s="338"/>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c r="A150" s="238"/>
      <c r="B150" s="238"/>
      <c r="C150" s="238"/>
      <c r="D150" s="238"/>
      <c r="E150" s="337"/>
      <c r="F150" s="338"/>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c r="A151" s="238"/>
      <c r="B151" s="238"/>
      <c r="C151" s="238"/>
      <c r="D151" s="238"/>
      <c r="E151" s="337"/>
      <c r="F151" s="338"/>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c r="A152" s="238"/>
      <c r="B152" s="238"/>
      <c r="C152" s="238"/>
      <c r="D152" s="238"/>
      <c r="E152" s="337"/>
      <c r="F152" s="338"/>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c r="A153" s="238"/>
      <c r="B153" s="238"/>
      <c r="C153" s="238"/>
      <c r="D153" s="238"/>
      <c r="E153" s="337"/>
      <c r="F153" s="338"/>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c r="A154" s="238"/>
      <c r="B154" s="238"/>
      <c r="C154" s="238"/>
      <c r="D154" s="238"/>
      <c r="E154" s="337"/>
      <c r="F154" s="338"/>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c r="A155" s="238"/>
      <c r="B155" s="238"/>
      <c r="C155" s="238"/>
      <c r="D155" s="238"/>
      <c r="E155" s="337"/>
      <c r="F155" s="338"/>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c r="A156" s="238"/>
      <c r="B156" s="238"/>
      <c r="C156" s="238"/>
      <c r="D156" s="238"/>
      <c r="E156" s="337"/>
      <c r="F156" s="338"/>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c r="A157" s="238"/>
      <c r="B157" s="238"/>
      <c r="C157" s="238"/>
      <c r="D157" s="238"/>
      <c r="E157" s="337"/>
      <c r="F157" s="338"/>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c r="A158" s="238"/>
      <c r="B158" s="238"/>
      <c r="C158" s="238"/>
      <c r="D158" s="238"/>
      <c r="E158" s="337"/>
      <c r="F158" s="338"/>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c r="A159" s="238"/>
      <c r="B159" s="238"/>
      <c r="C159" s="238"/>
      <c r="D159" s="238"/>
      <c r="E159" s="337"/>
      <c r="F159" s="338"/>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c r="A160" s="238"/>
      <c r="B160" s="238"/>
      <c r="C160" s="238"/>
      <c r="D160" s="238"/>
      <c r="E160" s="337"/>
      <c r="F160" s="338"/>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c r="A161" s="238"/>
      <c r="B161" s="238"/>
      <c r="C161" s="238"/>
      <c r="D161" s="238"/>
      <c r="E161" s="337"/>
      <c r="F161" s="338"/>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c r="A162" s="238"/>
      <c r="B162" s="238"/>
      <c r="C162" s="238"/>
      <c r="D162" s="238"/>
      <c r="E162" s="337"/>
      <c r="F162" s="338"/>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c r="A163" s="238"/>
      <c r="B163" s="238"/>
      <c r="C163" s="238"/>
      <c r="D163" s="238"/>
      <c r="E163" s="337"/>
      <c r="F163" s="338"/>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c r="A164" s="238"/>
      <c r="B164" s="238"/>
      <c r="C164" s="238"/>
      <c r="D164" s="238"/>
      <c r="E164" s="337"/>
      <c r="F164" s="338"/>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c r="A165" s="238"/>
      <c r="B165" s="238"/>
      <c r="C165" s="238"/>
      <c r="D165" s="238"/>
      <c r="E165" s="337"/>
      <c r="F165" s="338"/>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c r="A166" s="238"/>
      <c r="B166" s="238"/>
      <c r="C166" s="238"/>
      <c r="D166" s="238"/>
      <c r="E166" s="337"/>
      <c r="F166" s="338"/>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c r="A167" s="238"/>
      <c r="B167" s="238"/>
      <c r="C167" s="238"/>
      <c r="D167" s="238"/>
      <c r="E167" s="337"/>
      <c r="F167" s="338"/>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c r="A168" s="238"/>
      <c r="B168" s="238"/>
      <c r="C168" s="238"/>
      <c r="D168" s="238"/>
      <c r="E168" s="337"/>
      <c r="F168" s="338"/>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c r="A169" s="238"/>
      <c r="B169" s="238"/>
      <c r="C169" s="238"/>
      <c r="D169" s="238"/>
      <c r="E169" s="337"/>
      <c r="F169" s="338"/>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c r="A170" s="238"/>
      <c r="B170" s="238"/>
      <c r="C170" s="238"/>
      <c r="D170" s="238"/>
      <c r="E170" s="337"/>
      <c r="F170" s="338"/>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c r="A171" s="238"/>
      <c r="B171" s="238"/>
      <c r="C171" s="238"/>
      <c r="D171" s="238"/>
      <c r="E171" s="337"/>
      <c r="F171" s="338"/>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c r="A172" s="238"/>
      <c r="B172" s="238"/>
      <c r="C172" s="238"/>
      <c r="D172" s="238"/>
      <c r="E172" s="337"/>
      <c r="F172" s="338"/>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c r="A173" s="238"/>
      <c r="B173" s="238"/>
      <c r="C173" s="238"/>
      <c r="D173" s="238"/>
      <c r="E173" s="337"/>
      <c r="F173" s="338"/>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c r="A174" s="238"/>
      <c r="B174" s="238"/>
      <c r="C174" s="238"/>
      <c r="D174" s="238"/>
      <c r="E174" s="337"/>
      <c r="F174" s="338"/>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c r="A175" s="238"/>
      <c r="B175" s="238"/>
      <c r="C175" s="238"/>
      <c r="D175" s="238"/>
      <c r="E175" s="337"/>
      <c r="F175" s="338"/>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c r="A176" s="238"/>
      <c r="B176" s="238"/>
      <c r="C176" s="238"/>
      <c r="D176" s="238"/>
      <c r="E176" s="337"/>
      <c r="F176" s="338"/>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c r="A177" s="238"/>
      <c r="B177" s="238"/>
      <c r="C177" s="238"/>
      <c r="D177" s="238"/>
      <c r="E177" s="337"/>
      <c r="F177" s="338"/>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c r="A178" s="238"/>
      <c r="B178" s="238"/>
      <c r="C178" s="238"/>
      <c r="D178" s="238"/>
      <c r="E178" s="337"/>
      <c r="F178" s="338"/>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c r="A179" s="238"/>
      <c r="B179" s="238"/>
      <c r="C179" s="238"/>
      <c r="D179" s="238"/>
      <c r="E179" s="337"/>
      <c r="F179" s="338"/>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c r="A180" s="238"/>
      <c r="B180" s="238"/>
      <c r="C180" s="238"/>
      <c r="D180" s="238"/>
      <c r="E180" s="337"/>
      <c r="F180" s="338"/>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c r="A181" s="238"/>
      <c r="B181" s="238"/>
      <c r="C181" s="238"/>
      <c r="D181" s="238"/>
      <c r="E181" s="337"/>
      <c r="F181" s="338"/>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c r="A182" s="238"/>
      <c r="B182" s="238"/>
      <c r="C182" s="238"/>
      <c r="D182" s="238"/>
      <c r="E182" s="337"/>
      <c r="F182" s="338"/>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c r="A183" s="238"/>
      <c r="B183" s="238"/>
      <c r="C183" s="238"/>
      <c r="D183" s="238"/>
      <c r="E183" s="337"/>
      <c r="F183" s="338"/>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c r="A184" s="238"/>
      <c r="B184" s="238"/>
      <c r="C184" s="238"/>
      <c r="D184" s="238"/>
      <c r="E184" s="337"/>
      <c r="F184" s="338"/>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c r="A185" s="238"/>
      <c r="B185" s="238"/>
      <c r="C185" s="238"/>
      <c r="D185" s="238"/>
      <c r="E185" s="337"/>
      <c r="F185" s="338"/>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c r="A186" s="238"/>
      <c r="B186" s="238"/>
      <c r="C186" s="238"/>
      <c r="D186" s="238"/>
      <c r="E186" s="337"/>
      <c r="F186" s="338"/>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c r="A187" s="238"/>
      <c r="B187" s="238"/>
      <c r="C187" s="238"/>
      <c r="D187" s="238"/>
      <c r="E187" s="337"/>
      <c r="F187" s="338"/>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c r="A188" s="238"/>
      <c r="B188" s="238"/>
      <c r="C188" s="238"/>
      <c r="D188" s="238"/>
      <c r="E188" s="337"/>
      <c r="F188" s="338"/>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c r="A189" s="238"/>
      <c r="B189" s="238"/>
      <c r="C189" s="238"/>
      <c r="D189" s="238"/>
      <c r="E189" s="337"/>
      <c r="F189" s="338"/>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c r="A190" s="238"/>
      <c r="B190" s="238"/>
      <c r="C190" s="238"/>
      <c r="D190" s="238"/>
      <c r="E190" s="337"/>
      <c r="F190" s="338"/>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c r="A191" s="238"/>
      <c r="B191" s="238"/>
      <c r="C191" s="238"/>
      <c r="D191" s="238"/>
      <c r="E191" s="337"/>
      <c r="F191" s="338"/>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c r="A192" s="238"/>
      <c r="B192" s="238"/>
      <c r="C192" s="238"/>
      <c r="D192" s="238"/>
      <c r="E192" s="337"/>
      <c r="F192" s="338"/>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c r="A193" s="238"/>
      <c r="B193" s="238"/>
      <c r="C193" s="238"/>
      <c r="D193" s="238"/>
      <c r="E193" s="337"/>
      <c r="F193" s="338"/>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c r="A194" s="238"/>
      <c r="B194" s="238"/>
      <c r="C194" s="238"/>
      <c r="D194" s="238"/>
      <c r="E194" s="337"/>
      <c r="F194" s="338"/>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c r="A195" s="238"/>
      <c r="B195" s="238"/>
      <c r="C195" s="238"/>
      <c r="D195" s="238"/>
      <c r="E195" s="337"/>
      <c r="F195" s="338"/>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c r="A196" s="238"/>
      <c r="B196" s="238"/>
      <c r="C196" s="238"/>
      <c r="D196" s="238"/>
      <c r="E196" s="337"/>
      <c r="F196" s="338"/>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c r="A197" s="238"/>
      <c r="B197" s="238"/>
      <c r="C197" s="238"/>
      <c r="D197" s="238"/>
      <c r="E197" s="337"/>
      <c r="F197" s="338"/>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c r="A198" s="238"/>
      <c r="B198" s="238"/>
      <c r="C198" s="238"/>
      <c r="D198" s="238"/>
      <c r="E198" s="337"/>
      <c r="F198" s="338"/>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c r="A199" s="238"/>
      <c r="B199" s="238"/>
      <c r="C199" s="238"/>
      <c r="D199" s="238"/>
      <c r="E199" s="337"/>
      <c r="F199" s="338"/>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c r="A200" s="238"/>
      <c r="B200" s="238"/>
      <c r="C200" s="238"/>
      <c r="D200" s="238"/>
      <c r="E200" s="337"/>
      <c r="F200" s="338"/>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c r="A201" s="238"/>
      <c r="B201" s="238"/>
      <c r="C201" s="238"/>
      <c r="D201" s="238"/>
      <c r="E201" s="337"/>
      <c r="F201" s="338"/>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c r="A202" s="238"/>
      <c r="B202" s="238"/>
      <c r="C202" s="238"/>
      <c r="D202" s="238"/>
      <c r="E202" s="337"/>
      <c r="F202" s="338"/>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c r="A203" s="238"/>
      <c r="B203" s="238"/>
      <c r="C203" s="238"/>
      <c r="D203" s="238"/>
      <c r="E203" s="337"/>
      <c r="F203" s="338"/>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c r="A204" s="238"/>
      <c r="B204" s="238"/>
      <c r="C204" s="238"/>
      <c r="D204" s="238"/>
      <c r="E204" s="337"/>
      <c r="F204" s="338"/>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c r="A205" s="238"/>
      <c r="B205" s="238"/>
      <c r="C205" s="238"/>
      <c r="D205" s="238"/>
      <c r="E205" s="337"/>
      <c r="F205" s="338"/>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c r="A206" s="238"/>
      <c r="B206" s="238"/>
      <c r="C206" s="238"/>
      <c r="D206" s="238"/>
      <c r="E206" s="337"/>
      <c r="F206" s="338"/>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c r="A207" s="238"/>
      <c r="B207" s="238"/>
      <c r="C207" s="238"/>
      <c r="D207" s="238"/>
      <c r="E207" s="337"/>
      <c r="F207" s="338"/>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c r="A208" s="238"/>
      <c r="B208" s="238"/>
      <c r="C208" s="238"/>
      <c r="D208" s="238"/>
      <c r="E208" s="337"/>
      <c r="F208" s="338"/>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c r="A209" s="238"/>
      <c r="B209" s="238"/>
      <c r="C209" s="238"/>
      <c r="D209" s="238"/>
      <c r="E209" s="337"/>
      <c r="F209" s="338"/>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c r="A210" s="238"/>
      <c r="B210" s="238"/>
      <c r="C210" s="238"/>
      <c r="D210" s="238"/>
      <c r="E210" s="337"/>
      <c r="F210" s="338"/>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c r="A211" s="238"/>
      <c r="B211" s="238"/>
      <c r="C211" s="238"/>
      <c r="D211" s="238"/>
      <c r="E211" s="337"/>
      <c r="F211" s="338"/>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c r="A212" s="238"/>
      <c r="B212" s="238"/>
      <c r="C212" s="238"/>
      <c r="D212" s="238"/>
      <c r="E212" s="337"/>
      <c r="F212" s="338"/>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c r="A213" s="238"/>
      <c r="B213" s="238"/>
      <c r="C213" s="238"/>
      <c r="D213" s="238"/>
      <c r="E213" s="337"/>
      <c r="F213" s="338"/>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c r="A214" s="238"/>
      <c r="B214" s="238"/>
      <c r="C214" s="238"/>
      <c r="D214" s="238"/>
      <c r="E214" s="337"/>
      <c r="F214" s="338"/>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c r="A215" s="238"/>
      <c r="B215" s="238"/>
      <c r="C215" s="238"/>
      <c r="D215" s="238"/>
      <c r="E215" s="337"/>
      <c r="F215" s="338"/>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c r="A216" s="238"/>
      <c r="B216" s="238"/>
      <c r="C216" s="238"/>
      <c r="D216" s="238"/>
      <c r="E216" s="337"/>
      <c r="F216" s="338"/>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c r="A217" s="238"/>
      <c r="B217" s="238"/>
      <c r="C217" s="238"/>
      <c r="D217" s="238"/>
      <c r="E217" s="337"/>
      <c r="F217" s="338"/>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c r="A218" s="238"/>
      <c r="B218" s="238"/>
      <c r="C218" s="238"/>
      <c r="D218" s="238"/>
      <c r="E218" s="337"/>
      <c r="F218" s="338"/>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c r="A219" s="238"/>
      <c r="B219" s="238"/>
      <c r="C219" s="238"/>
      <c r="D219" s="238"/>
      <c r="E219" s="337"/>
      <c r="F219" s="338"/>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c r="A220" s="238"/>
      <c r="B220" s="238"/>
      <c r="C220" s="238"/>
      <c r="D220" s="238"/>
      <c r="E220" s="337"/>
      <c r="F220" s="338"/>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c r="A221" s="238"/>
      <c r="B221" s="238"/>
      <c r="C221" s="238"/>
      <c r="D221" s="238"/>
      <c r="E221" s="337"/>
      <c r="F221" s="338"/>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c r="A222" s="238"/>
      <c r="B222" s="238"/>
      <c r="C222" s="238"/>
      <c r="D222" s="238"/>
      <c r="E222" s="337"/>
      <c r="F222" s="338"/>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c r="A223" s="238"/>
      <c r="B223" s="238"/>
      <c r="C223" s="238"/>
      <c r="D223" s="238"/>
      <c r="E223" s="337"/>
      <c r="F223" s="338"/>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c r="A224" s="238"/>
      <c r="B224" s="238"/>
      <c r="C224" s="238"/>
      <c r="D224" s="238"/>
      <c r="E224" s="337"/>
      <c r="F224" s="338"/>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c r="A225" s="238"/>
      <c r="B225" s="238"/>
      <c r="C225" s="238"/>
      <c r="D225" s="238"/>
      <c r="E225" s="337"/>
      <c r="F225" s="338"/>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c r="A226" s="238"/>
      <c r="B226" s="238"/>
      <c r="C226" s="238"/>
      <c r="D226" s="238"/>
      <c r="E226" s="337"/>
      <c r="F226" s="338"/>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c r="A227" s="238"/>
      <c r="B227" s="238"/>
      <c r="C227" s="238"/>
      <c r="D227" s="238"/>
      <c r="E227" s="337"/>
      <c r="F227" s="338"/>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c r="A228" s="238"/>
      <c r="B228" s="238"/>
      <c r="C228" s="238"/>
      <c r="D228" s="238"/>
      <c r="E228" s="337"/>
      <c r="F228" s="338"/>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c r="A229" s="238"/>
      <c r="B229" s="238"/>
      <c r="C229" s="238"/>
      <c r="D229" s="238"/>
      <c r="E229" s="337"/>
      <c r="F229" s="338"/>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c r="A230" s="238"/>
      <c r="B230" s="238"/>
      <c r="C230" s="238"/>
      <c r="D230" s="238"/>
      <c r="E230" s="337"/>
      <c r="F230" s="338"/>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c r="A231" s="238"/>
      <c r="B231" s="238"/>
      <c r="C231" s="238"/>
      <c r="D231" s="238"/>
      <c r="E231" s="337"/>
      <c r="F231" s="338"/>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c r="A232" s="238"/>
      <c r="B232" s="238"/>
      <c r="C232" s="238"/>
      <c r="D232" s="238"/>
      <c r="E232" s="337"/>
      <c r="F232" s="338"/>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c r="A233" s="238"/>
      <c r="B233" s="238"/>
      <c r="C233" s="238"/>
      <c r="D233" s="238"/>
      <c r="E233" s="337"/>
      <c r="F233" s="338"/>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c r="A234" s="238"/>
      <c r="B234" s="238"/>
      <c r="C234" s="238"/>
      <c r="D234" s="238"/>
      <c r="E234" s="337"/>
      <c r="F234" s="338"/>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c r="A235" s="238"/>
      <c r="B235" s="238"/>
      <c r="C235" s="238"/>
      <c r="D235" s="238"/>
      <c r="E235" s="337"/>
      <c r="F235" s="338"/>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c r="A236" s="238"/>
      <c r="B236" s="238"/>
      <c r="C236" s="238"/>
      <c r="D236" s="238"/>
      <c r="E236" s="337"/>
      <c r="F236" s="338"/>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c r="A237" s="238"/>
      <c r="B237" s="238"/>
      <c r="C237" s="238"/>
      <c r="D237" s="238"/>
      <c r="E237" s="337"/>
      <c r="F237" s="338"/>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c r="A238" s="238"/>
      <c r="B238" s="238"/>
      <c r="C238" s="238"/>
      <c r="D238" s="238"/>
      <c r="E238" s="337"/>
      <c r="F238" s="338"/>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c r="A239" s="238"/>
      <c r="B239" s="238"/>
      <c r="C239" s="238"/>
      <c r="D239" s="238"/>
      <c r="E239" s="337"/>
      <c r="F239" s="338"/>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c r="A240" s="238"/>
      <c r="B240" s="238"/>
      <c r="C240" s="238"/>
      <c r="D240" s="238"/>
      <c r="E240" s="337"/>
      <c r="F240" s="338"/>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c r="A241" s="238"/>
      <c r="B241" s="238"/>
      <c r="C241" s="238"/>
      <c r="D241" s="238"/>
      <c r="E241" s="337"/>
      <c r="F241" s="338"/>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c r="A242" s="238"/>
      <c r="B242" s="238"/>
      <c r="C242" s="238"/>
      <c r="D242" s="238"/>
      <c r="E242" s="337"/>
      <c r="F242" s="338"/>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c r="A243" s="238"/>
      <c r="B243" s="238"/>
      <c r="C243" s="238"/>
      <c r="D243" s="238"/>
      <c r="E243" s="337"/>
      <c r="F243" s="338"/>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c r="A244" s="238"/>
      <c r="B244" s="238"/>
      <c r="C244" s="238"/>
      <c r="D244" s="238"/>
      <c r="E244" s="337"/>
      <c r="F244" s="338"/>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c r="A245" s="238"/>
      <c r="B245" s="238"/>
      <c r="C245" s="238"/>
      <c r="D245" s="238"/>
      <c r="E245" s="337"/>
      <c r="F245" s="338"/>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c r="A246" s="238"/>
      <c r="B246" s="238"/>
      <c r="C246" s="238"/>
      <c r="D246" s="238"/>
      <c r="E246" s="337"/>
      <c r="F246" s="338"/>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c r="A247" s="238"/>
      <c r="B247" s="238"/>
      <c r="C247" s="238"/>
      <c r="D247" s="238"/>
      <c r="E247" s="337"/>
      <c r="F247" s="338"/>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c r="A248" s="238"/>
      <c r="B248" s="238"/>
      <c r="C248" s="238"/>
      <c r="D248" s="238"/>
      <c r="E248" s="337"/>
      <c r="F248" s="338"/>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c r="A249" s="238"/>
      <c r="B249" s="238"/>
      <c r="C249" s="238"/>
      <c r="D249" s="238"/>
      <c r="E249" s="337"/>
      <c r="F249" s="338"/>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c r="A250" s="238"/>
      <c r="B250" s="238"/>
      <c r="C250" s="238"/>
      <c r="D250" s="238"/>
      <c r="E250" s="337"/>
      <c r="F250" s="338"/>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c r="A251" s="238"/>
      <c r="B251" s="238"/>
      <c r="C251" s="238"/>
      <c r="D251" s="238"/>
      <c r="E251" s="337"/>
      <c r="F251" s="338"/>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c r="A252" s="238"/>
      <c r="B252" s="238"/>
      <c r="C252" s="238"/>
      <c r="D252" s="238"/>
      <c r="E252" s="337"/>
      <c r="F252" s="338"/>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c r="A253" s="238"/>
      <c r="B253" s="238"/>
      <c r="C253" s="238"/>
      <c r="D253" s="238"/>
      <c r="E253" s="337"/>
      <c r="F253" s="338"/>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c r="A254" s="238"/>
      <c r="B254" s="238"/>
      <c r="C254" s="238"/>
      <c r="D254" s="238"/>
      <c r="E254" s="337"/>
      <c r="F254" s="338"/>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c r="A255" s="238"/>
      <c r="B255" s="238"/>
      <c r="C255" s="238"/>
      <c r="D255" s="238"/>
      <c r="E255" s="337"/>
      <c r="F255" s="338"/>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c r="A256" s="238"/>
      <c r="B256" s="238"/>
      <c r="C256" s="238"/>
      <c r="D256" s="238"/>
      <c r="E256" s="337"/>
      <c r="F256" s="338"/>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c r="A257" s="238"/>
      <c r="B257" s="238"/>
      <c r="C257" s="238"/>
      <c r="D257" s="238"/>
      <c r="E257" s="337"/>
      <c r="F257" s="338"/>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c r="A258" s="238"/>
      <c r="B258" s="238"/>
      <c r="C258" s="238"/>
      <c r="D258" s="238"/>
      <c r="E258" s="337"/>
      <c r="F258" s="338"/>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c r="A259" s="238"/>
      <c r="B259" s="238"/>
      <c r="C259" s="238"/>
      <c r="D259" s="238"/>
      <c r="E259" s="337"/>
      <c r="F259" s="338"/>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c r="A260" s="238"/>
      <c r="B260" s="238"/>
      <c r="C260" s="238"/>
      <c r="D260" s="238"/>
      <c r="E260" s="337"/>
      <c r="F260" s="338"/>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c r="A261" s="238"/>
      <c r="B261" s="238"/>
      <c r="C261" s="238"/>
      <c r="D261" s="238"/>
      <c r="E261" s="337"/>
      <c r="F261" s="338"/>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c r="A262" s="238"/>
      <c r="B262" s="238"/>
      <c r="C262" s="238"/>
      <c r="D262" s="238"/>
      <c r="E262" s="337"/>
      <c r="F262" s="338"/>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c r="A263" s="238"/>
      <c r="B263" s="238"/>
      <c r="C263" s="238"/>
      <c r="D263" s="238"/>
      <c r="E263" s="337"/>
      <c r="F263" s="338"/>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c r="A264" s="238"/>
      <c r="B264" s="238"/>
      <c r="C264" s="238"/>
      <c r="D264" s="238"/>
      <c r="E264" s="337"/>
      <c r="F264" s="338"/>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c r="A265" s="238"/>
      <c r="B265" s="238"/>
      <c r="C265" s="238"/>
      <c r="D265" s="238"/>
      <c r="E265" s="337"/>
      <c r="F265" s="338"/>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c r="A266" s="238"/>
      <c r="B266" s="238"/>
      <c r="C266" s="238"/>
      <c r="D266" s="238"/>
      <c r="E266" s="337"/>
      <c r="F266" s="338"/>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c r="A267" s="238"/>
      <c r="B267" s="238"/>
      <c r="C267" s="238"/>
      <c r="D267" s="238"/>
      <c r="E267" s="337"/>
      <c r="F267" s="338"/>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c r="A268" s="238"/>
      <c r="B268" s="238"/>
      <c r="C268" s="238"/>
      <c r="D268" s="238"/>
      <c r="E268" s="337"/>
      <c r="F268" s="338"/>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c r="A269" s="238"/>
      <c r="B269" s="238"/>
      <c r="C269" s="238"/>
      <c r="D269" s="238"/>
      <c r="E269" s="337"/>
      <c r="F269" s="338"/>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c r="A270" s="238"/>
      <c r="B270" s="238"/>
      <c r="C270" s="238"/>
      <c r="D270" s="238"/>
      <c r="E270" s="337"/>
      <c r="F270" s="338"/>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c r="A271" s="238"/>
      <c r="B271" s="238"/>
      <c r="C271" s="238"/>
      <c r="D271" s="238"/>
      <c r="E271" s="337"/>
      <c r="F271" s="338"/>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c r="A272" s="238"/>
      <c r="B272" s="238"/>
      <c r="C272" s="238"/>
      <c r="D272" s="238"/>
      <c r="E272" s="337"/>
      <c r="F272" s="338"/>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c r="A273" s="238"/>
      <c r="B273" s="238"/>
      <c r="C273" s="238"/>
      <c r="D273" s="238"/>
      <c r="E273" s="337"/>
      <c r="F273" s="338"/>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c r="A274" s="238"/>
      <c r="B274" s="238"/>
      <c r="C274" s="238"/>
      <c r="D274" s="238"/>
      <c r="E274" s="337"/>
      <c r="F274" s="338"/>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c r="A275" s="238"/>
      <c r="B275" s="238"/>
      <c r="C275" s="238"/>
      <c r="D275" s="238"/>
      <c r="E275" s="337"/>
      <c r="F275" s="338"/>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c r="A276" s="238"/>
      <c r="B276" s="238"/>
      <c r="C276" s="238"/>
      <c r="D276" s="238"/>
      <c r="E276" s="337"/>
      <c r="F276" s="338"/>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c r="A277" s="238"/>
      <c r="B277" s="238"/>
      <c r="C277" s="238"/>
      <c r="D277" s="238"/>
      <c r="E277" s="337"/>
      <c r="F277" s="338"/>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c r="A278" s="238"/>
      <c r="B278" s="238"/>
      <c r="C278" s="238"/>
      <c r="D278" s="238"/>
      <c r="E278" s="337"/>
      <c r="F278" s="338"/>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c r="A279" s="238"/>
      <c r="B279" s="238"/>
      <c r="C279" s="238"/>
      <c r="D279" s="238"/>
      <c r="E279" s="337"/>
      <c r="F279" s="338"/>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c r="A280" s="238"/>
      <c r="B280" s="238"/>
      <c r="C280" s="238"/>
      <c r="D280" s="238"/>
      <c r="E280" s="337"/>
      <c r="F280" s="338"/>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c r="A281" s="238"/>
      <c r="B281" s="238"/>
      <c r="C281" s="238"/>
      <c r="D281" s="238"/>
      <c r="E281" s="337"/>
      <c r="F281" s="338"/>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c r="A282" s="238"/>
      <c r="B282" s="238"/>
      <c r="C282" s="238"/>
      <c r="D282" s="238"/>
      <c r="E282" s="337"/>
      <c r="F282" s="338"/>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c r="A283" s="238"/>
      <c r="B283" s="238"/>
      <c r="C283" s="238"/>
      <c r="D283" s="238"/>
      <c r="E283" s="337"/>
      <c r="F283" s="338"/>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c r="A284" s="238"/>
      <c r="B284" s="238"/>
      <c r="C284" s="238"/>
      <c r="D284" s="238"/>
      <c r="E284" s="337"/>
      <c r="F284" s="338"/>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c r="A285" s="238"/>
      <c r="B285" s="238"/>
      <c r="C285" s="238"/>
      <c r="D285" s="238"/>
      <c r="E285" s="337"/>
      <c r="F285" s="338"/>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c r="A286" s="238"/>
      <c r="B286" s="238"/>
      <c r="C286" s="238"/>
      <c r="D286" s="238"/>
      <c r="E286" s="337"/>
      <c r="F286" s="338"/>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c r="A287" s="238"/>
      <c r="B287" s="238"/>
      <c r="C287" s="238"/>
      <c r="D287" s="238"/>
      <c r="E287" s="337"/>
      <c r="F287" s="338"/>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c r="A288" s="238"/>
      <c r="B288" s="238"/>
      <c r="C288" s="238"/>
      <c r="D288" s="238"/>
      <c r="E288" s="337"/>
      <c r="F288" s="338"/>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c r="A289" s="238"/>
      <c r="B289" s="238"/>
      <c r="C289" s="238"/>
      <c r="D289" s="238"/>
      <c r="E289" s="337"/>
      <c r="F289" s="338"/>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c r="A290" s="238"/>
      <c r="B290" s="238"/>
      <c r="C290" s="238"/>
      <c r="D290" s="238"/>
      <c r="E290" s="337"/>
      <c r="F290" s="338"/>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c r="A291" s="238"/>
      <c r="B291" s="238"/>
      <c r="C291" s="238"/>
      <c r="D291" s="238"/>
      <c r="E291" s="337"/>
      <c r="F291" s="338"/>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c r="A292" s="238"/>
      <c r="B292" s="238"/>
      <c r="C292" s="238"/>
      <c r="D292" s="238"/>
      <c r="E292" s="337"/>
      <c r="F292" s="338"/>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c r="A293" s="238"/>
      <c r="B293" s="238"/>
      <c r="C293" s="238"/>
      <c r="D293" s="238"/>
      <c r="E293" s="337"/>
      <c r="F293" s="338"/>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c r="A294" s="238"/>
      <c r="B294" s="238"/>
      <c r="C294" s="238"/>
      <c r="D294" s="238"/>
      <c r="E294" s="337"/>
      <c r="F294" s="338"/>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c r="A295" s="238"/>
      <c r="B295" s="238"/>
      <c r="C295" s="238"/>
      <c r="D295" s="238"/>
      <c r="E295" s="337"/>
      <c r="F295" s="338"/>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c r="A296" s="238"/>
      <c r="B296" s="238"/>
      <c r="C296" s="238"/>
      <c r="D296" s="238"/>
      <c r="E296" s="337"/>
      <c r="F296" s="338"/>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c r="A297" s="238"/>
      <c r="B297" s="238"/>
      <c r="C297" s="238"/>
      <c r="D297" s="238"/>
      <c r="E297" s="337"/>
      <c r="F297" s="338"/>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c r="A298" s="238"/>
      <c r="B298" s="238"/>
      <c r="C298" s="238"/>
      <c r="D298" s="238"/>
      <c r="E298" s="337"/>
      <c r="F298" s="338"/>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c r="A299" s="238"/>
      <c r="B299" s="238"/>
      <c r="C299" s="238"/>
      <c r="D299" s="238"/>
      <c r="E299" s="337"/>
      <c r="F299" s="338"/>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c r="A300" s="238"/>
      <c r="B300" s="238"/>
      <c r="C300" s="238"/>
      <c r="D300" s="238"/>
      <c r="E300" s="337"/>
      <c r="F300" s="338"/>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c r="A301" s="238"/>
      <c r="B301" s="238"/>
      <c r="C301" s="238"/>
      <c r="D301" s="238"/>
      <c r="E301" s="337"/>
      <c r="F301" s="338"/>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c r="A302" s="238"/>
      <c r="B302" s="238"/>
      <c r="C302" s="238"/>
      <c r="D302" s="238"/>
      <c r="E302" s="337"/>
      <c r="F302" s="338"/>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c r="A303" s="238"/>
      <c r="B303" s="238"/>
      <c r="C303" s="238"/>
      <c r="D303" s="238"/>
      <c r="E303" s="337"/>
      <c r="F303" s="338"/>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c r="A304" s="238"/>
      <c r="B304" s="238"/>
      <c r="C304" s="238"/>
      <c r="D304" s="238"/>
      <c r="E304" s="337"/>
      <c r="F304" s="338"/>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c r="A305" s="238"/>
      <c r="B305" s="238"/>
      <c r="C305" s="238"/>
      <c r="D305" s="238"/>
      <c r="E305" s="337"/>
      <c r="F305" s="338"/>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c r="A306" s="238"/>
      <c r="B306" s="238"/>
      <c r="C306" s="238"/>
      <c r="D306" s="238"/>
      <c r="E306" s="337"/>
      <c r="F306" s="338"/>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c r="A307" s="238"/>
      <c r="B307" s="238"/>
      <c r="C307" s="238"/>
      <c r="D307" s="238"/>
      <c r="E307" s="337"/>
      <c r="F307" s="338"/>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c r="A308" s="238"/>
      <c r="B308" s="238"/>
      <c r="C308" s="238"/>
      <c r="D308" s="238"/>
      <c r="E308" s="337"/>
      <c r="F308" s="338"/>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c r="A309" s="238"/>
      <c r="B309" s="238"/>
      <c r="C309" s="238"/>
      <c r="D309" s="238"/>
      <c r="E309" s="337"/>
      <c r="F309" s="338"/>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c r="A310" s="238"/>
      <c r="B310" s="238"/>
      <c r="C310" s="238"/>
      <c r="D310" s="238"/>
      <c r="E310" s="337"/>
      <c r="F310" s="338"/>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c r="A311" s="238"/>
      <c r="B311" s="238"/>
      <c r="C311" s="238"/>
      <c r="D311" s="238"/>
      <c r="E311" s="337"/>
      <c r="F311" s="338"/>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c r="A312" s="238"/>
      <c r="B312" s="238"/>
      <c r="C312" s="238"/>
      <c r="D312" s="238"/>
      <c r="E312" s="337"/>
      <c r="F312" s="338"/>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c r="A313" s="238"/>
      <c r="B313" s="238"/>
      <c r="C313" s="238"/>
      <c r="D313" s="238"/>
      <c r="E313" s="337"/>
      <c r="F313" s="338"/>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c r="A314" s="238"/>
      <c r="B314" s="238"/>
      <c r="C314" s="238"/>
      <c r="D314" s="238"/>
      <c r="E314" s="337"/>
      <c r="F314" s="338"/>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c r="A315" s="238"/>
      <c r="B315" s="238"/>
      <c r="C315" s="238"/>
      <c r="D315" s="238"/>
      <c r="E315" s="337"/>
      <c r="F315" s="338"/>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c r="A316" s="238"/>
      <c r="B316" s="238"/>
      <c r="C316" s="238"/>
      <c r="D316" s="238"/>
      <c r="E316" s="337"/>
      <c r="F316" s="338"/>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c r="A317" s="238"/>
      <c r="B317" s="238"/>
      <c r="C317" s="238"/>
      <c r="D317" s="238"/>
      <c r="E317" s="337"/>
      <c r="F317" s="338"/>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c r="A318" s="238"/>
      <c r="B318" s="238"/>
      <c r="C318" s="238"/>
      <c r="D318" s="238"/>
      <c r="E318" s="337"/>
      <c r="F318" s="338"/>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c r="A319" s="238"/>
      <c r="B319" s="238"/>
      <c r="C319" s="238"/>
      <c r="D319" s="238"/>
      <c r="E319" s="337"/>
      <c r="F319" s="338"/>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c r="A320" s="238"/>
      <c r="B320" s="238"/>
      <c r="C320" s="238"/>
      <c r="D320" s="238"/>
      <c r="E320" s="337"/>
      <c r="F320" s="338"/>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c r="A321" s="238"/>
      <c r="B321" s="238"/>
      <c r="C321" s="238"/>
      <c r="D321" s="238"/>
      <c r="E321" s="337"/>
      <c r="F321" s="338"/>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c r="A322" s="238"/>
      <c r="B322" s="238"/>
      <c r="C322" s="238"/>
      <c r="D322" s="238"/>
      <c r="E322" s="337"/>
      <c r="F322" s="338"/>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c r="A323" s="238"/>
      <c r="B323" s="238"/>
      <c r="C323" s="238"/>
      <c r="D323" s="238"/>
      <c r="E323" s="337"/>
      <c r="F323" s="338"/>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c r="A324" s="238"/>
      <c r="B324" s="238"/>
      <c r="C324" s="238"/>
      <c r="D324" s="238"/>
      <c r="E324" s="337"/>
      <c r="F324" s="338"/>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c r="A325" s="238"/>
      <c r="B325" s="238"/>
      <c r="C325" s="238"/>
      <c r="D325" s="238"/>
      <c r="E325" s="337"/>
      <c r="F325" s="338"/>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c r="A326" s="238"/>
      <c r="B326" s="238"/>
      <c r="C326" s="238"/>
      <c r="D326" s="238"/>
      <c r="E326" s="337"/>
      <c r="F326" s="338"/>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c r="A327" s="238"/>
      <c r="B327" s="238"/>
      <c r="C327" s="238"/>
      <c r="D327" s="238"/>
      <c r="E327" s="337"/>
      <c r="F327" s="338"/>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c r="A328" s="238"/>
      <c r="B328" s="238"/>
      <c r="C328" s="238"/>
      <c r="D328" s="238"/>
      <c r="E328" s="337"/>
      <c r="F328" s="338"/>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c r="A329" s="238"/>
      <c r="B329" s="238"/>
      <c r="C329" s="238"/>
      <c r="D329" s="238"/>
      <c r="E329" s="337"/>
      <c r="F329" s="338"/>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c r="A330" s="238"/>
      <c r="B330" s="238"/>
      <c r="C330" s="238"/>
      <c r="D330" s="238"/>
      <c r="E330" s="337"/>
      <c r="F330" s="338"/>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c r="A331" s="238"/>
      <c r="B331" s="238"/>
      <c r="C331" s="238"/>
      <c r="D331" s="238"/>
      <c r="E331" s="337"/>
      <c r="F331" s="338"/>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c r="A332" s="238"/>
      <c r="B332" s="238"/>
      <c r="C332" s="238"/>
      <c r="D332" s="238"/>
      <c r="E332" s="337"/>
      <c r="F332" s="338"/>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c r="A333" s="238"/>
      <c r="B333" s="238"/>
      <c r="C333" s="238"/>
      <c r="D333" s="238"/>
      <c r="E333" s="337"/>
      <c r="F333" s="338"/>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c r="A334" s="238"/>
      <c r="B334" s="238"/>
      <c r="C334" s="238"/>
      <c r="D334" s="238"/>
      <c r="E334" s="337"/>
      <c r="F334" s="338"/>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c r="A335" s="238"/>
      <c r="B335" s="238"/>
      <c r="C335" s="238"/>
      <c r="D335" s="238"/>
      <c r="E335" s="337"/>
      <c r="F335" s="338"/>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c r="A336" s="238"/>
      <c r="B336" s="238"/>
      <c r="C336" s="238"/>
      <c r="D336" s="238"/>
      <c r="E336" s="337"/>
      <c r="F336" s="338"/>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c r="A337" s="238"/>
      <c r="B337" s="238"/>
      <c r="C337" s="238"/>
      <c r="D337" s="238"/>
      <c r="E337" s="337"/>
      <c r="F337" s="338"/>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c r="A338" s="238"/>
      <c r="B338" s="238"/>
      <c r="C338" s="238"/>
      <c r="D338" s="238"/>
      <c r="E338" s="337"/>
      <c r="F338" s="338"/>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c r="A339" s="238"/>
      <c r="B339" s="238"/>
      <c r="C339" s="238"/>
      <c r="D339" s="238"/>
      <c r="E339" s="337"/>
      <c r="F339" s="338"/>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c r="A340" s="238"/>
      <c r="B340" s="238"/>
      <c r="C340" s="238"/>
      <c r="D340" s="238"/>
      <c r="E340" s="337"/>
      <c r="F340" s="338"/>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c r="A341" s="238"/>
      <c r="B341" s="238"/>
      <c r="C341" s="238"/>
      <c r="D341" s="238"/>
      <c r="E341" s="337"/>
      <c r="F341" s="338"/>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c r="A342" s="238"/>
      <c r="B342" s="238"/>
      <c r="C342" s="238"/>
      <c r="D342" s="238"/>
      <c r="E342" s="337"/>
      <c r="F342" s="338"/>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c r="A343" s="238"/>
      <c r="B343" s="238"/>
      <c r="C343" s="238"/>
      <c r="D343" s="238"/>
      <c r="E343" s="337"/>
      <c r="F343" s="338"/>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c r="A344" s="238"/>
      <c r="B344" s="238"/>
      <c r="C344" s="238"/>
      <c r="D344" s="238"/>
      <c r="E344" s="337"/>
      <c r="F344" s="338"/>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c r="A345" s="238"/>
      <c r="B345" s="238"/>
      <c r="C345" s="238"/>
      <c r="D345" s="238"/>
      <c r="E345" s="337"/>
      <c r="F345" s="338"/>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c r="A346" s="238"/>
      <c r="B346" s="238"/>
      <c r="C346" s="238"/>
      <c r="D346" s="238"/>
      <c r="E346" s="337"/>
      <c r="F346" s="338"/>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c r="A347" s="238"/>
      <c r="B347" s="238"/>
      <c r="C347" s="238"/>
      <c r="D347" s="238"/>
      <c r="E347" s="337"/>
      <c r="F347" s="338"/>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c r="A348" s="238"/>
      <c r="B348" s="238"/>
      <c r="C348" s="238"/>
      <c r="D348" s="238"/>
      <c r="E348" s="337"/>
      <c r="F348" s="338"/>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c r="A349" s="238"/>
      <c r="B349" s="238"/>
      <c r="C349" s="238"/>
      <c r="D349" s="238"/>
      <c r="E349" s="337"/>
      <c r="F349" s="338"/>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c r="A350" s="238"/>
      <c r="B350" s="238"/>
      <c r="C350" s="238"/>
      <c r="D350" s="238"/>
      <c r="E350" s="337"/>
      <c r="F350" s="338"/>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c r="A351" s="238"/>
      <c r="B351" s="238"/>
      <c r="C351" s="238"/>
      <c r="D351" s="238"/>
      <c r="E351" s="337"/>
      <c r="F351" s="338"/>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c r="A352" s="238"/>
      <c r="B352" s="238"/>
      <c r="C352" s="238"/>
      <c r="D352" s="238"/>
      <c r="E352" s="337"/>
      <c r="F352" s="338"/>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c r="A353" s="238"/>
      <c r="B353" s="238"/>
      <c r="C353" s="238"/>
      <c r="D353" s="238"/>
      <c r="E353" s="337"/>
      <c r="F353" s="338"/>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c r="A354" s="238"/>
      <c r="B354" s="238"/>
      <c r="C354" s="238"/>
      <c r="D354" s="238"/>
      <c r="E354" s="337"/>
      <c r="F354" s="338"/>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c r="A355" s="238"/>
      <c r="B355" s="238"/>
      <c r="C355" s="238"/>
      <c r="D355" s="238"/>
      <c r="E355" s="337"/>
      <c r="F355" s="338"/>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c r="A356" s="238"/>
      <c r="B356" s="238"/>
      <c r="C356" s="238"/>
      <c r="D356" s="238"/>
      <c r="E356" s="337"/>
      <c r="F356" s="338"/>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c r="A357" s="238"/>
      <c r="B357" s="238"/>
      <c r="C357" s="238"/>
      <c r="D357" s="238"/>
      <c r="E357" s="337"/>
      <c r="F357" s="338"/>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c r="A358" s="238"/>
      <c r="B358" s="238"/>
      <c r="C358" s="238"/>
      <c r="D358" s="238"/>
      <c r="E358" s="337"/>
      <c r="F358" s="338"/>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c r="A359" s="238"/>
      <c r="B359" s="238"/>
      <c r="C359" s="238"/>
      <c r="D359" s="238"/>
      <c r="E359" s="337"/>
      <c r="F359" s="338"/>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c r="A360" s="238"/>
      <c r="B360" s="238"/>
      <c r="C360" s="238"/>
      <c r="D360" s="238"/>
      <c r="E360" s="337"/>
      <c r="F360" s="338"/>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c r="A361" s="238"/>
      <c r="B361" s="238"/>
      <c r="C361" s="238"/>
      <c r="D361" s="238"/>
      <c r="E361" s="337"/>
      <c r="F361" s="338"/>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c r="A362" s="238"/>
      <c r="B362" s="238"/>
      <c r="C362" s="238"/>
      <c r="D362" s="238"/>
      <c r="E362" s="337"/>
      <c r="F362" s="338"/>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c r="A363" s="238"/>
      <c r="B363" s="238"/>
      <c r="C363" s="238"/>
      <c r="D363" s="238"/>
      <c r="E363" s="337"/>
      <c r="F363" s="338"/>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c r="A364" s="238"/>
      <c r="B364" s="238"/>
      <c r="C364" s="238"/>
      <c r="D364" s="238"/>
      <c r="E364" s="337"/>
      <c r="F364" s="338"/>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c r="A365" s="238"/>
      <c r="B365" s="238"/>
      <c r="C365" s="238"/>
      <c r="D365" s="238"/>
      <c r="E365" s="337"/>
      <c r="F365" s="338"/>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c r="A366" s="238"/>
      <c r="B366" s="238"/>
      <c r="C366" s="238"/>
      <c r="D366" s="238"/>
      <c r="E366" s="337"/>
      <c r="F366" s="338"/>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c r="A367" s="238"/>
      <c r="B367" s="238"/>
      <c r="C367" s="238"/>
      <c r="D367" s="238"/>
      <c r="E367" s="337"/>
      <c r="F367" s="338"/>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c r="A368" s="238"/>
      <c r="B368" s="238"/>
      <c r="C368" s="238"/>
      <c r="D368" s="238"/>
      <c r="E368" s="337"/>
      <c r="F368" s="338"/>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c r="A369" s="238"/>
      <c r="B369" s="238"/>
      <c r="C369" s="238"/>
      <c r="D369" s="238"/>
      <c r="E369" s="337"/>
      <c r="F369" s="338"/>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c r="A370" s="238"/>
      <c r="B370" s="238"/>
      <c r="C370" s="238"/>
      <c r="D370" s="238"/>
      <c r="E370" s="337"/>
      <c r="F370" s="338"/>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c r="A371" s="238"/>
      <c r="B371" s="238"/>
      <c r="C371" s="238"/>
      <c r="D371" s="238"/>
      <c r="E371" s="337"/>
      <c r="F371" s="338"/>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c r="A372" s="238"/>
      <c r="B372" s="238"/>
      <c r="C372" s="238"/>
      <c r="D372" s="238"/>
      <c r="E372" s="337"/>
      <c r="F372" s="338"/>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c r="A373" s="238"/>
      <c r="B373" s="238"/>
      <c r="C373" s="238"/>
      <c r="D373" s="238"/>
      <c r="E373" s="337"/>
      <c r="F373" s="338"/>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c r="A374" s="238"/>
      <c r="B374" s="238"/>
      <c r="C374" s="238"/>
      <c r="D374" s="238"/>
      <c r="E374" s="337"/>
      <c r="F374" s="338"/>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c r="A375" s="238"/>
      <c r="B375" s="238"/>
      <c r="C375" s="238"/>
      <c r="D375" s="238"/>
      <c r="E375" s="337"/>
      <c r="F375" s="338"/>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c r="A376" s="238"/>
      <c r="B376" s="238"/>
      <c r="C376" s="238"/>
      <c r="D376" s="238"/>
      <c r="E376" s="337"/>
      <c r="F376" s="338"/>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c r="A377" s="238"/>
      <c r="B377" s="238"/>
      <c r="C377" s="238"/>
      <c r="D377" s="238"/>
      <c r="E377" s="337"/>
      <c r="F377" s="338"/>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c r="A378" s="238"/>
      <c r="B378" s="238"/>
      <c r="C378" s="238"/>
      <c r="D378" s="238"/>
      <c r="E378" s="337"/>
      <c r="F378" s="338"/>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c r="A379" s="238"/>
      <c r="B379" s="238"/>
      <c r="C379" s="238"/>
      <c r="D379" s="238"/>
      <c r="E379" s="337"/>
      <c r="F379" s="338"/>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c r="A380" s="238"/>
      <c r="B380" s="238"/>
      <c r="C380" s="238"/>
      <c r="D380" s="238"/>
      <c r="E380" s="337"/>
      <c r="F380" s="338"/>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c r="A381" s="238"/>
      <c r="B381" s="238"/>
      <c r="C381" s="238"/>
      <c r="D381" s="238"/>
      <c r="E381" s="337"/>
      <c r="F381" s="338"/>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c r="A382" s="238"/>
      <c r="B382" s="238"/>
      <c r="C382" s="238"/>
      <c r="D382" s="238"/>
      <c r="E382" s="337"/>
      <c r="F382" s="338"/>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c r="A383" s="238"/>
      <c r="B383" s="238"/>
      <c r="C383" s="238"/>
      <c r="D383" s="238"/>
      <c r="E383" s="337"/>
      <c r="F383" s="338"/>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c r="A384" s="238"/>
      <c r="B384" s="238"/>
      <c r="C384" s="238"/>
      <c r="D384" s="238"/>
      <c r="E384" s="337"/>
      <c r="F384" s="338"/>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c r="A385" s="238"/>
      <c r="B385" s="238"/>
      <c r="C385" s="238"/>
      <c r="D385" s="238"/>
      <c r="E385" s="337"/>
      <c r="F385" s="338"/>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c r="A386" s="238"/>
      <c r="B386" s="238"/>
      <c r="C386" s="238"/>
      <c r="D386" s="238"/>
      <c r="E386" s="337"/>
      <c r="F386" s="338"/>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c r="A387" s="238"/>
      <c r="B387" s="238"/>
      <c r="C387" s="238"/>
      <c r="D387" s="238"/>
      <c r="E387" s="337"/>
      <c r="F387" s="338"/>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c r="A388" s="238"/>
      <c r="B388" s="238"/>
      <c r="C388" s="238"/>
      <c r="D388" s="238"/>
      <c r="E388" s="337"/>
      <c r="F388" s="338"/>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c r="A389" s="238"/>
      <c r="B389" s="238"/>
      <c r="C389" s="238"/>
      <c r="D389" s="238"/>
      <c r="E389" s="337"/>
      <c r="F389" s="338"/>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c r="A390" s="238"/>
      <c r="B390" s="238"/>
      <c r="C390" s="238"/>
      <c r="D390" s="238"/>
      <c r="E390" s="337"/>
      <c r="F390" s="338"/>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c r="A391" s="238"/>
      <c r="B391" s="238"/>
      <c r="C391" s="238"/>
      <c r="D391" s="238"/>
      <c r="E391" s="337"/>
      <c r="F391" s="338"/>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c r="A392" s="238"/>
      <c r="B392" s="238"/>
      <c r="C392" s="238"/>
      <c r="D392" s="238"/>
      <c r="E392" s="337"/>
      <c r="F392" s="338"/>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c r="A393" s="238"/>
      <c r="B393" s="238"/>
      <c r="C393" s="238"/>
      <c r="D393" s="238"/>
      <c r="E393" s="337"/>
      <c r="F393" s="338"/>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c r="A394" s="238"/>
      <c r="B394" s="238"/>
      <c r="C394" s="238"/>
      <c r="D394" s="238"/>
      <c r="E394" s="337"/>
      <c r="F394" s="338"/>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c r="A395" s="238"/>
      <c r="B395" s="238"/>
      <c r="C395" s="238"/>
      <c r="D395" s="238"/>
      <c r="E395" s="337"/>
      <c r="F395" s="338"/>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c r="A396" s="238"/>
      <c r="B396" s="238"/>
      <c r="C396" s="238"/>
      <c r="D396" s="238"/>
      <c r="E396" s="337"/>
      <c r="F396" s="338"/>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c r="A397" s="238"/>
      <c r="B397" s="238"/>
      <c r="C397" s="238"/>
      <c r="D397" s="238"/>
      <c r="E397" s="337"/>
      <c r="F397" s="338"/>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c r="A398" s="238"/>
      <c r="B398" s="238"/>
      <c r="C398" s="238"/>
      <c r="D398" s="238"/>
      <c r="E398" s="337"/>
      <c r="F398" s="338"/>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c r="A399" s="238"/>
      <c r="B399" s="238"/>
      <c r="C399" s="238"/>
      <c r="D399" s="238"/>
      <c r="E399" s="337"/>
      <c r="F399" s="338"/>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c r="A400" s="238"/>
      <c r="B400" s="238"/>
      <c r="C400" s="238"/>
      <c r="D400" s="238"/>
      <c r="E400" s="337"/>
      <c r="F400" s="338"/>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c r="A401" s="238"/>
      <c r="B401" s="238"/>
      <c r="C401" s="238"/>
      <c r="D401" s="238"/>
      <c r="E401" s="337"/>
      <c r="F401" s="338"/>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c r="A402" s="238"/>
      <c r="B402" s="238"/>
      <c r="C402" s="238"/>
      <c r="D402" s="238"/>
      <c r="E402" s="337"/>
      <c r="F402" s="338"/>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c r="A403" s="238"/>
      <c r="B403" s="238"/>
      <c r="C403" s="238"/>
      <c r="D403" s="238"/>
      <c r="E403" s="337"/>
      <c r="F403" s="338"/>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c r="A404" s="238"/>
      <c r="B404" s="238"/>
      <c r="C404" s="238"/>
      <c r="D404" s="238"/>
      <c r="E404" s="337"/>
      <c r="F404" s="338"/>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c r="A405" s="238"/>
      <c r="B405" s="238"/>
      <c r="C405" s="238"/>
      <c r="D405" s="238"/>
      <c r="E405" s="337"/>
      <c r="F405" s="338"/>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c r="A406" s="238"/>
      <c r="B406" s="238"/>
      <c r="C406" s="238"/>
      <c r="D406" s="238"/>
      <c r="E406" s="337"/>
      <c r="F406" s="338"/>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c r="A407" s="238"/>
      <c r="B407" s="238"/>
      <c r="C407" s="238"/>
      <c r="D407" s="238"/>
      <c r="E407" s="337"/>
      <c r="F407" s="338"/>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c r="A408" s="238"/>
      <c r="B408" s="238"/>
      <c r="C408" s="238"/>
      <c r="D408" s="238"/>
      <c r="E408" s="337"/>
      <c r="F408" s="338"/>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c r="A409" s="238"/>
      <c r="B409" s="238"/>
      <c r="C409" s="238"/>
      <c r="D409" s="238"/>
      <c r="E409" s="337"/>
      <c r="F409" s="338"/>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c r="A410" s="238"/>
      <c r="B410" s="238"/>
      <c r="C410" s="238"/>
      <c r="D410" s="238"/>
      <c r="E410" s="337"/>
      <c r="F410" s="338"/>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c r="A411" s="238"/>
      <c r="B411" s="238"/>
      <c r="C411" s="238"/>
      <c r="D411" s="238"/>
      <c r="E411" s="337"/>
      <c r="F411" s="338"/>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c r="A412" s="238"/>
      <c r="B412" s="238"/>
      <c r="C412" s="238"/>
      <c r="D412" s="238"/>
      <c r="E412" s="337"/>
      <c r="F412" s="338"/>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c r="A413" s="238"/>
      <c r="B413" s="238"/>
      <c r="C413" s="238"/>
      <c r="D413" s="238"/>
      <c r="E413" s="337"/>
      <c r="F413" s="338"/>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c r="A414" s="238"/>
      <c r="B414" s="238"/>
      <c r="C414" s="238"/>
      <c r="D414" s="238"/>
      <c r="E414" s="337"/>
      <c r="F414" s="338"/>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c r="A415" s="238"/>
      <c r="B415" s="238"/>
      <c r="C415" s="238"/>
      <c r="D415" s="238"/>
      <c r="E415" s="337"/>
      <c r="F415" s="338"/>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c r="A416" s="238"/>
      <c r="B416" s="238"/>
      <c r="C416" s="238"/>
      <c r="D416" s="238"/>
      <c r="E416" s="337"/>
      <c r="F416" s="338"/>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c r="A417" s="238"/>
      <c r="B417" s="238"/>
      <c r="C417" s="238"/>
      <c r="D417" s="238"/>
      <c r="E417" s="337"/>
      <c r="F417" s="338"/>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c r="A418" s="238"/>
      <c r="B418" s="238"/>
      <c r="C418" s="238"/>
      <c r="D418" s="238"/>
      <c r="E418" s="337"/>
      <c r="F418" s="338"/>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c r="A419" s="238"/>
      <c r="B419" s="238"/>
      <c r="C419" s="238"/>
      <c r="D419" s="238"/>
      <c r="E419" s="337"/>
      <c r="F419" s="338"/>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c r="A420" s="238"/>
      <c r="B420" s="238"/>
      <c r="C420" s="238"/>
      <c r="D420" s="238"/>
      <c r="E420" s="337"/>
      <c r="F420" s="338"/>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c r="A421" s="238"/>
      <c r="B421" s="238"/>
      <c r="C421" s="238"/>
      <c r="D421" s="238"/>
      <c r="E421" s="337"/>
      <c r="F421" s="338"/>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c r="A422" s="238"/>
      <c r="B422" s="238"/>
      <c r="C422" s="238"/>
      <c r="D422" s="238"/>
      <c r="E422" s="337"/>
      <c r="F422" s="338"/>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c r="A423" s="238"/>
      <c r="B423" s="238"/>
      <c r="C423" s="238"/>
      <c r="D423" s="238"/>
      <c r="E423" s="337"/>
      <c r="F423" s="338"/>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c r="A424" s="238"/>
      <c r="B424" s="238"/>
      <c r="C424" s="238"/>
      <c r="D424" s="238"/>
      <c r="E424" s="337"/>
      <c r="F424" s="338"/>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c r="A425" s="238"/>
      <c r="B425" s="238"/>
      <c r="C425" s="238"/>
      <c r="D425" s="238"/>
      <c r="E425" s="337"/>
      <c r="F425" s="338"/>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c r="A426" s="238"/>
      <c r="B426" s="238"/>
      <c r="C426" s="238"/>
      <c r="D426" s="238"/>
      <c r="E426" s="337"/>
      <c r="F426" s="338"/>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c r="A427" s="238"/>
      <c r="B427" s="238"/>
      <c r="C427" s="238"/>
      <c r="D427" s="238"/>
      <c r="E427" s="337"/>
      <c r="F427" s="338"/>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c r="A428" s="238"/>
      <c r="B428" s="238"/>
      <c r="C428" s="238"/>
      <c r="D428" s="238"/>
      <c r="E428" s="337"/>
      <c r="F428" s="338"/>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c r="A429" s="238"/>
      <c r="B429" s="238"/>
      <c r="C429" s="238"/>
      <c r="D429" s="238"/>
      <c r="E429" s="337"/>
      <c r="F429" s="338"/>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c r="A430" s="238"/>
      <c r="B430" s="238"/>
      <c r="C430" s="238"/>
      <c r="D430" s="238"/>
      <c r="E430" s="337"/>
      <c r="F430" s="338"/>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c r="A431" s="238"/>
      <c r="B431" s="238"/>
      <c r="C431" s="238"/>
      <c r="D431" s="238"/>
      <c r="E431" s="337"/>
      <c r="F431" s="338"/>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c r="A432" s="238"/>
      <c r="B432" s="238"/>
      <c r="C432" s="238"/>
      <c r="D432" s="238"/>
      <c r="E432" s="337"/>
      <c r="F432" s="338"/>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c r="A433" s="238"/>
      <c r="B433" s="238"/>
      <c r="C433" s="238"/>
      <c r="D433" s="238"/>
      <c r="E433" s="337"/>
      <c r="F433" s="338"/>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c r="A434" s="238"/>
      <c r="B434" s="238"/>
      <c r="C434" s="238"/>
      <c r="D434" s="238"/>
      <c r="E434" s="337"/>
      <c r="F434" s="338"/>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c r="A435" s="238"/>
      <c r="B435" s="238"/>
      <c r="C435" s="238"/>
      <c r="D435" s="238"/>
      <c r="E435" s="337"/>
      <c r="F435" s="338"/>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c r="A436" s="238"/>
      <c r="B436" s="238"/>
      <c r="C436" s="238"/>
      <c r="D436" s="238"/>
      <c r="E436" s="337"/>
      <c r="F436" s="338"/>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c r="A437" s="238"/>
      <c r="B437" s="238"/>
      <c r="C437" s="238"/>
      <c r="D437" s="238"/>
      <c r="E437" s="337"/>
      <c r="F437" s="338"/>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c r="A438" s="238"/>
      <c r="B438" s="238"/>
      <c r="C438" s="238"/>
      <c r="D438" s="238"/>
      <c r="E438" s="337"/>
      <c r="F438" s="338"/>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c r="A439" s="238"/>
      <c r="B439" s="238"/>
      <c r="C439" s="238"/>
      <c r="D439" s="238"/>
      <c r="E439" s="337"/>
      <c r="F439" s="338"/>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c r="A440" s="238"/>
      <c r="B440" s="238"/>
      <c r="C440" s="238"/>
      <c r="D440" s="238"/>
      <c r="E440" s="337"/>
      <c r="F440" s="338"/>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c r="A441" s="238"/>
      <c r="B441" s="238"/>
      <c r="C441" s="238"/>
      <c r="D441" s="238"/>
      <c r="E441" s="337"/>
      <c r="F441" s="338"/>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c r="A442" s="238"/>
      <c r="B442" s="238"/>
      <c r="C442" s="238"/>
      <c r="D442" s="238"/>
      <c r="E442" s="337"/>
      <c r="F442" s="338"/>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c r="A443" s="238"/>
      <c r="B443" s="238"/>
      <c r="C443" s="238"/>
      <c r="D443" s="238"/>
      <c r="E443" s="337"/>
      <c r="F443" s="338"/>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c r="A444" s="238"/>
      <c r="B444" s="238"/>
      <c r="C444" s="238"/>
      <c r="D444" s="238"/>
      <c r="E444" s="337"/>
      <c r="F444" s="338"/>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c r="A445" s="238"/>
      <c r="B445" s="238"/>
      <c r="C445" s="238"/>
      <c r="D445" s="238"/>
      <c r="E445" s="337"/>
      <c r="F445" s="338"/>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c r="A446" s="238"/>
      <c r="B446" s="238"/>
      <c r="C446" s="238"/>
      <c r="D446" s="238"/>
      <c r="E446" s="337"/>
      <c r="F446" s="338"/>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c r="A447" s="238"/>
      <c r="B447" s="238"/>
      <c r="C447" s="238"/>
      <c r="D447" s="238"/>
      <c r="E447" s="337"/>
      <c r="F447" s="338"/>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c r="A448" s="238"/>
      <c r="B448" s="238"/>
      <c r="C448" s="238"/>
      <c r="D448" s="238"/>
      <c r="E448" s="337"/>
      <c r="F448" s="338"/>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c r="A449" s="238"/>
      <c r="B449" s="238"/>
      <c r="C449" s="238"/>
      <c r="D449" s="238"/>
      <c r="E449" s="337"/>
      <c r="F449" s="338"/>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c r="A450" s="238"/>
      <c r="B450" s="238"/>
      <c r="C450" s="238"/>
      <c r="D450" s="238"/>
      <c r="E450" s="337"/>
      <c r="F450" s="338"/>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c r="A451" s="238"/>
      <c r="B451" s="238"/>
      <c r="C451" s="238"/>
      <c r="D451" s="238"/>
      <c r="E451" s="337"/>
      <c r="F451" s="338"/>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c r="A452" s="238"/>
      <c r="B452" s="238"/>
      <c r="C452" s="238"/>
      <c r="D452" s="238"/>
      <c r="E452" s="337"/>
      <c r="F452" s="338"/>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c r="A453" s="238"/>
      <c r="B453" s="238"/>
      <c r="C453" s="238"/>
      <c r="D453" s="238"/>
      <c r="E453" s="337"/>
      <c r="F453" s="338"/>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c r="A454" s="238"/>
      <c r="B454" s="238"/>
      <c r="C454" s="238"/>
      <c r="D454" s="238"/>
      <c r="E454" s="337"/>
      <c r="F454" s="338"/>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c r="A455" s="238"/>
      <c r="B455" s="238"/>
      <c r="C455" s="238"/>
      <c r="D455" s="238"/>
      <c r="E455" s="337"/>
      <c r="F455" s="338"/>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c r="A456" s="238"/>
      <c r="B456" s="238"/>
      <c r="C456" s="238"/>
      <c r="D456" s="238"/>
      <c r="E456" s="337"/>
      <c r="F456" s="338"/>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c r="A457" s="238"/>
      <c r="B457" s="238"/>
      <c r="C457" s="238"/>
      <c r="D457" s="238"/>
      <c r="E457" s="337"/>
      <c r="F457" s="338"/>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c r="A458" s="238"/>
      <c r="B458" s="238"/>
      <c r="C458" s="238"/>
      <c r="D458" s="238"/>
      <c r="E458" s="337"/>
      <c r="F458" s="338"/>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c r="A459" s="238"/>
      <c r="B459" s="238"/>
      <c r="C459" s="238"/>
      <c r="D459" s="238"/>
      <c r="E459" s="337"/>
      <c r="F459" s="338"/>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c r="A460" s="238"/>
      <c r="B460" s="238"/>
      <c r="C460" s="238"/>
      <c r="D460" s="238"/>
      <c r="E460" s="337"/>
      <c r="F460" s="338"/>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c r="A461" s="238"/>
      <c r="B461" s="238"/>
      <c r="C461" s="238"/>
      <c r="D461" s="238"/>
      <c r="E461" s="337"/>
      <c r="F461" s="338"/>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c r="A462" s="238"/>
      <c r="B462" s="238"/>
      <c r="C462" s="238"/>
      <c r="D462" s="238"/>
      <c r="E462" s="337"/>
      <c r="F462" s="338"/>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c r="A463" s="238"/>
      <c r="B463" s="238"/>
      <c r="C463" s="238"/>
      <c r="D463" s="238"/>
      <c r="E463" s="337"/>
      <c r="F463" s="338"/>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c r="A464" s="238"/>
      <c r="B464" s="238"/>
      <c r="C464" s="238"/>
      <c r="D464" s="238"/>
      <c r="E464" s="337"/>
      <c r="F464" s="338"/>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c r="A465" s="238"/>
      <c r="B465" s="238"/>
      <c r="C465" s="238"/>
      <c r="D465" s="238"/>
      <c r="E465" s="337"/>
      <c r="F465" s="338"/>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c r="A466" s="238"/>
      <c r="B466" s="238"/>
      <c r="C466" s="238"/>
      <c r="D466" s="238"/>
      <c r="E466" s="337"/>
      <c r="F466" s="338"/>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c r="A467" s="238"/>
      <c r="B467" s="238"/>
      <c r="C467" s="238"/>
      <c r="D467" s="238"/>
      <c r="E467" s="337"/>
      <c r="F467" s="338"/>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c r="A468" s="238"/>
      <c r="B468" s="238"/>
      <c r="C468" s="238"/>
      <c r="D468" s="238"/>
      <c r="E468" s="337"/>
      <c r="F468" s="338"/>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c r="A469" s="238"/>
      <c r="B469" s="238"/>
      <c r="C469" s="238"/>
      <c r="D469" s="238"/>
      <c r="E469" s="337"/>
      <c r="F469" s="338"/>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c r="A470" s="238"/>
      <c r="B470" s="238"/>
      <c r="C470" s="238"/>
      <c r="D470" s="238"/>
      <c r="E470" s="337"/>
      <c r="F470" s="338"/>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c r="A471" s="238"/>
      <c r="B471" s="238"/>
      <c r="C471" s="238"/>
      <c r="D471" s="238"/>
      <c r="E471" s="337"/>
      <c r="F471" s="338"/>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c r="A472" s="238"/>
      <c r="B472" s="238"/>
      <c r="C472" s="238"/>
      <c r="D472" s="238"/>
      <c r="E472" s="337"/>
      <c r="F472" s="338"/>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c r="A473" s="238"/>
      <c r="B473" s="238"/>
      <c r="C473" s="238"/>
      <c r="D473" s="238"/>
      <c r="E473" s="337"/>
      <c r="F473" s="338"/>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c r="A474" s="238"/>
      <c r="B474" s="238"/>
      <c r="C474" s="238"/>
      <c r="D474" s="238"/>
      <c r="E474" s="337"/>
      <c r="F474" s="338"/>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c r="A475" s="238"/>
      <c r="B475" s="238"/>
      <c r="C475" s="238"/>
      <c r="D475" s="238"/>
      <c r="E475" s="337"/>
      <c r="F475" s="338"/>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c r="A476" s="238"/>
      <c r="B476" s="238"/>
      <c r="C476" s="238"/>
      <c r="D476" s="238"/>
      <c r="E476" s="337"/>
      <c r="F476" s="338"/>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c r="A477" s="238"/>
      <c r="B477" s="238"/>
      <c r="C477" s="238"/>
      <c r="D477" s="238"/>
      <c r="E477" s="337"/>
      <c r="F477" s="338"/>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c r="A478" s="238"/>
      <c r="B478" s="238"/>
      <c r="C478" s="238"/>
      <c r="D478" s="238"/>
      <c r="E478" s="337"/>
      <c r="F478" s="338"/>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c r="A479" s="238"/>
      <c r="B479" s="238"/>
      <c r="C479" s="238"/>
      <c r="D479" s="238"/>
      <c r="E479" s="337"/>
      <c r="F479" s="338"/>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c r="A480" s="238"/>
      <c r="B480" s="238"/>
      <c r="C480" s="238"/>
      <c r="D480" s="238"/>
      <c r="E480" s="337"/>
      <c r="F480" s="338"/>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c r="A481" s="238"/>
      <c r="B481" s="238"/>
      <c r="C481" s="238"/>
      <c r="D481" s="238"/>
      <c r="E481" s="337"/>
      <c r="F481" s="338"/>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c r="A482" s="238"/>
      <c r="B482" s="238"/>
      <c r="C482" s="238"/>
      <c r="D482" s="238"/>
      <c r="E482" s="337"/>
      <c r="F482" s="338"/>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c r="A483" s="238"/>
      <c r="B483" s="238"/>
      <c r="C483" s="238"/>
      <c r="D483" s="238"/>
      <c r="E483" s="337"/>
      <c r="F483" s="338"/>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c r="A484" s="238"/>
      <c r="B484" s="238"/>
      <c r="C484" s="238"/>
      <c r="D484" s="238"/>
      <c r="E484" s="337"/>
      <c r="F484" s="338"/>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c r="A485" s="238"/>
      <c r="B485" s="238"/>
      <c r="C485" s="238"/>
      <c r="D485" s="238"/>
      <c r="E485" s="337"/>
      <c r="F485" s="338"/>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c r="A486" s="238"/>
      <c r="B486" s="238"/>
      <c r="C486" s="238"/>
      <c r="D486" s="238"/>
      <c r="E486" s="337"/>
      <c r="F486" s="338"/>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c r="A487" s="238"/>
      <c r="B487" s="238"/>
      <c r="C487" s="238"/>
      <c r="D487" s="238"/>
      <c r="E487" s="337"/>
      <c r="F487" s="338"/>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c r="A488" s="238"/>
      <c r="B488" s="238"/>
      <c r="C488" s="238"/>
      <c r="D488" s="238"/>
      <c r="E488" s="337"/>
      <c r="F488" s="338"/>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c r="A489" s="238"/>
      <c r="B489" s="238"/>
      <c r="C489" s="238"/>
      <c r="D489" s="238"/>
      <c r="E489" s="337"/>
      <c r="F489" s="338"/>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c r="A490" s="238"/>
      <c r="B490" s="238"/>
      <c r="C490" s="238"/>
      <c r="D490" s="238"/>
      <c r="E490" s="337"/>
      <c r="F490" s="338"/>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c r="A491" s="238"/>
      <c r="B491" s="238"/>
      <c r="C491" s="238"/>
      <c r="D491" s="238"/>
      <c r="E491" s="337"/>
      <c r="F491" s="338"/>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c r="A492" s="238"/>
      <c r="B492" s="238"/>
      <c r="C492" s="238"/>
      <c r="D492" s="238"/>
      <c r="E492" s="337"/>
      <c r="F492" s="338"/>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c r="A493" s="238"/>
      <c r="B493" s="238"/>
      <c r="C493" s="238"/>
      <c r="D493" s="238"/>
      <c r="E493" s="337"/>
      <c r="F493" s="338"/>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c r="A494" s="238"/>
      <c r="B494" s="238"/>
      <c r="C494" s="238"/>
      <c r="D494" s="238"/>
      <c r="E494" s="337"/>
      <c r="F494" s="338"/>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c r="A495" s="238"/>
      <c r="B495" s="238"/>
      <c r="C495" s="238"/>
      <c r="D495" s="238"/>
      <c r="E495" s="337"/>
      <c r="F495" s="338"/>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c r="A496" s="238"/>
      <c r="B496" s="238"/>
      <c r="C496" s="238"/>
      <c r="D496" s="238"/>
      <c r="E496" s="337"/>
      <c r="F496" s="338"/>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c r="A497" s="238"/>
      <c r="B497" s="238"/>
      <c r="C497" s="238"/>
      <c r="D497" s="238"/>
      <c r="E497" s="337"/>
      <c r="F497" s="338"/>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c r="A498" s="238"/>
      <c r="B498" s="238"/>
      <c r="C498" s="238"/>
      <c r="D498" s="238"/>
      <c r="E498" s="337"/>
      <c r="F498" s="338"/>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c r="A499" s="238"/>
      <c r="B499" s="238"/>
      <c r="C499" s="238"/>
      <c r="D499" s="238"/>
      <c r="E499" s="337"/>
      <c r="F499" s="338"/>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c r="A500" s="238"/>
      <c r="B500" s="238"/>
      <c r="C500" s="238"/>
      <c r="D500" s="238"/>
      <c r="E500" s="337"/>
      <c r="F500" s="338"/>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c r="A501" s="238"/>
      <c r="B501" s="238"/>
      <c r="C501" s="238"/>
      <c r="D501" s="238"/>
      <c r="E501" s="337"/>
      <c r="F501" s="338"/>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c r="A502" s="238"/>
      <c r="B502" s="238"/>
      <c r="C502" s="238"/>
      <c r="D502" s="238"/>
      <c r="E502" s="337"/>
      <c r="F502" s="338"/>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c r="A503" s="238"/>
      <c r="B503" s="238"/>
      <c r="C503" s="238"/>
      <c r="D503" s="238"/>
      <c r="E503" s="337"/>
      <c r="F503" s="338"/>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c r="A504" s="238"/>
      <c r="B504" s="238"/>
      <c r="C504" s="238"/>
      <c r="D504" s="238"/>
      <c r="E504" s="337"/>
      <c r="F504" s="338"/>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c r="A505" s="238"/>
      <c r="B505" s="238"/>
      <c r="C505" s="238"/>
      <c r="D505" s="238"/>
      <c r="E505" s="337"/>
      <c r="F505" s="338"/>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c r="A506" s="238"/>
      <c r="B506" s="238"/>
      <c r="C506" s="238"/>
      <c r="D506" s="238"/>
      <c r="E506" s="337"/>
      <c r="F506" s="338"/>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c r="A507" s="238"/>
      <c r="B507" s="238"/>
      <c r="C507" s="238"/>
      <c r="D507" s="238"/>
      <c r="E507" s="337"/>
      <c r="F507" s="338"/>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c r="A508" s="238"/>
      <c r="B508" s="238"/>
      <c r="C508" s="238"/>
      <c r="D508" s="238"/>
      <c r="E508" s="337"/>
      <c r="F508" s="338"/>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c r="A509" s="238"/>
      <c r="B509" s="238"/>
      <c r="C509" s="238"/>
      <c r="D509" s="238"/>
      <c r="E509" s="337"/>
      <c r="F509" s="338"/>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c r="A510" s="238"/>
      <c r="B510" s="238"/>
      <c r="C510" s="238"/>
      <c r="D510" s="238"/>
      <c r="E510" s="337"/>
      <c r="F510" s="338"/>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c r="A511" s="238"/>
      <c r="B511" s="238"/>
      <c r="C511" s="238"/>
      <c r="D511" s="238"/>
      <c r="E511" s="337"/>
      <c r="F511" s="338"/>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c r="A512" s="238"/>
      <c r="B512" s="238"/>
      <c r="C512" s="238"/>
      <c r="D512" s="238"/>
      <c r="E512" s="337"/>
      <c r="F512" s="338"/>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c r="A513" s="238"/>
      <c r="B513" s="238"/>
      <c r="C513" s="238"/>
      <c r="D513" s="238"/>
      <c r="E513" s="337"/>
      <c r="F513" s="338"/>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c r="A514" s="238"/>
      <c r="B514" s="238"/>
      <c r="C514" s="238"/>
      <c r="D514" s="238"/>
      <c r="E514" s="337"/>
      <c r="F514" s="338"/>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c r="A515" s="238"/>
      <c r="B515" s="238"/>
      <c r="C515" s="238"/>
      <c r="D515" s="238"/>
      <c r="E515" s="337"/>
      <c r="F515" s="338"/>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c r="A516" s="238"/>
      <c r="B516" s="238"/>
      <c r="C516" s="238"/>
      <c r="D516" s="238"/>
      <c r="E516" s="337"/>
      <c r="F516" s="338"/>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c r="A517" s="238"/>
      <c r="B517" s="238"/>
      <c r="C517" s="238"/>
      <c r="D517" s="238"/>
      <c r="E517" s="337"/>
      <c r="F517" s="338"/>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c r="A518" s="238"/>
      <c r="B518" s="238"/>
      <c r="C518" s="238"/>
      <c r="D518" s="238"/>
      <c r="E518" s="337"/>
      <c r="F518" s="338"/>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c r="A519" s="238"/>
      <c r="B519" s="238"/>
      <c r="C519" s="238"/>
      <c r="D519" s="238"/>
      <c r="E519" s="337"/>
      <c r="F519" s="338"/>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c r="A520" s="238"/>
      <c r="B520" s="238"/>
      <c r="C520" s="238"/>
      <c r="D520" s="238"/>
      <c r="E520" s="337"/>
      <c r="F520" s="338"/>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c r="A521" s="238"/>
      <c r="B521" s="238"/>
      <c r="C521" s="238"/>
      <c r="D521" s="238"/>
      <c r="E521" s="337"/>
      <c r="F521" s="338"/>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c r="A522" s="238"/>
      <c r="B522" s="238"/>
      <c r="C522" s="238"/>
      <c r="D522" s="238"/>
      <c r="E522" s="337"/>
      <c r="F522" s="338"/>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c r="A523" s="238"/>
      <c r="B523" s="238"/>
      <c r="C523" s="238"/>
      <c r="D523" s="238"/>
      <c r="E523" s="337"/>
      <c r="F523" s="338"/>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c r="A524" s="238"/>
      <c r="B524" s="238"/>
      <c r="C524" s="238"/>
      <c r="D524" s="238"/>
      <c r="E524" s="337"/>
      <c r="F524" s="338"/>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c r="A525" s="238"/>
      <c r="B525" s="238"/>
      <c r="C525" s="238"/>
      <c r="D525" s="238"/>
      <c r="E525" s="337"/>
      <c r="F525" s="338"/>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c r="A526" s="238"/>
      <c r="B526" s="238"/>
      <c r="C526" s="238"/>
      <c r="D526" s="238"/>
      <c r="E526" s="337"/>
      <c r="F526" s="338"/>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c r="A527" s="238"/>
      <c r="B527" s="238"/>
      <c r="C527" s="238"/>
      <c r="D527" s="238"/>
      <c r="E527" s="337"/>
      <c r="F527" s="338"/>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c r="A528" s="238"/>
      <c r="B528" s="238"/>
      <c r="C528" s="238"/>
      <c r="D528" s="238"/>
      <c r="E528" s="337"/>
      <c r="F528" s="338"/>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c r="A529" s="238"/>
      <c r="B529" s="238"/>
      <c r="C529" s="238"/>
      <c r="D529" s="238"/>
      <c r="E529" s="337"/>
      <c r="F529" s="338"/>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c r="A530" s="238"/>
      <c r="B530" s="238"/>
      <c r="C530" s="238"/>
      <c r="D530" s="238"/>
      <c r="E530" s="337"/>
      <c r="F530" s="338"/>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c r="A531" s="238"/>
      <c r="B531" s="238"/>
      <c r="C531" s="238"/>
      <c r="D531" s="238"/>
      <c r="E531" s="337"/>
      <c r="F531" s="338"/>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c r="A532" s="238"/>
      <c r="B532" s="238"/>
      <c r="C532" s="238"/>
      <c r="D532" s="238"/>
      <c r="E532" s="337"/>
      <c r="F532" s="338"/>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c r="A533" s="238"/>
      <c r="B533" s="238"/>
      <c r="C533" s="238"/>
      <c r="D533" s="238"/>
      <c r="E533" s="337"/>
      <c r="F533" s="338"/>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c r="A534" s="238"/>
      <c r="B534" s="238"/>
      <c r="C534" s="238"/>
      <c r="D534" s="238"/>
      <c r="E534" s="337"/>
      <c r="F534" s="338"/>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c r="A535" s="238"/>
      <c r="B535" s="238"/>
      <c r="C535" s="238"/>
      <c r="D535" s="238"/>
      <c r="E535" s="337"/>
      <c r="F535" s="338"/>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c r="A536" s="238"/>
      <c r="B536" s="238"/>
      <c r="C536" s="238"/>
      <c r="D536" s="238"/>
      <c r="E536" s="337"/>
      <c r="F536" s="338"/>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c r="A537" s="238"/>
      <c r="B537" s="238"/>
      <c r="C537" s="238"/>
      <c r="D537" s="238"/>
      <c r="E537" s="337"/>
      <c r="F537" s="338"/>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c r="A538" s="238"/>
      <c r="B538" s="238"/>
      <c r="C538" s="238"/>
      <c r="D538" s="238"/>
      <c r="E538" s="337"/>
      <c r="F538" s="338"/>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c r="A539" s="238"/>
      <c r="B539" s="238"/>
      <c r="C539" s="238"/>
      <c r="D539" s="238"/>
      <c r="E539" s="337"/>
      <c r="F539" s="338"/>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c r="A540" s="238"/>
      <c r="B540" s="238"/>
      <c r="C540" s="238"/>
      <c r="D540" s="238"/>
      <c r="E540" s="337"/>
      <c r="F540" s="338"/>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c r="A541" s="238"/>
      <c r="B541" s="238"/>
      <c r="C541" s="238"/>
      <c r="D541" s="238"/>
      <c r="E541" s="337"/>
      <c r="F541" s="338"/>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c r="A542" s="238"/>
      <c r="B542" s="238"/>
      <c r="C542" s="238"/>
      <c r="D542" s="238"/>
      <c r="E542" s="337"/>
      <c r="F542" s="338"/>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c r="A543" s="238"/>
      <c r="B543" s="238"/>
      <c r="C543" s="238"/>
      <c r="D543" s="238"/>
      <c r="E543" s="337"/>
      <c r="F543" s="338"/>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c r="A544" s="238"/>
      <c r="B544" s="238"/>
      <c r="C544" s="238"/>
      <c r="D544" s="238"/>
      <c r="E544" s="337"/>
      <c r="F544" s="338"/>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c r="A545" s="238"/>
      <c r="B545" s="238"/>
      <c r="C545" s="238"/>
      <c r="D545" s="238"/>
      <c r="E545" s="337"/>
      <c r="F545" s="338"/>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c r="A546" s="238"/>
      <c r="B546" s="238"/>
      <c r="C546" s="238"/>
      <c r="D546" s="238"/>
      <c r="E546" s="337"/>
      <c r="F546" s="338"/>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c r="A547" s="238"/>
      <c r="B547" s="238"/>
      <c r="C547" s="238"/>
      <c r="D547" s="238"/>
      <c r="E547" s="337"/>
      <c r="F547" s="338"/>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c r="A548" s="238"/>
      <c r="B548" s="238"/>
      <c r="C548" s="238"/>
      <c r="D548" s="238"/>
      <c r="E548" s="337"/>
      <c r="F548" s="338"/>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c r="A549" s="238"/>
      <c r="B549" s="238"/>
      <c r="C549" s="238"/>
      <c r="D549" s="238"/>
      <c r="E549" s="337"/>
      <c r="F549" s="338"/>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c r="A550" s="238"/>
      <c r="B550" s="238"/>
      <c r="C550" s="238"/>
      <c r="D550" s="238"/>
      <c r="E550" s="337"/>
      <c r="F550" s="338"/>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c r="A551" s="238"/>
      <c r="B551" s="238"/>
      <c r="C551" s="238"/>
      <c r="D551" s="238"/>
      <c r="E551" s="337"/>
      <c r="F551" s="338"/>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c r="A552" s="238"/>
      <c r="B552" s="238"/>
      <c r="C552" s="238"/>
      <c r="D552" s="238"/>
      <c r="E552" s="337"/>
      <c r="F552" s="338"/>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c r="A553" s="238"/>
      <c r="B553" s="238"/>
      <c r="C553" s="238"/>
      <c r="D553" s="238"/>
      <c r="E553" s="337"/>
      <c r="F553" s="338"/>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c r="A554" s="238"/>
      <c r="B554" s="238"/>
      <c r="C554" s="238"/>
      <c r="D554" s="238"/>
      <c r="E554" s="337"/>
      <c r="F554" s="338"/>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c r="A555" s="238"/>
      <c r="B555" s="238"/>
      <c r="C555" s="238"/>
      <c r="D555" s="238"/>
      <c r="E555" s="337"/>
      <c r="F555" s="338"/>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c r="A556" s="238"/>
      <c r="B556" s="238"/>
      <c r="C556" s="238"/>
      <c r="D556" s="238"/>
      <c r="E556" s="337"/>
      <c r="F556" s="338"/>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c r="A557" s="238"/>
      <c r="B557" s="238"/>
      <c r="C557" s="238"/>
      <c r="D557" s="238"/>
      <c r="E557" s="337"/>
      <c r="F557" s="338"/>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c r="A558" s="238"/>
      <c r="B558" s="238"/>
      <c r="C558" s="238"/>
      <c r="D558" s="238"/>
      <c r="E558" s="337"/>
      <c r="F558" s="338"/>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c r="A559" s="238"/>
      <c r="B559" s="238"/>
      <c r="C559" s="238"/>
      <c r="D559" s="238"/>
      <c r="E559" s="337"/>
      <c r="F559" s="338"/>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c r="A560" s="238"/>
      <c r="B560" s="238"/>
      <c r="C560" s="238"/>
      <c r="D560" s="238"/>
      <c r="E560" s="337"/>
      <c r="F560" s="338"/>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c r="A561" s="238"/>
      <c r="B561" s="238"/>
      <c r="C561" s="238"/>
      <c r="D561" s="238"/>
      <c r="E561" s="337"/>
      <c r="F561" s="338"/>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c r="A562" s="238"/>
      <c r="B562" s="238"/>
      <c r="C562" s="238"/>
      <c r="D562" s="238"/>
      <c r="E562" s="337"/>
      <c r="F562" s="338"/>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c r="A563" s="238"/>
      <c r="B563" s="238"/>
      <c r="C563" s="238"/>
      <c r="D563" s="238"/>
      <c r="E563" s="337"/>
      <c r="F563" s="338"/>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c r="A564" s="238"/>
      <c r="B564" s="238"/>
      <c r="C564" s="238"/>
      <c r="D564" s="238"/>
      <c r="E564" s="337"/>
      <c r="F564" s="338"/>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c r="A565" s="238"/>
      <c r="B565" s="238"/>
      <c r="C565" s="238"/>
      <c r="D565" s="238"/>
      <c r="E565" s="337"/>
      <c r="F565" s="338"/>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c r="A566" s="238"/>
      <c r="B566" s="238"/>
      <c r="C566" s="238"/>
      <c r="D566" s="238"/>
      <c r="E566" s="337"/>
      <c r="F566" s="338"/>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c r="A567" s="238"/>
      <c r="B567" s="238"/>
      <c r="C567" s="238"/>
      <c r="D567" s="238"/>
      <c r="E567" s="337"/>
      <c r="F567" s="338"/>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c r="A568" s="238"/>
      <c r="B568" s="238"/>
      <c r="C568" s="238"/>
      <c r="D568" s="238"/>
      <c r="E568" s="337"/>
      <c r="F568" s="338"/>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c r="A569" s="238"/>
      <c r="B569" s="238"/>
      <c r="C569" s="238"/>
      <c r="D569" s="238"/>
      <c r="E569" s="337"/>
      <c r="F569" s="338"/>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c r="A570" s="238"/>
      <c r="B570" s="238"/>
      <c r="C570" s="238"/>
      <c r="D570" s="238"/>
      <c r="E570" s="337"/>
      <c r="F570" s="338"/>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c r="A571" s="238"/>
      <c r="B571" s="238"/>
      <c r="C571" s="238"/>
      <c r="D571" s="238"/>
      <c r="E571" s="337"/>
      <c r="F571" s="338"/>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c r="A572" s="238"/>
      <c r="B572" s="238"/>
      <c r="C572" s="238"/>
      <c r="D572" s="238"/>
      <c r="E572" s="337"/>
      <c r="F572" s="338"/>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c r="A573" s="238"/>
      <c r="B573" s="238"/>
      <c r="C573" s="238"/>
      <c r="D573" s="238"/>
      <c r="E573" s="337"/>
      <c r="F573" s="338"/>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c r="A574" s="238"/>
      <c r="B574" s="238"/>
      <c r="C574" s="238"/>
      <c r="D574" s="238"/>
      <c r="E574" s="337"/>
      <c r="F574" s="338"/>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c r="A575" s="238"/>
      <c r="B575" s="238"/>
      <c r="C575" s="238"/>
      <c r="D575" s="238"/>
      <c r="E575" s="337"/>
      <c r="F575" s="338"/>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c r="A576" s="238"/>
      <c r="B576" s="238"/>
      <c r="C576" s="238"/>
      <c r="D576" s="238"/>
      <c r="E576" s="337"/>
      <c r="F576" s="338"/>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c r="A577" s="238"/>
      <c r="B577" s="238"/>
      <c r="C577" s="238"/>
      <c r="D577" s="238"/>
      <c r="E577" s="337"/>
      <c r="F577" s="338"/>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c r="A578" s="238"/>
      <c r="B578" s="238"/>
      <c r="C578" s="238"/>
      <c r="D578" s="238"/>
      <c r="E578" s="337"/>
      <c r="F578" s="338"/>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c r="A579" s="238"/>
      <c r="B579" s="238"/>
      <c r="C579" s="238"/>
      <c r="D579" s="238"/>
      <c r="E579" s="337"/>
      <c r="F579" s="338"/>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c r="A580" s="238"/>
      <c r="B580" s="238"/>
      <c r="C580" s="238"/>
      <c r="D580" s="238"/>
      <c r="E580" s="337"/>
      <c r="F580" s="338"/>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c r="A581" s="238"/>
      <c r="B581" s="238"/>
      <c r="C581" s="238"/>
      <c r="D581" s="238"/>
      <c r="E581" s="337"/>
      <c r="F581" s="338"/>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c r="A582" s="238"/>
      <c r="B582" s="238"/>
      <c r="C582" s="238"/>
      <c r="D582" s="238"/>
      <c r="E582" s="337"/>
      <c r="F582" s="338"/>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c r="A583" s="238"/>
      <c r="B583" s="238"/>
      <c r="C583" s="238"/>
      <c r="D583" s="238"/>
      <c r="E583" s="337"/>
      <c r="F583" s="338"/>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c r="A584" s="238"/>
      <c r="B584" s="238"/>
      <c r="C584" s="238"/>
      <c r="D584" s="238"/>
      <c r="E584" s="337"/>
      <c r="F584" s="338"/>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c r="A585" s="238"/>
      <c r="B585" s="238"/>
      <c r="C585" s="238"/>
      <c r="D585" s="238"/>
      <c r="E585" s="337"/>
      <c r="F585" s="338"/>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c r="A586" s="238"/>
      <c r="B586" s="238"/>
      <c r="C586" s="238"/>
      <c r="D586" s="238"/>
      <c r="E586" s="337"/>
      <c r="F586" s="338"/>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c r="A587" s="238"/>
      <c r="B587" s="238"/>
      <c r="C587" s="238"/>
      <c r="D587" s="238"/>
      <c r="E587" s="337"/>
      <c r="F587" s="338"/>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c r="A588" s="238"/>
      <c r="B588" s="238"/>
      <c r="C588" s="238"/>
      <c r="D588" s="238"/>
      <c r="E588" s="337"/>
      <c r="F588" s="338"/>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c r="A589" s="238"/>
      <c r="B589" s="238"/>
      <c r="C589" s="238"/>
      <c r="D589" s="238"/>
      <c r="E589" s="337"/>
      <c r="F589" s="338"/>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c r="A590" s="238"/>
      <c r="B590" s="238"/>
      <c r="C590" s="238"/>
      <c r="D590" s="238"/>
      <c r="E590" s="337"/>
      <c r="F590" s="338"/>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c r="A591" s="238"/>
      <c r="B591" s="238"/>
      <c r="C591" s="238"/>
      <c r="D591" s="238"/>
      <c r="E591" s="337"/>
      <c r="F591" s="338"/>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c r="A592" s="238"/>
      <c r="B592" s="238"/>
      <c r="C592" s="238"/>
      <c r="D592" s="238"/>
      <c r="E592" s="337"/>
      <c r="F592" s="338"/>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c r="A593" s="238"/>
      <c r="B593" s="238"/>
      <c r="C593" s="238"/>
      <c r="D593" s="238"/>
      <c r="E593" s="337"/>
      <c r="F593" s="338"/>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c r="A594" s="238"/>
      <c r="B594" s="238"/>
      <c r="C594" s="238"/>
      <c r="D594" s="238"/>
      <c r="E594" s="337"/>
      <c r="F594" s="338"/>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c r="A595" s="238"/>
      <c r="B595" s="238"/>
      <c r="C595" s="238"/>
      <c r="D595" s="238"/>
      <c r="E595" s="337"/>
      <c r="F595" s="338"/>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c r="A596" s="238"/>
      <c r="B596" s="238"/>
      <c r="C596" s="238"/>
      <c r="D596" s="238"/>
      <c r="E596" s="337"/>
      <c r="F596" s="338"/>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c r="A597" s="238"/>
      <c r="B597" s="238"/>
      <c r="C597" s="238"/>
      <c r="D597" s="238"/>
      <c r="E597" s="337"/>
      <c r="F597" s="338"/>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c r="A598" s="238"/>
      <c r="B598" s="238"/>
      <c r="C598" s="238"/>
      <c r="D598" s="238"/>
      <c r="E598" s="337"/>
      <c r="F598" s="338"/>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c r="A599" s="238"/>
      <c r="B599" s="238"/>
      <c r="C599" s="238"/>
      <c r="D599" s="238"/>
      <c r="E599" s="337"/>
      <c r="F599" s="338"/>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c r="A600" s="238"/>
      <c r="B600" s="238"/>
      <c r="C600" s="238"/>
      <c r="D600" s="238"/>
      <c r="E600" s="337"/>
      <c r="F600" s="338"/>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c r="A601" s="238"/>
      <c r="B601" s="238"/>
      <c r="C601" s="238"/>
      <c r="D601" s="238"/>
      <c r="E601" s="337"/>
      <c r="F601" s="338"/>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c r="A602" s="238"/>
      <c r="B602" s="238"/>
      <c r="C602" s="238"/>
      <c r="D602" s="238"/>
      <c r="E602" s="337"/>
      <c r="F602" s="338"/>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c r="A603" s="238"/>
      <c r="B603" s="238"/>
      <c r="C603" s="238"/>
      <c r="D603" s="238"/>
      <c r="E603" s="337"/>
      <c r="F603" s="338"/>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c r="A604" s="238"/>
      <c r="B604" s="238"/>
      <c r="C604" s="238"/>
      <c r="D604" s="238"/>
      <c r="E604" s="337"/>
      <c r="F604" s="338"/>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c r="A605" s="238"/>
      <c r="B605" s="238"/>
      <c r="C605" s="238"/>
      <c r="D605" s="238"/>
      <c r="E605" s="337"/>
      <c r="F605" s="338"/>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c r="A606" s="238"/>
      <c r="B606" s="238"/>
      <c r="C606" s="238"/>
      <c r="D606" s="238"/>
      <c r="E606" s="337"/>
      <c r="F606" s="338"/>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c r="A607" s="238"/>
      <c r="B607" s="238"/>
      <c r="C607" s="238"/>
      <c r="D607" s="238"/>
      <c r="E607" s="337"/>
      <c r="F607" s="338"/>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c r="A608" s="238"/>
      <c r="B608" s="238"/>
      <c r="C608" s="238"/>
      <c r="D608" s="238"/>
      <c r="E608" s="337"/>
      <c r="F608" s="338"/>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c r="A609" s="238"/>
      <c r="B609" s="238"/>
      <c r="C609" s="238"/>
      <c r="D609" s="238"/>
      <c r="E609" s="337"/>
      <c r="F609" s="338"/>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c r="A610" s="238"/>
      <c r="B610" s="238"/>
      <c r="C610" s="238"/>
      <c r="D610" s="238"/>
      <c r="E610" s="337"/>
      <c r="F610" s="338"/>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c r="A611" s="238"/>
      <c r="B611" s="238"/>
      <c r="C611" s="238"/>
      <c r="D611" s="238"/>
      <c r="E611" s="337"/>
      <c r="F611" s="338"/>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c r="A612" s="238"/>
      <c r="B612" s="238"/>
      <c r="C612" s="238"/>
      <c r="D612" s="238"/>
      <c r="E612" s="337"/>
      <c r="F612" s="338"/>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c r="A613" s="238"/>
      <c r="B613" s="238"/>
      <c r="C613" s="238"/>
      <c r="D613" s="238"/>
      <c r="E613" s="337"/>
      <c r="F613" s="338"/>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c r="A614" s="238"/>
      <c r="B614" s="238"/>
      <c r="C614" s="238"/>
      <c r="D614" s="238"/>
      <c r="E614" s="337"/>
      <c r="F614" s="338"/>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c r="A615" s="238"/>
      <c r="B615" s="238"/>
      <c r="C615" s="238"/>
      <c r="D615" s="238"/>
      <c r="E615" s="337"/>
      <c r="F615" s="338"/>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c r="A616" s="238"/>
      <c r="B616" s="238"/>
      <c r="C616" s="238"/>
      <c r="D616" s="238"/>
      <c r="E616" s="337"/>
      <c r="F616" s="338"/>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c r="A617" s="238"/>
      <c r="B617" s="238"/>
      <c r="C617" s="238"/>
      <c r="D617" s="238"/>
      <c r="E617" s="337"/>
      <c r="F617" s="338"/>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c r="A618" s="238"/>
      <c r="B618" s="238"/>
      <c r="C618" s="238"/>
      <c r="D618" s="238"/>
      <c r="E618" s="337"/>
      <c r="F618" s="338"/>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c r="A619" s="238"/>
      <c r="B619" s="238"/>
      <c r="C619" s="238"/>
      <c r="D619" s="238"/>
      <c r="E619" s="337"/>
      <c r="F619" s="338"/>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c r="A620" s="238"/>
      <c r="B620" s="238"/>
      <c r="C620" s="238"/>
      <c r="D620" s="238"/>
      <c r="E620" s="337"/>
      <c r="F620" s="338"/>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c r="A621" s="238"/>
      <c r="B621" s="238"/>
      <c r="C621" s="238"/>
      <c r="D621" s="238"/>
      <c r="E621" s="337"/>
      <c r="F621" s="338"/>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c r="A622" s="238"/>
      <c r="B622" s="238"/>
      <c r="C622" s="238"/>
      <c r="D622" s="238"/>
      <c r="E622" s="337"/>
      <c r="F622" s="338"/>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c r="A623" s="238"/>
      <c r="B623" s="238"/>
      <c r="C623" s="238"/>
      <c r="D623" s="238"/>
      <c r="E623" s="337"/>
      <c r="F623" s="338"/>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c r="A624" s="238"/>
      <c r="B624" s="238"/>
      <c r="C624" s="238"/>
      <c r="D624" s="238"/>
      <c r="E624" s="337"/>
      <c r="F624" s="338"/>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c r="A625" s="238"/>
      <c r="B625" s="238"/>
      <c r="C625" s="238"/>
      <c r="D625" s="238"/>
      <c r="E625" s="337"/>
      <c r="F625" s="338"/>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c r="A626" s="238"/>
      <c r="B626" s="238"/>
      <c r="C626" s="238"/>
      <c r="D626" s="238"/>
      <c r="E626" s="337"/>
      <c r="F626" s="338"/>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c r="A627" s="238"/>
      <c r="B627" s="238"/>
      <c r="C627" s="238"/>
      <c r="D627" s="238"/>
      <c r="E627" s="337"/>
      <c r="F627" s="338"/>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c r="A628" s="238"/>
      <c r="B628" s="238"/>
      <c r="C628" s="238"/>
      <c r="D628" s="238"/>
      <c r="E628" s="337"/>
      <c r="F628" s="338"/>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c r="A629" s="238"/>
      <c r="B629" s="238"/>
      <c r="C629" s="238"/>
      <c r="D629" s="238"/>
      <c r="E629" s="337"/>
      <c r="F629" s="338"/>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c r="A630" s="238"/>
      <c r="B630" s="238"/>
      <c r="C630" s="238"/>
      <c r="D630" s="238"/>
      <c r="E630" s="337"/>
      <c r="F630" s="338"/>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c r="A631" s="238"/>
      <c r="B631" s="238"/>
      <c r="C631" s="238"/>
      <c r="D631" s="238"/>
      <c r="E631" s="337"/>
      <c r="F631" s="338"/>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c r="A632" s="238"/>
      <c r="B632" s="238"/>
      <c r="C632" s="238"/>
      <c r="D632" s="238"/>
      <c r="E632" s="337"/>
      <c r="F632" s="338"/>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c r="A633" s="238"/>
      <c r="B633" s="238"/>
      <c r="C633" s="238"/>
      <c r="D633" s="238"/>
      <c r="E633" s="337"/>
      <c r="F633" s="338"/>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c r="A634" s="238"/>
      <c r="B634" s="238"/>
      <c r="C634" s="238"/>
      <c r="D634" s="238"/>
      <c r="E634" s="337"/>
      <c r="F634" s="338"/>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c r="A635" s="238"/>
      <c r="B635" s="238"/>
      <c r="C635" s="238"/>
      <c r="D635" s="238"/>
      <c r="E635" s="337"/>
      <c r="F635" s="338"/>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c r="A636" s="238"/>
      <c r="B636" s="238"/>
      <c r="C636" s="238"/>
      <c r="D636" s="238"/>
      <c r="E636" s="337"/>
      <c r="F636" s="338"/>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c r="A637" s="238"/>
      <c r="B637" s="238"/>
      <c r="C637" s="238"/>
      <c r="D637" s="238"/>
      <c r="E637" s="337"/>
      <c r="F637" s="338"/>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c r="A638" s="238"/>
      <c r="B638" s="238"/>
      <c r="C638" s="238"/>
      <c r="D638" s="238"/>
      <c r="E638" s="337"/>
      <c r="F638" s="338"/>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c r="A639" s="238"/>
      <c r="B639" s="238"/>
      <c r="C639" s="238"/>
      <c r="D639" s="238"/>
      <c r="E639" s="337"/>
      <c r="F639" s="338"/>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c r="A640" s="238"/>
      <c r="B640" s="238"/>
      <c r="C640" s="238"/>
      <c r="D640" s="238"/>
      <c r="E640" s="337"/>
      <c r="F640" s="338"/>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c r="A641" s="238"/>
      <c r="B641" s="238"/>
      <c r="C641" s="238"/>
      <c r="D641" s="238"/>
      <c r="E641" s="337"/>
      <c r="F641" s="338"/>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c r="A642" s="238"/>
      <c r="B642" s="238"/>
      <c r="C642" s="238"/>
      <c r="D642" s="238"/>
      <c r="E642" s="337"/>
      <c r="F642" s="338"/>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c r="A643" s="238"/>
      <c r="B643" s="238"/>
      <c r="C643" s="238"/>
      <c r="D643" s="238"/>
      <c r="E643" s="337"/>
      <c r="F643" s="338"/>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c r="A644" s="238"/>
      <c r="B644" s="238"/>
      <c r="C644" s="238"/>
      <c r="D644" s="238"/>
      <c r="E644" s="337"/>
      <c r="F644" s="338"/>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c r="A645" s="238"/>
      <c r="B645" s="238"/>
      <c r="C645" s="238"/>
      <c r="D645" s="238"/>
      <c r="E645" s="337"/>
      <c r="F645" s="338"/>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c r="A646" s="238"/>
      <c r="B646" s="238"/>
      <c r="C646" s="238"/>
      <c r="D646" s="238"/>
      <c r="E646" s="337"/>
      <c r="F646" s="338"/>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c r="A647" s="238"/>
      <c r="B647" s="238"/>
      <c r="C647" s="238"/>
      <c r="D647" s="238"/>
      <c r="E647" s="337"/>
      <c r="F647" s="338"/>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c r="A648" s="238"/>
      <c r="B648" s="238"/>
      <c r="C648" s="238"/>
      <c r="D648" s="238"/>
      <c r="E648" s="337"/>
      <c r="F648" s="338"/>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c r="A649" s="238"/>
      <c r="B649" s="238"/>
      <c r="C649" s="238"/>
      <c r="D649" s="238"/>
      <c r="E649" s="337"/>
      <c r="F649" s="338"/>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c r="A650" s="238"/>
      <c r="B650" s="238"/>
      <c r="C650" s="238"/>
      <c r="D650" s="238"/>
      <c r="E650" s="337"/>
      <c r="F650" s="338"/>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c r="A651" s="238"/>
      <c r="B651" s="238"/>
      <c r="C651" s="238"/>
      <c r="D651" s="238"/>
      <c r="E651" s="337"/>
      <c r="F651" s="338"/>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c r="A652" s="238"/>
      <c r="B652" s="238"/>
      <c r="C652" s="238"/>
      <c r="D652" s="238"/>
      <c r="E652" s="337"/>
      <c r="F652" s="338"/>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c r="A653" s="238"/>
      <c r="B653" s="238"/>
      <c r="C653" s="238"/>
      <c r="D653" s="238"/>
      <c r="E653" s="337"/>
      <c r="F653" s="338"/>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c r="A654" s="238"/>
      <c r="B654" s="238"/>
      <c r="C654" s="238"/>
      <c r="D654" s="238"/>
      <c r="E654" s="337"/>
      <c r="F654" s="338"/>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c r="A655" s="238"/>
      <c r="B655" s="238"/>
      <c r="C655" s="238"/>
      <c r="D655" s="238"/>
      <c r="E655" s="337"/>
      <c r="F655" s="338"/>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c r="A656" s="238"/>
      <c r="B656" s="238"/>
      <c r="C656" s="238"/>
      <c r="D656" s="238"/>
      <c r="E656" s="337"/>
      <c r="F656" s="338"/>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c r="A657" s="238"/>
      <c r="B657" s="238"/>
      <c r="C657" s="238"/>
      <c r="D657" s="238"/>
      <c r="E657" s="337"/>
      <c r="F657" s="338"/>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c r="A658" s="238"/>
      <c r="B658" s="238"/>
      <c r="C658" s="238"/>
      <c r="D658" s="238"/>
      <c r="E658" s="337"/>
      <c r="F658" s="338"/>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c r="A659" s="238"/>
      <c r="B659" s="238"/>
      <c r="C659" s="238"/>
      <c r="D659" s="238"/>
      <c r="E659" s="337"/>
      <c r="F659" s="338"/>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c r="A660" s="238"/>
      <c r="B660" s="238"/>
      <c r="C660" s="238"/>
      <c r="D660" s="238"/>
      <c r="E660" s="337"/>
      <c r="F660" s="338"/>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c r="A661" s="238"/>
      <c r="B661" s="238"/>
      <c r="C661" s="238"/>
      <c r="D661" s="238"/>
      <c r="E661" s="337"/>
      <c r="F661" s="338"/>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c r="A662" s="238"/>
      <c r="B662" s="238"/>
      <c r="C662" s="238"/>
      <c r="D662" s="238"/>
      <c r="E662" s="337"/>
      <c r="F662" s="338"/>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c r="A663" s="238"/>
      <c r="B663" s="238"/>
      <c r="C663" s="238"/>
      <c r="D663" s="238"/>
      <c r="E663" s="337"/>
      <c r="F663" s="338"/>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c r="A664" s="238"/>
      <c r="B664" s="238"/>
      <c r="C664" s="238"/>
      <c r="D664" s="238"/>
      <c r="E664" s="337"/>
      <c r="F664" s="338"/>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c r="A665" s="238"/>
      <c r="B665" s="238"/>
      <c r="C665" s="238"/>
      <c r="D665" s="238"/>
      <c r="E665" s="337"/>
      <c r="F665" s="338"/>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c r="A666" s="238"/>
      <c r="B666" s="238"/>
      <c r="C666" s="238"/>
      <c r="D666" s="238"/>
      <c r="E666" s="337"/>
      <c r="F666" s="338"/>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c r="A667" s="238"/>
      <c r="B667" s="238"/>
      <c r="C667" s="238"/>
      <c r="D667" s="238"/>
      <c r="E667" s="337"/>
      <c r="F667" s="338"/>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c r="A668" s="238"/>
      <c r="B668" s="238"/>
      <c r="C668" s="238"/>
      <c r="D668" s="238"/>
      <c r="E668" s="337"/>
      <c r="F668" s="338"/>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c r="A669" s="238"/>
      <c r="B669" s="238"/>
      <c r="C669" s="238"/>
      <c r="D669" s="238"/>
      <c r="E669" s="337"/>
      <c r="F669" s="338"/>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c r="A670" s="238"/>
      <c r="B670" s="238"/>
      <c r="C670" s="238"/>
      <c r="D670" s="238"/>
      <c r="E670" s="337"/>
      <c r="F670" s="338"/>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c r="A671" s="238"/>
      <c r="B671" s="238"/>
      <c r="C671" s="238"/>
      <c r="D671" s="238"/>
      <c r="E671" s="337"/>
      <c r="F671" s="338"/>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c r="A672" s="238"/>
      <c r="B672" s="238"/>
      <c r="C672" s="238"/>
      <c r="D672" s="238"/>
      <c r="E672" s="337"/>
      <c r="F672" s="338"/>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c r="A673" s="238"/>
      <c r="B673" s="238"/>
      <c r="C673" s="238"/>
      <c r="D673" s="238"/>
      <c r="E673" s="337"/>
      <c r="F673" s="338"/>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c r="A674" s="238"/>
      <c r="B674" s="238"/>
      <c r="C674" s="238"/>
      <c r="D674" s="238"/>
      <c r="E674" s="337"/>
      <c r="F674" s="338"/>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c r="A675" s="238"/>
      <c r="B675" s="238"/>
      <c r="C675" s="238"/>
      <c r="D675" s="238"/>
      <c r="E675" s="337"/>
      <c r="F675" s="338"/>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c r="A676" s="238"/>
      <c r="B676" s="238"/>
      <c r="C676" s="238"/>
      <c r="D676" s="238"/>
      <c r="E676" s="337"/>
      <c r="F676" s="338"/>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c r="A677" s="238"/>
      <c r="B677" s="238"/>
      <c r="C677" s="238"/>
      <c r="D677" s="238"/>
      <c r="E677" s="337"/>
      <c r="F677" s="338"/>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c r="A678" s="238"/>
      <c r="B678" s="238"/>
      <c r="C678" s="238"/>
      <c r="D678" s="238"/>
      <c r="E678" s="337"/>
      <c r="F678" s="338"/>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c r="A679" s="238"/>
      <c r="B679" s="238"/>
      <c r="C679" s="238"/>
      <c r="D679" s="238"/>
      <c r="E679" s="337"/>
      <c r="F679" s="338"/>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c r="A680" s="238"/>
      <c r="B680" s="238"/>
      <c r="C680" s="238"/>
      <c r="D680" s="238"/>
      <c r="E680" s="337"/>
      <c r="F680" s="338"/>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c r="A681" s="238"/>
      <c r="B681" s="238"/>
      <c r="C681" s="238"/>
      <c r="D681" s="238"/>
      <c r="E681" s="337"/>
      <c r="F681" s="338"/>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c r="A682" s="238"/>
      <c r="B682" s="238"/>
      <c r="C682" s="238"/>
      <c r="D682" s="238"/>
      <c r="E682" s="337"/>
      <c r="F682" s="338"/>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c r="A683" s="238"/>
      <c r="B683" s="238"/>
      <c r="C683" s="238"/>
      <c r="D683" s="238"/>
      <c r="E683" s="337"/>
      <c r="F683" s="338"/>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c r="A684" s="238"/>
      <c r="B684" s="238"/>
      <c r="C684" s="238"/>
      <c r="D684" s="238"/>
      <c r="E684" s="337"/>
      <c r="F684" s="338"/>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c r="A685" s="238"/>
      <c r="B685" s="238"/>
      <c r="C685" s="238"/>
      <c r="D685" s="238"/>
      <c r="E685" s="337"/>
      <c r="F685" s="338"/>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c r="A686" s="238"/>
      <c r="B686" s="238"/>
      <c r="C686" s="238"/>
      <c r="D686" s="238"/>
      <c r="E686" s="337"/>
      <c r="F686" s="338"/>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c r="A687" s="238"/>
      <c r="B687" s="238"/>
      <c r="C687" s="238"/>
      <c r="D687" s="238"/>
      <c r="E687" s="337"/>
      <c r="F687" s="338"/>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c r="A688" s="238"/>
      <c r="B688" s="238"/>
      <c r="C688" s="238"/>
      <c r="D688" s="238"/>
      <c r="E688" s="337"/>
      <c r="F688" s="338"/>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c r="A689" s="238"/>
      <c r="B689" s="238"/>
      <c r="C689" s="238"/>
      <c r="D689" s="238"/>
      <c r="E689" s="337"/>
      <c r="F689" s="338"/>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c r="A690" s="238"/>
      <c r="B690" s="238"/>
      <c r="C690" s="238"/>
      <c r="D690" s="238"/>
      <c r="E690" s="337"/>
      <c r="F690" s="338"/>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c r="A691" s="238"/>
      <c r="B691" s="238"/>
      <c r="C691" s="238"/>
      <c r="D691" s="238"/>
      <c r="E691" s="337"/>
      <c r="F691" s="338"/>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c r="A692" s="238"/>
      <c r="B692" s="238"/>
      <c r="C692" s="238"/>
      <c r="D692" s="238"/>
      <c r="E692" s="337"/>
      <c r="F692" s="338"/>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c r="A693" s="238"/>
      <c r="B693" s="238"/>
      <c r="C693" s="238"/>
      <c r="D693" s="238"/>
      <c r="E693" s="337"/>
      <c r="F693" s="338"/>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c r="A694" s="238"/>
      <c r="B694" s="238"/>
      <c r="C694" s="238"/>
      <c r="D694" s="238"/>
      <c r="E694" s="337"/>
      <c r="F694" s="338"/>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c r="A695" s="238"/>
      <c r="B695" s="238"/>
      <c r="C695" s="238"/>
      <c r="D695" s="238"/>
      <c r="E695" s="337"/>
      <c r="F695" s="338"/>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c r="A696" s="238"/>
      <c r="B696" s="238"/>
      <c r="C696" s="238"/>
      <c r="D696" s="238"/>
      <c r="E696" s="337"/>
      <c r="F696" s="338"/>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c r="A697" s="238"/>
      <c r="B697" s="238"/>
      <c r="C697" s="238"/>
      <c r="D697" s="238"/>
      <c r="E697" s="337"/>
      <c r="F697" s="338"/>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c r="A698" s="238"/>
      <c r="B698" s="238"/>
      <c r="C698" s="238"/>
      <c r="D698" s="238"/>
      <c r="E698" s="337"/>
      <c r="F698" s="338"/>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c r="A699" s="238"/>
      <c r="B699" s="238"/>
      <c r="C699" s="238"/>
      <c r="D699" s="238"/>
      <c r="E699" s="337"/>
      <c r="F699" s="338"/>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c r="A700" s="238"/>
      <c r="B700" s="238"/>
      <c r="C700" s="238"/>
      <c r="D700" s="238"/>
      <c r="E700" s="337"/>
      <c r="F700" s="338"/>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c r="A701" s="238"/>
      <c r="B701" s="238"/>
      <c r="C701" s="238"/>
      <c r="D701" s="238"/>
      <c r="E701" s="337"/>
      <c r="F701" s="338"/>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c r="A702" s="238"/>
      <c r="B702" s="238"/>
      <c r="C702" s="238"/>
      <c r="D702" s="238"/>
      <c r="E702" s="337"/>
      <c r="F702" s="338"/>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c r="A703" s="238"/>
      <c r="B703" s="238"/>
      <c r="C703" s="238"/>
      <c r="D703" s="238"/>
      <c r="E703" s="337"/>
      <c r="F703" s="338"/>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c r="A704" s="238"/>
      <c r="B704" s="238"/>
      <c r="C704" s="238"/>
      <c r="D704" s="238"/>
      <c r="E704" s="337"/>
      <c r="F704" s="338"/>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c r="A705" s="238"/>
      <c r="B705" s="238"/>
      <c r="C705" s="238"/>
      <c r="D705" s="238"/>
      <c r="E705" s="337"/>
      <c r="F705" s="338"/>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c r="A706" s="238"/>
      <c r="B706" s="238"/>
      <c r="C706" s="238"/>
      <c r="D706" s="238"/>
      <c r="E706" s="337"/>
      <c r="F706" s="338"/>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c r="A707" s="238"/>
      <c r="B707" s="238"/>
      <c r="C707" s="238"/>
      <c r="D707" s="238"/>
      <c r="E707" s="337"/>
      <c r="F707" s="338"/>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c r="A708" s="238"/>
      <c r="B708" s="238"/>
      <c r="C708" s="238"/>
      <c r="D708" s="238"/>
      <c r="E708" s="337"/>
      <c r="F708" s="338"/>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c r="A709" s="238"/>
      <c r="B709" s="238"/>
      <c r="C709" s="238"/>
      <c r="D709" s="238"/>
      <c r="E709" s="337"/>
      <c r="F709" s="338"/>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c r="A710" s="238"/>
      <c r="B710" s="238"/>
      <c r="C710" s="238"/>
      <c r="D710" s="238"/>
      <c r="E710" s="337"/>
      <c r="F710" s="338"/>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c r="A711" s="238"/>
      <c r="B711" s="238"/>
      <c r="C711" s="238"/>
      <c r="D711" s="238"/>
      <c r="E711" s="337"/>
      <c r="F711" s="338"/>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c r="A712" s="238"/>
      <c r="B712" s="238"/>
      <c r="C712" s="238"/>
      <c r="D712" s="238"/>
      <c r="E712" s="337"/>
      <c r="F712" s="338"/>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c r="A713" s="238"/>
      <c r="B713" s="238"/>
      <c r="C713" s="238"/>
      <c r="D713" s="238"/>
      <c r="E713" s="337"/>
      <c r="F713" s="338"/>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c r="A714" s="238"/>
      <c r="B714" s="238"/>
      <c r="C714" s="238"/>
      <c r="D714" s="238"/>
      <c r="E714" s="337"/>
      <c r="F714" s="338"/>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c r="A715" s="238"/>
      <c r="B715" s="238"/>
      <c r="C715" s="238"/>
      <c r="D715" s="238"/>
      <c r="E715" s="337"/>
      <c r="F715" s="338"/>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c r="A716" s="238"/>
      <c r="B716" s="238"/>
      <c r="C716" s="238"/>
      <c r="D716" s="238"/>
      <c r="E716" s="337"/>
      <c r="F716" s="338"/>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c r="A717" s="238"/>
      <c r="B717" s="238"/>
      <c r="C717" s="238"/>
      <c r="D717" s="238"/>
      <c r="E717" s="337"/>
      <c r="F717" s="338"/>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c r="A718" s="238"/>
      <c r="B718" s="238"/>
      <c r="C718" s="238"/>
      <c r="D718" s="238"/>
      <c r="E718" s="337"/>
      <c r="F718" s="338"/>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c r="A719" s="238"/>
      <c r="B719" s="238"/>
      <c r="C719" s="238"/>
      <c r="D719" s="238"/>
      <c r="E719" s="337"/>
      <c r="F719" s="338"/>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c r="A720" s="238"/>
      <c r="B720" s="238"/>
      <c r="C720" s="238"/>
      <c r="D720" s="238"/>
      <c r="E720" s="337"/>
      <c r="F720" s="338"/>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c r="A721" s="238"/>
      <c r="B721" s="238"/>
      <c r="C721" s="238"/>
      <c r="D721" s="238"/>
      <c r="E721" s="337"/>
      <c r="F721" s="338"/>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c r="A722" s="238"/>
      <c r="B722" s="238"/>
      <c r="C722" s="238"/>
      <c r="D722" s="238"/>
      <c r="E722" s="337"/>
      <c r="F722" s="338"/>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c r="A723" s="238"/>
      <c r="B723" s="238"/>
      <c r="C723" s="238"/>
      <c r="D723" s="238"/>
      <c r="E723" s="337"/>
      <c r="F723" s="338"/>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c r="A724" s="238"/>
      <c r="B724" s="238"/>
      <c r="C724" s="238"/>
      <c r="D724" s="238"/>
      <c r="E724" s="337"/>
      <c r="F724" s="338"/>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c r="A725" s="238"/>
      <c r="B725" s="238"/>
      <c r="C725" s="238"/>
      <c r="D725" s="238"/>
      <c r="E725" s="337"/>
      <c r="F725" s="338"/>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c r="A726" s="238"/>
      <c r="B726" s="238"/>
      <c r="C726" s="238"/>
      <c r="D726" s="238"/>
      <c r="E726" s="337"/>
      <c r="F726" s="338"/>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c r="A727" s="238"/>
      <c r="B727" s="238"/>
      <c r="C727" s="238"/>
      <c r="D727" s="238"/>
      <c r="E727" s="337"/>
      <c r="F727" s="338"/>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c r="A728" s="238"/>
      <c r="B728" s="238"/>
      <c r="C728" s="238"/>
      <c r="D728" s="238"/>
      <c r="E728" s="337"/>
      <c r="F728" s="338"/>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c r="A729" s="238"/>
      <c r="B729" s="238"/>
      <c r="C729" s="238"/>
      <c r="D729" s="238"/>
      <c r="E729" s="337"/>
      <c r="F729" s="338"/>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c r="A730" s="238"/>
      <c r="B730" s="238"/>
      <c r="C730" s="238"/>
      <c r="D730" s="238"/>
      <c r="E730" s="337"/>
      <c r="F730" s="338"/>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c r="A731" s="238"/>
      <c r="B731" s="238"/>
      <c r="C731" s="238"/>
      <c r="D731" s="238"/>
      <c r="E731" s="337"/>
      <c r="F731" s="338"/>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c r="A732" s="238"/>
      <c r="B732" s="238"/>
      <c r="C732" s="238"/>
      <c r="D732" s="238"/>
      <c r="E732" s="337"/>
      <c r="F732" s="338"/>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c r="A733" s="238"/>
      <c r="B733" s="238"/>
      <c r="C733" s="238"/>
      <c r="D733" s="238"/>
      <c r="E733" s="337"/>
      <c r="F733" s="338"/>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c r="A734" s="238"/>
      <c r="B734" s="238"/>
      <c r="C734" s="238"/>
      <c r="D734" s="238"/>
      <c r="E734" s="337"/>
      <c r="F734" s="338"/>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c r="A735" s="238"/>
      <c r="B735" s="238"/>
      <c r="C735" s="238"/>
      <c r="D735" s="238"/>
      <c r="E735" s="337"/>
      <c r="F735" s="338"/>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c r="A736" s="238"/>
      <c r="B736" s="238"/>
      <c r="C736" s="238"/>
      <c r="D736" s="238"/>
      <c r="E736" s="337"/>
      <c r="F736" s="338"/>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c r="A737" s="238"/>
      <c r="B737" s="238"/>
      <c r="C737" s="238"/>
      <c r="D737" s="238"/>
      <c r="E737" s="337"/>
      <c r="F737" s="338"/>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c r="A738" s="238"/>
      <c r="B738" s="238"/>
      <c r="C738" s="238"/>
      <c r="D738" s="238"/>
      <c r="E738" s="337"/>
      <c r="F738" s="338"/>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c r="A739" s="238"/>
      <c r="B739" s="238"/>
      <c r="C739" s="238"/>
      <c r="D739" s="238"/>
      <c r="E739" s="337"/>
      <c r="F739" s="338"/>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c r="A740" s="238"/>
      <c r="B740" s="238"/>
      <c r="C740" s="238"/>
      <c r="D740" s="238"/>
      <c r="E740" s="337"/>
      <c r="F740" s="338"/>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c r="A741" s="238"/>
      <c r="B741" s="238"/>
      <c r="C741" s="238"/>
      <c r="D741" s="238"/>
      <c r="E741" s="337"/>
      <c r="F741" s="338"/>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c r="A742" s="238"/>
      <c r="B742" s="238"/>
      <c r="C742" s="238"/>
      <c r="D742" s="238"/>
      <c r="E742" s="337"/>
      <c r="F742" s="338"/>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c r="A743" s="238"/>
      <c r="B743" s="238"/>
      <c r="C743" s="238"/>
      <c r="D743" s="238"/>
      <c r="E743" s="337"/>
      <c r="F743" s="338"/>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c r="A744" s="238"/>
      <c r="B744" s="238"/>
      <c r="C744" s="238"/>
      <c r="D744" s="238"/>
      <c r="E744" s="337"/>
      <c r="F744" s="338"/>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c r="A745" s="238"/>
      <c r="B745" s="238"/>
      <c r="C745" s="238"/>
      <c r="D745" s="238"/>
      <c r="E745" s="337"/>
      <c r="F745" s="338"/>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c r="A746" s="238"/>
      <c r="B746" s="238"/>
      <c r="C746" s="238"/>
      <c r="D746" s="238"/>
      <c r="E746" s="337"/>
      <c r="F746" s="338"/>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c r="A747" s="238"/>
      <c r="B747" s="238"/>
      <c r="C747" s="238"/>
      <c r="D747" s="238"/>
      <c r="E747" s="337"/>
      <c r="F747" s="338"/>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c r="A748" s="238"/>
      <c r="B748" s="238"/>
      <c r="C748" s="238"/>
      <c r="D748" s="238"/>
      <c r="E748" s="337"/>
      <c r="F748" s="338"/>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c r="A749" s="238"/>
      <c r="B749" s="238"/>
      <c r="C749" s="238"/>
      <c r="D749" s="238"/>
      <c r="E749" s="337"/>
      <c r="F749" s="338"/>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c r="A750" s="238"/>
      <c r="B750" s="238"/>
      <c r="C750" s="238"/>
      <c r="D750" s="238"/>
      <c r="E750" s="337"/>
      <c r="F750" s="338"/>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c r="A751" s="238"/>
      <c r="B751" s="238"/>
      <c r="C751" s="238"/>
      <c r="D751" s="238"/>
      <c r="E751" s="337"/>
      <c r="F751" s="338"/>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c r="A752" s="238"/>
      <c r="B752" s="238"/>
      <c r="C752" s="238"/>
      <c r="D752" s="238"/>
      <c r="E752" s="337"/>
      <c r="F752" s="338"/>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c r="A753" s="238"/>
      <c r="B753" s="238"/>
      <c r="C753" s="238"/>
      <c r="D753" s="238"/>
      <c r="E753" s="337"/>
      <c r="F753" s="338"/>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c r="A754" s="238"/>
      <c r="B754" s="238"/>
      <c r="C754" s="238"/>
      <c r="D754" s="238"/>
      <c r="E754" s="337"/>
      <c r="F754" s="338"/>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c r="A755" s="238"/>
      <c r="B755" s="238"/>
      <c r="C755" s="238"/>
      <c r="D755" s="238"/>
      <c r="E755" s="337"/>
      <c r="F755" s="338"/>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c r="A756" s="238"/>
      <c r="B756" s="238"/>
      <c r="C756" s="238"/>
      <c r="D756" s="238"/>
      <c r="E756" s="337"/>
      <c r="F756" s="338"/>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c r="A757" s="238"/>
      <c r="B757" s="238"/>
      <c r="C757" s="238"/>
      <c r="D757" s="238"/>
      <c r="E757" s="337"/>
      <c r="F757" s="338"/>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c r="A758" s="238"/>
      <c r="B758" s="238"/>
      <c r="C758" s="238"/>
      <c r="D758" s="238"/>
      <c r="E758" s="337"/>
      <c r="F758" s="338"/>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c r="A759" s="238"/>
      <c r="B759" s="238"/>
      <c r="C759" s="238"/>
      <c r="D759" s="238"/>
      <c r="E759" s="337"/>
      <c r="F759" s="338"/>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c r="A760" s="238"/>
      <c r="B760" s="238"/>
      <c r="C760" s="238"/>
      <c r="D760" s="238"/>
      <c r="E760" s="337"/>
      <c r="F760" s="338"/>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c r="A761" s="238"/>
      <c r="B761" s="238"/>
      <c r="C761" s="238"/>
      <c r="D761" s="238"/>
      <c r="E761" s="337"/>
      <c r="F761" s="338"/>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c r="A762" s="238"/>
      <c r="B762" s="238"/>
      <c r="C762" s="238"/>
      <c r="D762" s="238"/>
      <c r="E762" s="337"/>
      <c r="F762" s="338"/>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c r="A763" s="238"/>
      <c r="B763" s="238"/>
      <c r="C763" s="238"/>
      <c r="D763" s="238"/>
      <c r="E763" s="337"/>
      <c r="F763" s="338"/>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c r="A764" s="238"/>
      <c r="B764" s="238"/>
      <c r="C764" s="238"/>
      <c r="D764" s="238"/>
      <c r="E764" s="337"/>
      <c r="F764" s="338"/>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c r="A765" s="238"/>
      <c r="B765" s="238"/>
      <c r="C765" s="238"/>
      <c r="D765" s="238"/>
      <c r="E765" s="337"/>
      <c r="F765" s="338"/>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c r="A766" s="238"/>
      <c r="B766" s="238"/>
      <c r="C766" s="238"/>
      <c r="D766" s="238"/>
      <c r="E766" s="337"/>
      <c r="F766" s="338"/>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c r="A767" s="238"/>
      <c r="B767" s="238"/>
      <c r="C767" s="238"/>
      <c r="D767" s="238"/>
      <c r="E767" s="337"/>
      <c r="F767" s="338"/>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c r="A768" s="238"/>
      <c r="B768" s="238"/>
      <c r="C768" s="238"/>
      <c r="D768" s="238"/>
      <c r="E768" s="337"/>
      <c r="F768" s="338"/>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c r="A769" s="238"/>
      <c r="B769" s="238"/>
      <c r="C769" s="238"/>
      <c r="D769" s="238"/>
      <c r="E769" s="337"/>
      <c r="F769" s="338"/>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c r="A770" s="238"/>
      <c r="B770" s="238"/>
      <c r="C770" s="238"/>
      <c r="D770" s="238"/>
      <c r="E770" s="337"/>
      <c r="F770" s="338"/>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c r="A771" s="238"/>
      <c r="B771" s="238"/>
      <c r="C771" s="238"/>
      <c r="D771" s="238"/>
      <c r="E771" s="337"/>
      <c r="F771" s="338"/>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c r="A772" s="238"/>
      <c r="B772" s="238"/>
      <c r="C772" s="238"/>
      <c r="D772" s="238"/>
      <c r="E772" s="337"/>
      <c r="F772" s="338"/>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c r="A773" s="238"/>
      <c r="B773" s="238"/>
      <c r="C773" s="238"/>
      <c r="D773" s="238"/>
      <c r="E773" s="337"/>
      <c r="F773" s="338"/>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c r="A774" s="238"/>
      <c r="B774" s="238"/>
      <c r="C774" s="238"/>
      <c r="D774" s="238"/>
      <c r="E774" s="337"/>
      <c r="F774" s="338"/>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c r="A775" s="238"/>
      <c r="B775" s="238"/>
      <c r="C775" s="238"/>
      <c r="D775" s="238"/>
      <c r="E775" s="337"/>
      <c r="F775" s="338"/>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c r="A776" s="238"/>
      <c r="B776" s="238"/>
      <c r="C776" s="238"/>
      <c r="D776" s="238"/>
      <c r="E776" s="337"/>
      <c r="F776" s="338"/>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c r="A777" s="238"/>
      <c r="B777" s="238"/>
      <c r="C777" s="238"/>
      <c r="D777" s="238"/>
      <c r="E777" s="337"/>
      <c r="F777" s="338"/>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c r="A778" s="238"/>
      <c r="B778" s="238"/>
      <c r="C778" s="238"/>
      <c r="D778" s="238"/>
      <c r="E778" s="337"/>
      <c r="F778" s="338"/>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c r="A779" s="238"/>
      <c r="B779" s="238"/>
      <c r="C779" s="238"/>
      <c r="D779" s="238"/>
      <c r="E779" s="337"/>
      <c r="F779" s="338"/>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c r="A780" s="238"/>
      <c r="B780" s="238"/>
      <c r="C780" s="238"/>
      <c r="D780" s="238"/>
      <c r="E780" s="337"/>
      <c r="F780" s="338"/>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c r="A781" s="238"/>
      <c r="B781" s="238"/>
      <c r="C781" s="238"/>
      <c r="D781" s="238"/>
      <c r="E781" s="337"/>
      <c r="F781" s="338"/>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c r="A782" s="238"/>
      <c r="B782" s="238"/>
      <c r="C782" s="238"/>
      <c r="D782" s="238"/>
      <c r="E782" s="337"/>
      <c r="F782" s="338"/>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c r="A783" s="238"/>
      <c r="B783" s="238"/>
      <c r="C783" s="238"/>
      <c r="D783" s="238"/>
      <c r="E783" s="337"/>
      <c r="F783" s="338"/>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c r="A784" s="238"/>
      <c r="B784" s="238"/>
      <c r="C784" s="238"/>
      <c r="D784" s="238"/>
      <c r="E784" s="337"/>
      <c r="F784" s="338"/>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c r="A785" s="238"/>
      <c r="B785" s="238"/>
      <c r="C785" s="238"/>
      <c r="D785" s="238"/>
      <c r="E785" s="337"/>
      <c r="F785" s="338"/>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c r="A786" s="238"/>
      <c r="B786" s="238"/>
      <c r="C786" s="238"/>
      <c r="D786" s="238"/>
      <c r="E786" s="337"/>
      <c r="F786" s="338"/>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c r="A787" s="238"/>
      <c r="B787" s="238"/>
      <c r="C787" s="238"/>
      <c r="D787" s="238"/>
      <c r="E787" s="337"/>
      <c r="F787" s="338"/>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c r="A788" s="238"/>
      <c r="B788" s="238"/>
      <c r="C788" s="238"/>
      <c r="D788" s="238"/>
      <c r="E788" s="337"/>
      <c r="F788" s="338"/>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c r="A789" s="238"/>
      <c r="B789" s="238"/>
      <c r="C789" s="238"/>
      <c r="D789" s="238"/>
      <c r="E789" s="337"/>
      <c r="F789" s="338"/>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c r="A790" s="238"/>
      <c r="B790" s="238"/>
      <c r="C790" s="238"/>
      <c r="D790" s="238"/>
      <c r="E790" s="337"/>
      <c r="F790" s="338"/>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c r="A791" s="238"/>
      <c r="B791" s="238"/>
      <c r="C791" s="238"/>
      <c r="D791" s="238"/>
      <c r="E791" s="337"/>
      <c r="F791" s="338"/>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c r="A792" s="238"/>
      <c r="B792" s="238"/>
      <c r="C792" s="238"/>
      <c r="D792" s="238"/>
      <c r="E792" s="337"/>
      <c r="F792" s="338"/>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c r="A793" s="238"/>
      <c r="B793" s="238"/>
      <c r="C793" s="238"/>
      <c r="D793" s="238"/>
      <c r="E793" s="337"/>
      <c r="F793" s="338"/>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c r="A794" s="238"/>
      <c r="B794" s="238"/>
      <c r="C794" s="238"/>
      <c r="D794" s="238"/>
      <c r="E794" s="337"/>
      <c r="F794" s="338"/>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c r="A795" s="238"/>
      <c r="B795" s="238"/>
      <c r="C795" s="238"/>
      <c r="D795" s="238"/>
      <c r="E795" s="337"/>
      <c r="F795" s="338"/>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c r="A796" s="238"/>
      <c r="B796" s="238"/>
      <c r="C796" s="238"/>
      <c r="D796" s="238"/>
      <c r="E796" s="337"/>
      <c r="F796" s="338"/>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c r="A797" s="238"/>
      <c r="B797" s="238"/>
      <c r="C797" s="238"/>
      <c r="D797" s="238"/>
      <c r="E797" s="337"/>
      <c r="F797" s="338"/>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c r="A798" s="238"/>
      <c r="B798" s="238"/>
      <c r="C798" s="238"/>
      <c r="D798" s="238"/>
      <c r="E798" s="337"/>
      <c r="F798" s="338"/>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c r="A799" s="238"/>
      <c r="B799" s="238"/>
      <c r="C799" s="238"/>
      <c r="D799" s="238"/>
      <c r="E799" s="337"/>
      <c r="F799" s="338"/>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c r="A800" s="238"/>
      <c r="B800" s="238"/>
      <c r="C800" s="238"/>
      <c r="D800" s="238"/>
      <c r="E800" s="337"/>
      <c r="F800" s="338"/>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c r="A801" s="238"/>
      <c r="B801" s="238"/>
      <c r="C801" s="238"/>
      <c r="D801" s="238"/>
      <c r="E801" s="337"/>
      <c r="F801" s="338"/>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c r="A802" s="238"/>
      <c r="B802" s="238"/>
      <c r="C802" s="238"/>
      <c r="D802" s="238"/>
      <c r="E802" s="337"/>
      <c r="F802" s="338"/>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c r="A803" s="238"/>
      <c r="B803" s="238"/>
      <c r="C803" s="238"/>
      <c r="D803" s="238"/>
      <c r="E803" s="337"/>
      <c r="F803" s="338"/>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c r="A804" s="238"/>
      <c r="B804" s="238"/>
      <c r="C804" s="238"/>
      <c r="D804" s="238"/>
      <c r="E804" s="337"/>
      <c r="F804" s="338"/>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c r="A805" s="238"/>
      <c r="B805" s="238"/>
      <c r="C805" s="238"/>
      <c r="D805" s="238"/>
      <c r="E805" s="337"/>
      <c r="F805" s="338"/>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c r="A806" s="238"/>
      <c r="B806" s="238"/>
      <c r="C806" s="238"/>
      <c r="D806" s="238"/>
      <c r="E806" s="337"/>
      <c r="F806" s="338"/>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c r="A807" s="238"/>
      <c r="B807" s="238"/>
      <c r="C807" s="238"/>
      <c r="D807" s="238"/>
      <c r="E807" s="337"/>
      <c r="F807" s="338"/>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c r="A808" s="238"/>
      <c r="B808" s="238"/>
      <c r="C808" s="238"/>
      <c r="D808" s="238"/>
      <c r="E808" s="337"/>
      <c r="F808" s="338"/>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c r="A809" s="238"/>
      <c r="B809" s="238"/>
      <c r="C809" s="238"/>
      <c r="D809" s="238"/>
      <c r="E809" s="337"/>
      <c r="F809" s="338"/>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c r="A810" s="238"/>
      <c r="B810" s="238"/>
      <c r="C810" s="238"/>
      <c r="D810" s="238"/>
      <c r="E810" s="337"/>
      <c r="F810" s="338"/>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c r="A811" s="238"/>
      <c r="B811" s="238"/>
      <c r="C811" s="238"/>
      <c r="D811" s="238"/>
      <c r="E811" s="337"/>
      <c r="F811" s="338"/>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c r="A812" s="238"/>
      <c r="B812" s="238"/>
      <c r="C812" s="238"/>
      <c r="D812" s="238"/>
      <c r="E812" s="337"/>
      <c r="F812" s="338"/>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c r="A813" s="238"/>
      <c r="B813" s="238"/>
      <c r="C813" s="238"/>
      <c r="D813" s="238"/>
      <c r="E813" s="337"/>
      <c r="F813" s="338"/>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c r="A814" s="238"/>
      <c r="B814" s="238"/>
      <c r="C814" s="238"/>
      <c r="D814" s="238"/>
      <c r="E814" s="337"/>
      <c r="F814" s="338"/>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c r="A815" s="238"/>
      <c r="B815" s="238"/>
      <c r="C815" s="238"/>
      <c r="D815" s="238"/>
      <c r="E815" s="337"/>
      <c r="F815" s="338"/>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c r="A816" s="238"/>
      <c r="B816" s="238"/>
      <c r="C816" s="238"/>
      <c r="D816" s="238"/>
      <c r="E816" s="337"/>
      <c r="F816" s="338"/>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c r="A817" s="238"/>
      <c r="B817" s="238"/>
      <c r="C817" s="238"/>
      <c r="D817" s="238"/>
      <c r="E817" s="337"/>
      <c r="F817" s="338"/>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c r="A818" s="238"/>
      <c r="B818" s="238"/>
      <c r="C818" s="238"/>
      <c r="D818" s="238"/>
      <c r="E818" s="337"/>
      <c r="F818" s="338"/>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c r="A819" s="238"/>
      <c r="B819" s="238"/>
      <c r="C819" s="238"/>
      <c r="D819" s="238"/>
      <c r="E819" s="337"/>
      <c r="F819" s="338"/>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c r="A820" s="238"/>
      <c r="B820" s="238"/>
      <c r="C820" s="238"/>
      <c r="D820" s="238"/>
      <c r="E820" s="337"/>
      <c r="F820" s="338"/>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c r="A821" s="238"/>
      <c r="B821" s="238"/>
      <c r="C821" s="238"/>
      <c r="D821" s="238"/>
      <c r="E821" s="337"/>
      <c r="F821" s="338"/>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c r="A822" s="238"/>
      <c r="B822" s="238"/>
      <c r="C822" s="238"/>
      <c r="D822" s="238"/>
      <c r="E822" s="337"/>
      <c r="F822" s="338"/>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c r="A823" s="238"/>
      <c r="B823" s="238"/>
      <c r="C823" s="238"/>
      <c r="D823" s="238"/>
      <c r="E823" s="337"/>
      <c r="F823" s="338"/>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c r="A824" s="238"/>
      <c r="B824" s="238"/>
      <c r="C824" s="238"/>
      <c r="D824" s="238"/>
      <c r="E824" s="337"/>
      <c r="F824" s="338"/>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c r="A825" s="238"/>
      <c r="B825" s="238"/>
      <c r="C825" s="238"/>
      <c r="D825" s="238"/>
      <c r="E825" s="337"/>
      <c r="F825" s="338"/>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c r="A826" s="238"/>
      <c r="B826" s="238"/>
      <c r="C826" s="238"/>
      <c r="D826" s="238"/>
      <c r="E826" s="337"/>
      <c r="F826" s="338"/>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c r="A827" s="238"/>
      <c r="B827" s="238"/>
      <c r="C827" s="238"/>
      <c r="D827" s="238"/>
      <c r="E827" s="337"/>
      <c r="F827" s="338"/>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c r="A828" s="238"/>
      <c r="B828" s="238"/>
      <c r="C828" s="238"/>
      <c r="D828" s="238"/>
      <c r="E828" s="337"/>
      <c r="F828" s="338"/>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c r="A829" s="238"/>
      <c r="B829" s="238"/>
      <c r="C829" s="238"/>
      <c r="D829" s="238"/>
      <c r="E829" s="337"/>
      <c r="F829" s="338"/>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c r="A830" s="238"/>
      <c r="B830" s="238"/>
      <c r="C830" s="238"/>
      <c r="D830" s="238"/>
      <c r="E830" s="337"/>
      <c r="F830" s="338"/>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c r="A831" s="238"/>
      <c r="B831" s="238"/>
      <c r="C831" s="238"/>
      <c r="D831" s="238"/>
      <c r="E831" s="337"/>
      <c r="F831" s="338"/>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c r="A832" s="238"/>
      <c r="B832" s="238"/>
      <c r="C832" s="238"/>
      <c r="D832" s="238"/>
      <c r="E832" s="337"/>
      <c r="F832" s="338"/>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c r="A833" s="238"/>
      <c r="B833" s="238"/>
      <c r="C833" s="238"/>
      <c r="D833" s="238"/>
      <c r="E833" s="337"/>
      <c r="F833" s="338"/>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c r="A834" s="238"/>
      <c r="B834" s="238"/>
      <c r="C834" s="238"/>
      <c r="D834" s="238"/>
      <c r="E834" s="337"/>
      <c r="F834" s="338"/>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c r="A835" s="238"/>
      <c r="B835" s="238"/>
      <c r="C835" s="238"/>
      <c r="D835" s="238"/>
      <c r="E835" s="337"/>
      <c r="F835" s="338"/>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c r="A836" s="238"/>
      <c r="B836" s="238"/>
      <c r="C836" s="238"/>
      <c r="D836" s="238"/>
      <c r="E836" s="337"/>
      <c r="F836" s="338"/>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c r="A837" s="238"/>
      <c r="B837" s="238"/>
      <c r="C837" s="238"/>
      <c r="D837" s="238"/>
      <c r="E837" s="337"/>
      <c r="F837" s="338"/>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c r="A838" s="238"/>
      <c r="B838" s="238"/>
      <c r="C838" s="238"/>
      <c r="D838" s="238"/>
      <c r="E838" s="337"/>
      <c r="F838" s="338"/>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c r="A839" s="238"/>
      <c r="B839" s="238"/>
      <c r="C839" s="238"/>
      <c r="D839" s="238"/>
      <c r="E839" s="337"/>
      <c r="F839" s="338"/>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c r="A840" s="238"/>
      <c r="B840" s="238"/>
      <c r="C840" s="238"/>
      <c r="D840" s="238"/>
      <c r="E840" s="337"/>
      <c r="F840" s="338"/>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c r="A841" s="238"/>
      <c r="B841" s="238"/>
      <c r="C841" s="238"/>
      <c r="D841" s="238"/>
      <c r="E841" s="337"/>
      <c r="F841" s="338"/>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c r="A842" s="238"/>
      <c r="B842" s="238"/>
      <c r="C842" s="238"/>
      <c r="D842" s="238"/>
      <c r="E842" s="337"/>
      <c r="F842" s="338"/>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c r="A843" s="238"/>
      <c r="B843" s="238"/>
      <c r="C843" s="238"/>
      <c r="D843" s="238"/>
      <c r="E843" s="337"/>
      <c r="F843" s="338"/>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c r="A844" s="238"/>
      <c r="B844" s="238"/>
      <c r="C844" s="238"/>
      <c r="D844" s="238"/>
      <c r="E844" s="337"/>
      <c r="F844" s="338"/>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c r="A845" s="238"/>
      <c r="B845" s="238"/>
      <c r="C845" s="238"/>
      <c r="D845" s="238"/>
      <c r="E845" s="337"/>
      <c r="F845" s="338"/>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c r="A846" s="238"/>
      <c r="B846" s="238"/>
      <c r="C846" s="238"/>
      <c r="D846" s="238"/>
      <c r="E846" s="337"/>
      <c r="F846" s="338"/>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c r="A847" s="238"/>
      <c r="B847" s="238"/>
      <c r="C847" s="238"/>
      <c r="D847" s="238"/>
      <c r="E847" s="337"/>
      <c r="F847" s="338"/>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c r="A848" s="238"/>
      <c r="B848" s="238"/>
      <c r="C848" s="238"/>
      <c r="D848" s="238"/>
      <c r="E848" s="337"/>
      <c r="F848" s="338"/>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c r="A849" s="238"/>
      <c r="B849" s="238"/>
      <c r="C849" s="238"/>
      <c r="D849" s="238"/>
      <c r="E849" s="337"/>
      <c r="F849" s="338"/>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c r="A850" s="238"/>
      <c r="B850" s="238"/>
      <c r="C850" s="238"/>
      <c r="D850" s="238"/>
      <c r="E850" s="337"/>
      <c r="F850" s="338"/>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c r="A851" s="238"/>
      <c r="B851" s="238"/>
      <c r="C851" s="238"/>
      <c r="D851" s="238"/>
      <c r="E851" s="337"/>
      <c r="F851" s="338"/>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c r="A852" s="238"/>
      <c r="B852" s="238"/>
      <c r="C852" s="238"/>
      <c r="D852" s="238"/>
      <c r="E852" s="337"/>
      <c r="F852" s="338"/>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c r="A853" s="238"/>
      <c r="B853" s="238"/>
      <c r="C853" s="238"/>
      <c r="D853" s="238"/>
      <c r="E853" s="337"/>
      <c r="F853" s="338"/>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c r="A854" s="238"/>
      <c r="B854" s="238"/>
      <c r="C854" s="238"/>
      <c r="D854" s="238"/>
      <c r="E854" s="337"/>
      <c r="F854" s="338"/>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c r="A855" s="238"/>
      <c r="B855" s="238"/>
      <c r="C855" s="238"/>
      <c r="D855" s="238"/>
      <c r="E855" s="337"/>
      <c r="F855" s="338"/>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c r="A856" s="238"/>
      <c r="B856" s="238"/>
      <c r="C856" s="238"/>
      <c r="D856" s="238"/>
      <c r="E856" s="337"/>
      <c r="F856" s="338"/>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c r="A857" s="238"/>
      <c r="B857" s="238"/>
      <c r="C857" s="238"/>
      <c r="D857" s="238"/>
      <c r="E857" s="337"/>
      <c r="F857" s="338"/>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c r="A858" s="238"/>
      <c r="B858" s="238"/>
      <c r="C858" s="238"/>
      <c r="D858" s="238"/>
      <c r="E858" s="337"/>
      <c r="F858" s="338"/>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c r="A859" s="238"/>
      <c r="B859" s="238"/>
      <c r="C859" s="238"/>
      <c r="D859" s="238"/>
      <c r="E859" s="337"/>
      <c r="F859" s="338"/>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c r="A860" s="238"/>
      <c r="B860" s="238"/>
      <c r="C860" s="238"/>
      <c r="D860" s="238"/>
      <c r="E860" s="337"/>
      <c r="F860" s="338"/>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c r="A861" s="238"/>
      <c r="B861" s="238"/>
      <c r="C861" s="238"/>
      <c r="D861" s="238"/>
      <c r="E861" s="337"/>
      <c r="F861" s="338"/>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c r="A862" s="238"/>
      <c r="B862" s="238"/>
      <c r="C862" s="238"/>
      <c r="D862" s="238"/>
      <c r="E862" s="337"/>
      <c r="F862" s="338"/>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c r="A863" s="238"/>
      <c r="B863" s="238"/>
      <c r="C863" s="238"/>
      <c r="D863" s="238"/>
      <c r="E863" s="337"/>
      <c r="F863" s="338"/>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c r="A864" s="238"/>
      <c r="B864" s="238"/>
      <c r="C864" s="238"/>
      <c r="D864" s="238"/>
      <c r="E864" s="337"/>
      <c r="F864" s="338"/>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c r="A865" s="238"/>
      <c r="B865" s="238"/>
      <c r="C865" s="238"/>
      <c r="D865" s="238"/>
      <c r="E865" s="337"/>
      <c r="F865" s="338"/>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c r="A866" s="238"/>
      <c r="B866" s="238"/>
      <c r="C866" s="238"/>
      <c r="D866" s="238"/>
      <c r="E866" s="337"/>
      <c r="F866" s="338"/>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c r="A867" s="238"/>
      <c r="B867" s="238"/>
      <c r="C867" s="238"/>
      <c r="D867" s="238"/>
      <c r="E867" s="337"/>
      <c r="F867" s="338"/>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c r="A868" s="238"/>
      <c r="B868" s="238"/>
      <c r="C868" s="238"/>
      <c r="D868" s="238"/>
      <c r="E868" s="337"/>
      <c r="F868" s="338"/>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c r="A869" s="238"/>
      <c r="B869" s="238"/>
      <c r="C869" s="238"/>
      <c r="D869" s="238"/>
      <c r="E869" s="337"/>
      <c r="F869" s="338"/>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c r="A870" s="238"/>
      <c r="B870" s="238"/>
      <c r="C870" s="238"/>
      <c r="D870" s="238"/>
      <c r="E870" s="337"/>
      <c r="F870" s="338"/>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c r="A871" s="238"/>
      <c r="B871" s="238"/>
      <c r="C871" s="238"/>
      <c r="D871" s="238"/>
      <c r="E871" s="337"/>
      <c r="F871" s="338"/>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c r="A872" s="238"/>
      <c r="B872" s="238"/>
      <c r="C872" s="238"/>
      <c r="D872" s="238"/>
      <c r="E872" s="337"/>
      <c r="F872" s="338"/>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c r="A873" s="238"/>
      <c r="B873" s="238"/>
      <c r="C873" s="238"/>
      <c r="D873" s="238"/>
      <c r="E873" s="337"/>
      <c r="F873" s="338"/>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c r="A874" s="238"/>
      <c r="B874" s="238"/>
      <c r="C874" s="238"/>
      <c r="D874" s="238"/>
      <c r="E874" s="337"/>
      <c r="F874" s="338"/>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c r="A875" s="238"/>
      <c r="B875" s="238"/>
      <c r="C875" s="238"/>
      <c r="D875" s="238"/>
      <c r="E875" s="337"/>
      <c r="F875" s="338"/>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c r="A876" s="238"/>
      <c r="B876" s="238"/>
      <c r="C876" s="238"/>
      <c r="D876" s="238"/>
      <c r="E876" s="337"/>
      <c r="F876" s="338"/>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c r="A877" s="238"/>
      <c r="B877" s="238"/>
      <c r="C877" s="238"/>
      <c r="D877" s="238"/>
      <c r="E877" s="337"/>
      <c r="F877" s="338"/>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c r="A878" s="238"/>
      <c r="B878" s="238"/>
      <c r="C878" s="238"/>
      <c r="D878" s="238"/>
      <c r="E878" s="337"/>
      <c r="F878" s="338"/>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c r="A879" s="238"/>
      <c r="B879" s="238"/>
      <c r="C879" s="238"/>
      <c r="D879" s="238"/>
      <c r="E879" s="337"/>
      <c r="F879" s="338"/>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c r="A880" s="238"/>
      <c r="B880" s="238"/>
      <c r="C880" s="238"/>
      <c r="D880" s="238"/>
      <c r="E880" s="337"/>
      <c r="F880" s="338"/>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c r="A881" s="238"/>
      <c r="B881" s="238"/>
      <c r="C881" s="238"/>
      <c r="D881" s="238"/>
      <c r="E881" s="337"/>
      <c r="F881" s="338"/>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c r="A882" s="238"/>
      <c r="B882" s="238"/>
      <c r="C882" s="238"/>
      <c r="D882" s="238"/>
      <c r="E882" s="337"/>
      <c r="F882" s="338"/>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c r="A883" s="238"/>
      <c r="B883" s="238"/>
      <c r="C883" s="238"/>
      <c r="D883" s="238"/>
      <c r="E883" s="337"/>
      <c r="F883" s="338"/>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c r="A884" s="238"/>
      <c r="B884" s="238"/>
      <c r="C884" s="238"/>
      <c r="D884" s="238"/>
      <c r="E884" s="337"/>
      <c r="F884" s="338"/>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c r="A885" s="238"/>
      <c r="B885" s="238"/>
      <c r="C885" s="238"/>
      <c r="D885" s="238"/>
      <c r="E885" s="337"/>
      <c r="F885" s="338"/>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c r="A886" s="238"/>
      <c r="B886" s="238"/>
      <c r="C886" s="238"/>
      <c r="D886" s="238"/>
      <c r="E886" s="337"/>
      <c r="F886" s="338"/>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c r="A887" s="238"/>
      <c r="B887" s="238"/>
      <c r="C887" s="238"/>
      <c r="D887" s="238"/>
      <c r="E887" s="337"/>
      <c r="F887" s="338"/>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c r="A888" s="238"/>
      <c r="B888" s="238"/>
      <c r="C888" s="238"/>
      <c r="D888" s="238"/>
      <c r="E888" s="337"/>
      <c r="F888" s="338"/>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c r="A889" s="238"/>
      <c r="B889" s="238"/>
      <c r="C889" s="238"/>
      <c r="D889" s="238"/>
      <c r="E889" s="337"/>
      <c r="F889" s="338"/>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c r="A890" s="238"/>
      <c r="B890" s="238"/>
      <c r="C890" s="238"/>
      <c r="D890" s="238"/>
      <c r="E890" s="337"/>
      <c r="F890" s="338"/>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c r="A891" s="238"/>
      <c r="B891" s="238"/>
      <c r="C891" s="238"/>
      <c r="D891" s="238"/>
      <c r="E891" s="337"/>
      <c r="F891" s="338"/>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c r="A892" s="238"/>
      <c r="B892" s="238"/>
      <c r="C892" s="238"/>
      <c r="D892" s="238"/>
      <c r="E892" s="337"/>
      <c r="F892" s="338"/>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c r="A893" s="238"/>
      <c r="B893" s="238"/>
      <c r="C893" s="238"/>
      <c r="D893" s="238"/>
      <c r="E893" s="337"/>
      <c r="F893" s="338"/>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c r="A894" s="238"/>
      <c r="B894" s="238"/>
      <c r="C894" s="238"/>
      <c r="D894" s="238"/>
      <c r="E894" s="337"/>
      <c r="F894" s="338"/>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c r="A895" s="238"/>
      <c r="B895" s="238"/>
      <c r="C895" s="238"/>
      <c r="D895" s="238"/>
      <c r="E895" s="337"/>
      <c r="F895" s="338"/>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c r="A896" s="238"/>
      <c r="B896" s="238"/>
      <c r="C896" s="238"/>
      <c r="D896" s="238"/>
      <c r="E896" s="337"/>
      <c r="F896" s="338"/>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c r="A897" s="238"/>
      <c r="B897" s="238"/>
      <c r="C897" s="238"/>
      <c r="D897" s="238"/>
      <c r="E897" s="337"/>
      <c r="F897" s="338"/>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c r="A898" s="238"/>
      <c r="B898" s="238"/>
      <c r="C898" s="238"/>
      <c r="D898" s="238"/>
      <c r="E898" s="337"/>
      <c r="F898" s="338"/>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c r="A899" s="238"/>
      <c r="B899" s="238"/>
      <c r="C899" s="238"/>
      <c r="D899" s="238"/>
      <c r="E899" s="337"/>
      <c r="F899" s="338"/>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c r="A900" s="238"/>
      <c r="B900" s="238"/>
      <c r="C900" s="238"/>
      <c r="D900" s="238"/>
      <c r="E900" s="337"/>
      <c r="F900" s="338"/>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c r="A901" s="238"/>
      <c r="B901" s="238"/>
      <c r="C901" s="238"/>
      <c r="D901" s="238"/>
      <c r="E901" s="337"/>
      <c r="F901" s="338"/>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c r="A902" s="238"/>
      <c r="B902" s="238"/>
      <c r="C902" s="238"/>
      <c r="D902" s="238"/>
      <c r="E902" s="337"/>
      <c r="F902" s="338"/>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c r="A903" s="238"/>
      <c r="B903" s="238"/>
      <c r="C903" s="238"/>
      <c r="D903" s="238"/>
      <c r="E903" s="337"/>
      <c r="F903" s="338"/>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c r="A904" s="238"/>
      <c r="B904" s="238"/>
      <c r="C904" s="238"/>
      <c r="D904" s="238"/>
      <c r="E904" s="337"/>
      <c r="F904" s="338"/>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c r="A905" s="238"/>
      <c r="B905" s="238"/>
      <c r="C905" s="238"/>
      <c r="D905" s="238"/>
      <c r="E905" s="337"/>
      <c r="F905" s="338"/>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c r="A906" s="238"/>
      <c r="B906" s="238"/>
      <c r="C906" s="238"/>
      <c r="D906" s="238"/>
      <c r="E906" s="337"/>
      <c r="F906" s="338"/>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c r="A907" s="238"/>
      <c r="B907" s="238"/>
      <c r="C907" s="238"/>
      <c r="D907" s="238"/>
      <c r="E907" s="337"/>
      <c r="F907" s="338"/>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c r="A908" s="238"/>
      <c r="B908" s="238"/>
      <c r="C908" s="238"/>
      <c r="D908" s="238"/>
      <c r="E908" s="337"/>
      <c r="F908" s="338"/>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c r="A909" s="238"/>
      <c r="B909" s="238"/>
      <c r="C909" s="238"/>
      <c r="D909" s="238"/>
      <c r="E909" s="337"/>
      <c r="F909" s="338"/>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c r="A910" s="238"/>
      <c r="B910" s="238"/>
      <c r="C910" s="238"/>
      <c r="D910" s="238"/>
      <c r="E910" s="337"/>
      <c r="F910" s="338"/>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c r="A911" s="238"/>
      <c r="B911" s="238"/>
      <c r="C911" s="238"/>
      <c r="D911" s="238"/>
      <c r="E911" s="337"/>
      <c r="F911" s="338"/>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c r="A912" s="238"/>
      <c r="B912" s="238"/>
      <c r="C912" s="238"/>
      <c r="D912" s="238"/>
      <c r="E912" s="337"/>
      <c r="F912" s="338"/>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c r="A913" s="238"/>
      <c r="B913" s="238"/>
      <c r="C913" s="238"/>
      <c r="D913" s="238"/>
      <c r="E913" s="337"/>
      <c r="F913" s="338"/>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c r="A914" s="238"/>
      <c r="B914" s="238"/>
      <c r="C914" s="238"/>
      <c r="D914" s="238"/>
      <c r="E914" s="337"/>
      <c r="F914" s="338"/>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c r="A915" s="238"/>
      <c r="B915" s="238"/>
      <c r="C915" s="238"/>
      <c r="D915" s="238"/>
      <c r="E915" s="337"/>
      <c r="F915" s="338"/>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c r="A916" s="238"/>
      <c r="B916" s="238"/>
      <c r="C916" s="238"/>
      <c r="D916" s="238"/>
      <c r="E916" s="337"/>
      <c r="F916" s="338"/>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c r="A917" s="238"/>
      <c r="B917" s="238"/>
      <c r="C917" s="238"/>
      <c r="D917" s="238"/>
      <c r="E917" s="337"/>
      <c r="F917" s="338"/>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c r="A918" s="238"/>
      <c r="B918" s="238"/>
      <c r="C918" s="238"/>
      <c r="D918" s="238"/>
      <c r="E918" s="337"/>
      <c r="F918" s="338"/>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c r="A919" s="238"/>
      <c r="B919" s="238"/>
      <c r="C919" s="238"/>
      <c r="D919" s="238"/>
      <c r="E919" s="337"/>
      <c r="F919" s="338"/>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c r="A920" s="238"/>
      <c r="B920" s="238"/>
      <c r="C920" s="238"/>
      <c r="D920" s="238"/>
      <c r="E920" s="337"/>
      <c r="F920" s="338"/>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c r="A921" s="238"/>
      <c r="B921" s="238"/>
      <c r="C921" s="238"/>
      <c r="D921" s="238"/>
      <c r="E921" s="337"/>
      <c r="F921" s="338"/>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c r="A922" s="238"/>
      <c r="B922" s="238"/>
      <c r="C922" s="238"/>
      <c r="D922" s="238"/>
      <c r="E922" s="337"/>
      <c r="F922" s="338"/>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c r="A923" s="238"/>
      <c r="B923" s="238"/>
      <c r="C923" s="238"/>
      <c r="D923" s="238"/>
      <c r="E923" s="337"/>
      <c r="F923" s="338"/>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c r="A924" s="238"/>
      <c r="B924" s="238"/>
      <c r="C924" s="238"/>
      <c r="D924" s="238"/>
      <c r="E924" s="337"/>
      <c r="F924" s="338"/>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c r="A925" s="238"/>
      <c r="B925" s="238"/>
      <c r="C925" s="238"/>
      <c r="D925" s="238"/>
      <c r="E925" s="337"/>
      <c r="F925" s="338"/>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c r="A926" s="238"/>
      <c r="B926" s="238"/>
      <c r="C926" s="238"/>
      <c r="D926" s="238"/>
      <c r="E926" s="337"/>
      <c r="F926" s="338"/>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c r="A927" s="238"/>
      <c r="B927" s="238"/>
      <c r="C927" s="238"/>
      <c r="D927" s="238"/>
      <c r="E927" s="337"/>
      <c r="F927" s="338"/>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c r="A928" s="238"/>
      <c r="B928" s="238"/>
      <c r="C928" s="238"/>
      <c r="D928" s="238"/>
      <c r="E928" s="337"/>
      <c r="F928" s="338"/>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c r="A929" s="238"/>
      <c r="B929" s="238"/>
      <c r="C929" s="238"/>
      <c r="D929" s="238"/>
      <c r="E929" s="337"/>
      <c r="F929" s="338"/>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c r="A930" s="238"/>
      <c r="B930" s="238"/>
      <c r="C930" s="238"/>
      <c r="D930" s="238"/>
      <c r="E930" s="337"/>
      <c r="F930" s="338"/>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c r="A931" s="238"/>
      <c r="B931" s="238"/>
      <c r="C931" s="238"/>
      <c r="D931" s="238"/>
      <c r="E931" s="337"/>
      <c r="F931" s="338"/>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c r="A932" s="238"/>
      <c r="B932" s="238"/>
      <c r="C932" s="238"/>
      <c r="D932" s="238"/>
      <c r="E932" s="337"/>
      <c r="F932" s="338"/>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c r="A933" s="238"/>
      <c r="B933" s="238"/>
      <c r="C933" s="238"/>
      <c r="D933" s="238"/>
      <c r="E933" s="337"/>
      <c r="F933" s="338"/>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c r="A934" s="238"/>
      <c r="B934" s="238"/>
      <c r="C934" s="238"/>
      <c r="D934" s="238"/>
      <c r="E934" s="337"/>
      <c r="F934" s="338"/>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c r="A935" s="238"/>
      <c r="B935" s="238"/>
      <c r="C935" s="238"/>
      <c r="D935" s="238"/>
      <c r="E935" s="337"/>
      <c r="F935" s="338"/>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c r="A936" s="238"/>
      <c r="B936" s="238"/>
      <c r="C936" s="238"/>
      <c r="D936" s="238"/>
      <c r="E936" s="337"/>
      <c r="F936" s="338"/>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c r="A937" s="238"/>
      <c r="B937" s="238"/>
      <c r="C937" s="238"/>
      <c r="D937" s="238"/>
      <c r="E937" s="337"/>
      <c r="F937" s="338"/>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c r="A938" s="238"/>
      <c r="B938" s="238"/>
      <c r="C938" s="238"/>
      <c r="D938" s="238"/>
      <c r="E938" s="337"/>
      <c r="F938" s="338"/>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c r="A939" s="238"/>
      <c r="B939" s="238"/>
      <c r="C939" s="238"/>
      <c r="D939" s="238"/>
      <c r="E939" s="337"/>
      <c r="F939" s="338"/>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c r="A940" s="238"/>
      <c r="B940" s="238"/>
      <c r="C940" s="238"/>
      <c r="D940" s="238"/>
      <c r="E940" s="337"/>
      <c r="F940" s="338"/>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c r="A941" s="238"/>
      <c r="B941" s="238"/>
      <c r="C941" s="238"/>
      <c r="D941" s="238"/>
      <c r="E941" s="337"/>
      <c r="F941" s="338"/>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c r="A942" s="238"/>
      <c r="B942" s="238"/>
      <c r="C942" s="238"/>
      <c r="D942" s="238"/>
      <c r="E942" s="337"/>
      <c r="F942" s="338"/>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c r="A943" s="238"/>
      <c r="B943" s="238"/>
      <c r="C943" s="238"/>
      <c r="D943" s="238"/>
      <c r="E943" s="337"/>
      <c r="F943" s="338"/>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c r="A944" s="238"/>
      <c r="B944" s="238"/>
      <c r="C944" s="238"/>
      <c r="D944" s="238"/>
      <c r="E944" s="337"/>
      <c r="F944" s="338"/>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c r="A945" s="238"/>
      <c r="B945" s="238"/>
      <c r="C945" s="238"/>
      <c r="D945" s="238"/>
      <c r="E945" s="337"/>
      <c r="F945" s="338"/>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c r="A946" s="238"/>
      <c r="B946" s="238"/>
      <c r="C946" s="238"/>
      <c r="D946" s="238"/>
      <c r="E946" s="337"/>
      <c r="F946" s="338"/>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c r="A947" s="238"/>
      <c r="B947" s="238"/>
      <c r="C947" s="238"/>
      <c r="D947" s="238"/>
      <c r="E947" s="337"/>
      <c r="F947" s="338"/>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c r="A948" s="238"/>
      <c r="B948" s="238"/>
      <c r="C948" s="238"/>
      <c r="D948" s="238"/>
      <c r="E948" s="337"/>
      <c r="F948" s="338"/>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c r="A949" s="238"/>
      <c r="B949" s="238"/>
      <c r="C949" s="238"/>
      <c r="D949" s="238"/>
      <c r="E949" s="337"/>
      <c r="F949" s="338"/>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c r="A950" s="238"/>
      <c r="B950" s="238"/>
      <c r="C950" s="238"/>
      <c r="D950" s="238"/>
      <c r="E950" s="337"/>
      <c r="F950" s="338"/>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c r="A951" s="238"/>
      <c r="B951" s="238"/>
      <c r="C951" s="238"/>
      <c r="D951" s="238"/>
      <c r="E951" s="337"/>
      <c r="F951" s="338"/>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c r="A952" s="238"/>
      <c r="B952" s="238"/>
      <c r="C952" s="238"/>
      <c r="D952" s="238"/>
      <c r="E952" s="337"/>
      <c r="F952" s="338"/>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c r="A953" s="238"/>
      <c r="B953" s="238"/>
      <c r="C953" s="238"/>
      <c r="D953" s="238"/>
      <c r="E953" s="337"/>
      <c r="F953" s="338"/>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c r="A954" s="238"/>
      <c r="B954" s="238"/>
      <c r="C954" s="238"/>
      <c r="D954" s="238"/>
      <c r="E954" s="337"/>
      <c r="F954" s="338"/>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c r="A955" s="238"/>
      <c r="B955" s="238"/>
      <c r="C955" s="238"/>
      <c r="D955" s="238"/>
      <c r="E955" s="337"/>
      <c r="F955" s="338"/>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c r="A956" s="238"/>
      <c r="B956" s="238"/>
      <c r="C956" s="238"/>
      <c r="D956" s="238"/>
      <c r="E956" s="337"/>
      <c r="F956" s="338"/>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c r="A957" s="238"/>
      <c r="B957" s="238"/>
      <c r="C957" s="238"/>
      <c r="D957" s="238"/>
      <c r="E957" s="337"/>
      <c r="F957" s="338"/>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c r="A958" s="238"/>
      <c r="B958" s="238"/>
      <c r="C958" s="238"/>
      <c r="D958" s="238"/>
      <c r="E958" s="337"/>
      <c r="F958" s="338"/>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c r="A959" s="238"/>
      <c r="B959" s="238"/>
      <c r="C959" s="238"/>
      <c r="D959" s="238"/>
      <c r="E959" s="337"/>
      <c r="F959" s="338"/>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c r="A960" s="238"/>
      <c r="B960" s="238"/>
      <c r="C960" s="238"/>
      <c r="D960" s="238"/>
      <c r="E960" s="337"/>
      <c r="F960" s="338"/>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c r="A961" s="238"/>
      <c r="B961" s="238"/>
      <c r="C961" s="238"/>
      <c r="D961" s="238"/>
      <c r="E961" s="337"/>
      <c r="F961" s="338"/>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c r="A962" s="238"/>
      <c r="B962" s="238"/>
      <c r="C962" s="238"/>
      <c r="D962" s="238"/>
      <c r="E962" s="337"/>
      <c r="F962" s="338"/>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c r="A963" s="238"/>
      <c r="B963" s="238"/>
      <c r="C963" s="238"/>
      <c r="D963" s="238"/>
      <c r="E963" s="337"/>
      <c r="F963" s="338"/>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c r="A964" s="238"/>
      <c r="B964" s="238"/>
      <c r="C964" s="238"/>
      <c r="D964" s="238"/>
      <c r="E964" s="337"/>
      <c r="F964" s="338"/>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c r="A965" s="238"/>
      <c r="B965" s="238"/>
      <c r="C965" s="238"/>
      <c r="D965" s="238"/>
      <c r="E965" s="337"/>
      <c r="F965" s="338"/>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c r="A966" s="238"/>
      <c r="B966" s="238"/>
      <c r="C966" s="238"/>
      <c r="D966" s="238"/>
      <c r="E966" s="337"/>
      <c r="F966" s="338"/>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c r="A967" s="238"/>
      <c r="B967" s="238"/>
      <c r="C967" s="238"/>
      <c r="D967" s="238"/>
      <c r="E967" s="337"/>
      <c r="F967" s="338"/>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c r="A968" s="238"/>
      <c r="B968" s="238"/>
      <c r="C968" s="238"/>
      <c r="D968" s="238"/>
      <c r="E968" s="337"/>
      <c r="F968" s="338"/>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c r="A969" s="238"/>
      <c r="B969" s="238"/>
      <c r="C969" s="238"/>
      <c r="D969" s="238"/>
      <c r="E969" s="337"/>
      <c r="F969" s="338"/>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c r="A970" s="238"/>
      <c r="B970" s="238"/>
      <c r="C970" s="238"/>
      <c r="D970" s="238"/>
      <c r="E970" s="337"/>
      <c r="F970" s="338"/>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c r="A971" s="238"/>
      <c r="B971" s="238"/>
      <c r="C971" s="238"/>
      <c r="D971" s="238"/>
      <c r="E971" s="337"/>
      <c r="F971" s="338"/>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c r="A972" s="238"/>
      <c r="B972" s="238"/>
      <c r="C972" s="238"/>
      <c r="D972" s="238"/>
      <c r="E972" s="337"/>
      <c r="F972" s="338"/>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c r="A973" s="238"/>
      <c r="B973" s="238"/>
      <c r="C973" s="238"/>
      <c r="D973" s="238"/>
      <c r="E973" s="337"/>
      <c r="F973" s="338"/>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c r="A974" s="238"/>
      <c r="B974" s="238"/>
      <c r="C974" s="238"/>
      <c r="D974" s="238"/>
      <c r="E974" s="337"/>
      <c r="F974" s="338"/>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c r="A975" s="238"/>
      <c r="B975" s="238"/>
      <c r="C975" s="238"/>
      <c r="D975" s="238"/>
      <c r="E975" s="337"/>
      <c r="F975" s="338"/>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c r="A976" s="238"/>
      <c r="B976" s="238"/>
      <c r="C976" s="238"/>
      <c r="D976" s="238"/>
      <c r="E976" s="337"/>
      <c r="F976" s="338"/>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c r="A977" s="238"/>
      <c r="B977" s="238"/>
      <c r="C977" s="238"/>
      <c r="D977" s="238"/>
      <c r="E977" s="337"/>
      <c r="F977" s="338"/>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c r="A978" s="238"/>
      <c r="B978" s="238"/>
      <c r="C978" s="238"/>
      <c r="D978" s="238"/>
      <c r="E978" s="337"/>
      <c r="F978" s="338"/>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c r="A979" s="238"/>
      <c r="B979" s="238"/>
      <c r="C979" s="238"/>
      <c r="D979" s="238"/>
      <c r="E979" s="337"/>
      <c r="F979" s="338"/>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c r="A980" s="238"/>
      <c r="B980" s="238"/>
      <c r="C980" s="238"/>
      <c r="D980" s="238"/>
      <c r="E980" s="337"/>
      <c r="F980" s="338"/>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c r="A981" s="238"/>
      <c r="B981" s="238"/>
      <c r="C981" s="238"/>
      <c r="D981" s="238"/>
      <c r="E981" s="337"/>
      <c r="F981" s="338"/>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c r="A982" s="238"/>
      <c r="B982" s="238"/>
      <c r="C982" s="238"/>
      <c r="D982" s="238"/>
      <c r="E982" s="337"/>
      <c r="F982" s="338"/>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c r="A983" s="238"/>
      <c r="B983" s="238"/>
      <c r="C983" s="238"/>
      <c r="D983" s="238"/>
      <c r="E983" s="337"/>
      <c r="F983" s="338"/>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c r="A984" s="238"/>
      <c r="B984" s="238"/>
      <c r="C984" s="238"/>
      <c r="D984" s="238"/>
      <c r="E984" s="337"/>
      <c r="F984" s="338"/>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c r="A985" s="238"/>
      <c r="B985" s="238"/>
      <c r="C985" s="238"/>
      <c r="D985" s="238"/>
      <c r="E985" s="337"/>
      <c r="F985" s="338"/>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c r="A986" s="238"/>
      <c r="B986" s="238"/>
      <c r="C986" s="238"/>
      <c r="D986" s="238"/>
      <c r="E986" s="337"/>
      <c r="F986" s="338"/>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c r="A987" s="238"/>
      <c r="B987" s="238"/>
      <c r="C987" s="238"/>
      <c r="D987" s="238"/>
      <c r="E987" s="337"/>
      <c r="F987" s="338"/>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c r="A988" s="238"/>
      <c r="B988" s="238"/>
      <c r="C988" s="238"/>
      <c r="D988" s="238"/>
      <c r="E988" s="337"/>
      <c r="F988" s="338"/>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c r="A989" s="238"/>
      <c r="B989" s="238"/>
      <c r="C989" s="238"/>
      <c r="D989" s="238"/>
      <c r="E989" s="337"/>
      <c r="F989" s="338"/>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c r="A990" s="238"/>
      <c r="B990" s="238"/>
      <c r="C990" s="238"/>
      <c r="D990" s="238"/>
      <c r="E990" s="337"/>
      <c r="F990" s="338"/>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c r="A991" s="238"/>
      <c r="B991" s="238"/>
      <c r="C991" s="238"/>
      <c r="D991" s="238"/>
      <c r="E991" s="337"/>
      <c r="F991" s="338"/>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c r="A992" s="238"/>
      <c r="B992" s="238"/>
      <c r="C992" s="238"/>
      <c r="D992" s="238"/>
      <c r="E992" s="337"/>
      <c r="F992" s="338"/>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c r="A993" s="238"/>
      <c r="B993" s="238"/>
      <c r="C993" s="238"/>
      <c r="D993" s="238"/>
      <c r="E993" s="337"/>
      <c r="F993" s="338"/>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c r="A994" s="238"/>
      <c r="B994" s="238"/>
      <c r="C994" s="238"/>
      <c r="D994" s="238"/>
      <c r="E994" s="337"/>
      <c r="F994" s="338"/>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c r="A995" s="238"/>
      <c r="B995" s="238"/>
      <c r="C995" s="238"/>
      <c r="D995" s="238"/>
      <c r="E995" s="337"/>
      <c r="F995" s="338"/>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c r="A996" s="238"/>
      <c r="B996" s="238"/>
      <c r="C996" s="238"/>
      <c r="D996" s="238"/>
      <c r="E996" s="337"/>
      <c r="F996" s="338"/>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c r="A997" s="238"/>
      <c r="B997" s="238"/>
      <c r="C997" s="238"/>
      <c r="D997" s="238"/>
      <c r="E997" s="337"/>
      <c r="F997" s="338"/>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c r="A998" s="238"/>
      <c r="B998" s="238"/>
      <c r="C998" s="238"/>
      <c r="D998" s="238"/>
      <c r="E998" s="337"/>
      <c r="F998" s="338"/>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c r="A999" s="238"/>
      <c r="B999" s="238"/>
      <c r="C999" s="238"/>
      <c r="D999" s="238"/>
      <c r="E999" s="337"/>
      <c r="F999" s="338"/>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c r="A1000" s="238"/>
      <c r="B1000" s="238"/>
      <c r="C1000" s="238"/>
      <c r="D1000" s="238"/>
      <c r="E1000" s="337"/>
      <c r="F1000" s="338"/>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sheetProtection algorithmName="SHA-512" hashValue="2eouaxubgImnbYyBsse02fJWBoWPbyUfSE1P0pJUM9Y0ez3fzo+UTdQHxz1HOAmgdxqtHi6B5VuNIsGXw72/xg==" saltValue="Ca0e184U++pRDvAi1Llymw==" spinCount="100000" sheet="1" objects="1" scenarios="1" formatCells="0" formatColumns="0" formatRows="0" insertColumns="0" insertRows="0" insertHyperlinks="0" deleteColumns="0" deleteRows="0" sort="0" autoFilter="0" pivotTables="0"/>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46" zoomScale="70" zoomScaleNormal="70" workbookViewId="0">
      <selection activeCell="O69" sqref="O69"/>
    </sheetView>
  </sheetViews>
  <sheetFormatPr defaultRowHeight="15"/>
  <cols>
    <col min="1" max="1" width="48.28515625" style="81" customWidth="1"/>
    <col min="2" max="2" width="15" style="81" customWidth="1"/>
    <col min="3" max="3" width="12.140625" style="81" customWidth="1"/>
    <col min="4" max="4" width="15.7109375" style="81" customWidth="1"/>
    <col min="5" max="6" width="12.140625" style="81" customWidth="1"/>
    <col min="7" max="7" width="16" style="81" customWidth="1"/>
    <col min="8" max="9" width="12.140625" style="81" customWidth="1"/>
    <col min="10" max="10" width="16.85546875" style="81" customWidth="1"/>
    <col min="11" max="14" width="12.140625" style="81" customWidth="1"/>
    <col min="15" max="15" width="9.42578125" style="81" bestFit="1" customWidth="1"/>
    <col min="16" max="16384" width="9.140625" style="81"/>
  </cols>
  <sheetData>
    <row r="1" spans="1:16" ht="30" customHeight="1">
      <c r="I1" s="1067" t="s">
        <v>820</v>
      </c>
      <c r="J1" s="1021"/>
      <c r="K1" s="1021"/>
      <c r="L1" s="1021"/>
      <c r="M1" s="1021"/>
      <c r="N1" s="1021"/>
    </row>
    <row r="2" spans="1:16">
      <c r="A2" s="984" t="s">
        <v>415</v>
      </c>
      <c r="B2" s="1043"/>
      <c r="C2" s="1043"/>
      <c r="D2" s="1043"/>
      <c r="E2" s="1043"/>
      <c r="F2" s="1043"/>
      <c r="G2" s="1043"/>
      <c r="H2" s="1043"/>
      <c r="I2" s="1043"/>
      <c r="J2" s="1043"/>
      <c r="K2" s="1043"/>
      <c r="L2" s="1043"/>
      <c r="M2" s="1043"/>
      <c r="N2" s="1043"/>
    </row>
    <row r="3" spans="1:16">
      <c r="A3" s="1070" t="str">
        <f>+STATISTICS!A4</f>
        <v>ХАДГАЛАМЖ, ЗЭЭЛИЙН ХОРШООНЫ НЭР</v>
      </c>
      <c r="B3" s="1070"/>
      <c r="C3" s="1070"/>
      <c r="D3" s="1070"/>
      <c r="E3" s="1070"/>
      <c r="F3" s="1070"/>
      <c r="G3" s="1070"/>
      <c r="H3" s="1070"/>
      <c r="I3" s="1070"/>
      <c r="J3" s="1070"/>
      <c r="K3" s="1070"/>
      <c r="L3" s="1070"/>
      <c r="M3" s="1070"/>
      <c r="N3" s="1070"/>
    </row>
    <row r="4" spans="1:16">
      <c r="A4" s="984" t="s">
        <v>4</v>
      </c>
      <c r="B4" s="1043"/>
      <c r="C4" s="1043"/>
      <c r="D4" s="1043"/>
      <c r="E4" s="1043"/>
      <c r="F4" s="1043"/>
      <c r="G4" s="1043"/>
      <c r="H4" s="1043"/>
      <c r="I4" s="1043"/>
      <c r="J4" s="1043"/>
      <c r="K4" s="1043"/>
      <c r="L4" s="1043"/>
      <c r="M4" s="1043"/>
      <c r="N4" s="1043"/>
    </row>
    <row r="5" spans="1:16" ht="15.75" thickBot="1">
      <c r="A5" s="680" t="str">
        <f>+STATISTICS!A7</f>
        <v>Огноо</v>
      </c>
      <c r="B5" s="542"/>
      <c r="C5" s="542"/>
      <c r="D5" s="542"/>
      <c r="E5" s="542"/>
      <c r="F5" s="542"/>
      <c r="G5" s="542"/>
      <c r="H5" s="542"/>
      <c r="I5" s="542"/>
      <c r="J5" s="542"/>
      <c r="K5" s="542"/>
      <c r="L5" s="542"/>
      <c r="M5" s="542"/>
      <c r="N5" s="391" t="s">
        <v>5</v>
      </c>
      <c r="O5" s="681"/>
      <c r="P5" s="681"/>
    </row>
    <row r="6" spans="1:16" ht="30" customHeight="1">
      <c r="A6" s="1071" t="s">
        <v>416</v>
      </c>
      <c r="B6" s="1073" t="s">
        <v>417</v>
      </c>
      <c r="C6" s="1074"/>
      <c r="D6" s="1073" t="s">
        <v>808</v>
      </c>
      <c r="E6" s="1074"/>
      <c r="F6" s="1075" t="s">
        <v>418</v>
      </c>
      <c r="G6" s="1073" t="s">
        <v>807</v>
      </c>
      <c r="H6" s="1077"/>
      <c r="I6" s="1078"/>
      <c r="J6" s="1073" t="s">
        <v>420</v>
      </c>
      <c r="K6" s="1074"/>
      <c r="L6" s="1079" t="s">
        <v>418</v>
      </c>
      <c r="M6" s="1068" t="s">
        <v>421</v>
      </c>
      <c r="N6" s="1069"/>
      <c r="O6" s="681"/>
      <c r="P6" s="681"/>
    </row>
    <row r="7" spans="1:16" ht="41.25" customHeight="1" thickBot="1">
      <c r="A7" s="1072"/>
      <c r="B7" s="392" t="s">
        <v>422</v>
      </c>
      <c r="C7" s="393" t="s">
        <v>423</v>
      </c>
      <c r="D7" s="392" t="s">
        <v>422</v>
      </c>
      <c r="E7" s="393" t="s">
        <v>423</v>
      </c>
      <c r="F7" s="1076"/>
      <c r="G7" s="392" t="s">
        <v>422</v>
      </c>
      <c r="H7" s="394" t="s">
        <v>792</v>
      </c>
      <c r="I7" s="395" t="s">
        <v>793</v>
      </c>
      <c r="J7" s="392" t="s">
        <v>422</v>
      </c>
      <c r="K7" s="393" t="s">
        <v>423</v>
      </c>
      <c r="L7" s="1080"/>
      <c r="M7" s="396" t="s">
        <v>424</v>
      </c>
      <c r="N7" s="397" t="s">
        <v>425</v>
      </c>
      <c r="O7" s="681"/>
      <c r="P7" s="681"/>
    </row>
    <row r="8" spans="1:16">
      <c r="A8" s="398" t="s">
        <v>426</v>
      </c>
      <c r="B8" s="399">
        <f t="shared" ref="B8:E8" si="0">+SUM(B9:B27)</f>
        <v>0</v>
      </c>
      <c r="C8" s="851">
        <f t="shared" si="0"/>
        <v>0</v>
      </c>
      <c r="D8" s="401">
        <f t="shared" si="0"/>
        <v>0</v>
      </c>
      <c r="E8" s="851">
        <f t="shared" si="0"/>
        <v>0</v>
      </c>
      <c r="F8" s="402" t="e">
        <f>+(D9*F9+D10*F10+D11*F11+D12*F12+D13*F13+D14*F14+D15*F15+D16*F16+D17*F17+D18*F18+D19*F19+D20*F20+F21*D21+D22*F22+D23*F23+D24*F24+D25*F25+D26*F26+D27*F27)/D8</f>
        <v>#DIV/0!</v>
      </c>
      <c r="G8" s="403">
        <f t="shared" ref="G8:J8" si="1">+SUM(G9:G27)</f>
        <v>0</v>
      </c>
      <c r="H8" s="860">
        <f t="shared" si="1"/>
        <v>0</v>
      </c>
      <c r="I8" s="861">
        <f t="shared" si="1"/>
        <v>0</v>
      </c>
      <c r="J8" s="403">
        <f t="shared" si="1"/>
        <v>0</v>
      </c>
      <c r="K8" s="400">
        <f>+SUM(K9:K27)</f>
        <v>0</v>
      </c>
      <c r="L8" s="843" t="e">
        <f>+(J9*L9+J10*L10+J11*L11+J12*L12+J13*L13+J14*L14+J15*L15+J16*L16+J17*L17+J18*L18+J19*L19+J20*L20+J21*L21+J22*L22+J23*L23+J24*L24+J25*L25+J26*L26+J27*L27)/J8</f>
        <v>#DIV/0!</v>
      </c>
      <c r="M8" s="404">
        <f>+MAX(M9:M27)</f>
        <v>0</v>
      </c>
      <c r="N8" s="404">
        <f>+MIN(N9:N27)</f>
        <v>0</v>
      </c>
      <c r="O8" s="681"/>
      <c r="P8" s="681"/>
    </row>
    <row r="9" spans="1:16">
      <c r="A9" s="405" t="s">
        <v>427</v>
      </c>
      <c r="B9" s="700"/>
      <c r="C9" s="852"/>
      <c r="D9" s="701"/>
      <c r="E9" s="852"/>
      <c r="F9" s="911"/>
      <c r="G9" s="702"/>
      <c r="H9" s="862"/>
      <c r="I9" s="863"/>
      <c r="J9" s="703">
        <f t="shared" ref="J9:J16" si="2">+B9+D9-G9</f>
        <v>0</v>
      </c>
      <c r="K9" s="704">
        <f t="shared" ref="K9:K16" si="3">+C9+E9-I9</f>
        <v>0</v>
      </c>
      <c r="L9" s="914"/>
      <c r="M9" s="915"/>
      <c r="N9" s="916"/>
      <c r="O9" s="681"/>
      <c r="P9" s="681"/>
    </row>
    <row r="10" spans="1:16">
      <c r="A10" s="405" t="s">
        <v>428</v>
      </c>
      <c r="B10" s="703"/>
      <c r="C10" s="852"/>
      <c r="D10" s="702"/>
      <c r="E10" s="852"/>
      <c r="F10" s="912"/>
      <c r="G10" s="702"/>
      <c r="H10" s="862"/>
      <c r="I10" s="863"/>
      <c r="J10" s="703">
        <f t="shared" si="2"/>
        <v>0</v>
      </c>
      <c r="K10" s="704">
        <f t="shared" si="3"/>
        <v>0</v>
      </c>
      <c r="L10" s="914"/>
      <c r="M10" s="915"/>
      <c r="N10" s="916"/>
      <c r="O10" s="681"/>
      <c r="P10" s="681"/>
    </row>
    <row r="11" spans="1:16">
      <c r="A11" s="406" t="s">
        <v>429</v>
      </c>
      <c r="B11" s="703"/>
      <c r="C11" s="852"/>
      <c r="D11" s="702"/>
      <c r="E11" s="852"/>
      <c r="F11" s="912"/>
      <c r="G11" s="702"/>
      <c r="H11" s="862"/>
      <c r="I11" s="863"/>
      <c r="J11" s="703">
        <f t="shared" si="2"/>
        <v>0</v>
      </c>
      <c r="K11" s="704">
        <f t="shared" si="3"/>
        <v>0</v>
      </c>
      <c r="L11" s="914"/>
      <c r="M11" s="915"/>
      <c r="N11" s="916"/>
      <c r="O11" s="681"/>
      <c r="P11" s="681"/>
    </row>
    <row r="12" spans="1:16">
      <c r="A12" s="406" t="s">
        <v>430</v>
      </c>
      <c r="B12" s="703"/>
      <c r="C12" s="852"/>
      <c r="D12" s="702"/>
      <c r="E12" s="852"/>
      <c r="F12" s="911"/>
      <c r="G12" s="702"/>
      <c r="H12" s="862"/>
      <c r="I12" s="863"/>
      <c r="J12" s="703">
        <f t="shared" si="2"/>
        <v>0</v>
      </c>
      <c r="K12" s="704">
        <f t="shared" si="3"/>
        <v>0</v>
      </c>
      <c r="L12" s="914"/>
      <c r="M12" s="915"/>
      <c r="N12" s="916"/>
      <c r="O12" s="681"/>
      <c r="P12" s="681"/>
    </row>
    <row r="13" spans="1:16" ht="25.5">
      <c r="A13" s="406" t="s">
        <v>431</v>
      </c>
      <c r="B13" s="703"/>
      <c r="C13" s="852"/>
      <c r="D13" s="702"/>
      <c r="E13" s="852"/>
      <c r="F13" s="911"/>
      <c r="G13" s="702"/>
      <c r="H13" s="862"/>
      <c r="I13" s="863"/>
      <c r="J13" s="703">
        <f t="shared" si="2"/>
        <v>0</v>
      </c>
      <c r="K13" s="704">
        <f t="shared" si="3"/>
        <v>0</v>
      </c>
      <c r="L13" s="914"/>
      <c r="M13" s="915"/>
      <c r="N13" s="916"/>
      <c r="O13" s="681"/>
      <c r="P13" s="681"/>
    </row>
    <row r="14" spans="1:16">
      <c r="A14" s="406" t="s">
        <v>432</v>
      </c>
      <c r="B14" s="703"/>
      <c r="C14" s="852"/>
      <c r="D14" s="702"/>
      <c r="E14" s="852"/>
      <c r="F14" s="911"/>
      <c r="G14" s="702"/>
      <c r="H14" s="862"/>
      <c r="I14" s="863"/>
      <c r="J14" s="703">
        <f t="shared" si="2"/>
        <v>0</v>
      </c>
      <c r="K14" s="704">
        <f t="shared" si="3"/>
        <v>0</v>
      </c>
      <c r="L14" s="914"/>
      <c r="M14" s="915"/>
      <c r="N14" s="916"/>
      <c r="O14" s="681"/>
      <c r="P14" s="681"/>
    </row>
    <row r="15" spans="1:16">
      <c r="A15" s="406" t="s">
        <v>433</v>
      </c>
      <c r="B15" s="703"/>
      <c r="C15" s="852"/>
      <c r="D15" s="702"/>
      <c r="E15" s="852"/>
      <c r="F15" s="911"/>
      <c r="G15" s="702"/>
      <c r="H15" s="862"/>
      <c r="I15" s="863"/>
      <c r="J15" s="703">
        <f t="shared" si="2"/>
        <v>0</v>
      </c>
      <c r="K15" s="704">
        <f t="shared" si="3"/>
        <v>0</v>
      </c>
      <c r="L15" s="914"/>
      <c r="M15" s="915"/>
      <c r="N15" s="916"/>
      <c r="O15" s="681"/>
      <c r="P15" s="681"/>
    </row>
    <row r="16" spans="1:16">
      <c r="A16" s="406" t="s">
        <v>434</v>
      </c>
      <c r="B16" s="703"/>
      <c r="C16" s="852"/>
      <c r="D16" s="703"/>
      <c r="E16" s="852"/>
      <c r="F16" s="911"/>
      <c r="G16" s="703"/>
      <c r="H16" s="862"/>
      <c r="I16" s="863"/>
      <c r="J16" s="703">
        <f t="shared" si="2"/>
        <v>0</v>
      </c>
      <c r="K16" s="704">
        <f t="shared" si="3"/>
        <v>0</v>
      </c>
      <c r="L16" s="914"/>
      <c r="M16" s="915"/>
      <c r="N16" s="916"/>
      <c r="O16" s="681"/>
      <c r="P16" s="681"/>
    </row>
    <row r="17" spans="1:16">
      <c r="A17" s="406" t="s">
        <v>435</v>
      </c>
      <c r="B17" s="703"/>
      <c r="C17" s="853"/>
      <c r="D17" s="703"/>
      <c r="E17" s="853"/>
      <c r="F17" s="911"/>
      <c r="G17" s="703"/>
      <c r="H17" s="862"/>
      <c r="I17" s="863"/>
      <c r="J17" s="703">
        <f>+B17+D17-G17</f>
        <v>0</v>
      </c>
      <c r="K17" s="704">
        <f>+C17+E17-I17</f>
        <v>0</v>
      </c>
      <c r="L17" s="914"/>
      <c r="M17" s="915"/>
      <c r="N17" s="916"/>
      <c r="O17" s="681"/>
      <c r="P17" s="681"/>
    </row>
    <row r="18" spans="1:16" ht="25.5">
      <c r="A18" s="406" t="s">
        <v>436</v>
      </c>
      <c r="B18" s="703"/>
      <c r="C18" s="853"/>
      <c r="D18" s="703"/>
      <c r="E18" s="853"/>
      <c r="F18" s="911"/>
      <c r="G18" s="703"/>
      <c r="H18" s="862"/>
      <c r="I18" s="863"/>
      <c r="J18" s="703">
        <f t="shared" ref="J18:J27" si="4">+B18+D18-G18</f>
        <v>0</v>
      </c>
      <c r="K18" s="704">
        <f t="shared" ref="K18:K28" si="5">+C18+E18-I18</f>
        <v>0</v>
      </c>
      <c r="L18" s="914"/>
      <c r="M18" s="915"/>
      <c r="N18" s="916"/>
      <c r="O18" s="681"/>
      <c r="P18" s="681"/>
    </row>
    <row r="19" spans="1:16">
      <c r="A19" s="406" t="s">
        <v>437</v>
      </c>
      <c r="B19" s="703"/>
      <c r="C19" s="853"/>
      <c r="D19" s="703"/>
      <c r="E19" s="853"/>
      <c r="F19" s="911"/>
      <c r="G19" s="703"/>
      <c r="H19" s="862"/>
      <c r="I19" s="863"/>
      <c r="J19" s="703">
        <f t="shared" si="4"/>
        <v>0</v>
      </c>
      <c r="K19" s="704">
        <f t="shared" si="5"/>
        <v>0</v>
      </c>
      <c r="L19" s="914"/>
      <c r="M19" s="915"/>
      <c r="N19" s="916"/>
      <c r="O19" s="681"/>
      <c r="P19" s="681"/>
    </row>
    <row r="20" spans="1:16">
      <c r="A20" s="406" t="s">
        <v>438</v>
      </c>
      <c r="B20" s="703"/>
      <c r="C20" s="853"/>
      <c r="D20" s="703"/>
      <c r="E20" s="853"/>
      <c r="F20" s="911"/>
      <c r="G20" s="703"/>
      <c r="H20" s="862"/>
      <c r="I20" s="863"/>
      <c r="J20" s="703">
        <f t="shared" si="4"/>
        <v>0</v>
      </c>
      <c r="K20" s="704">
        <f t="shared" si="5"/>
        <v>0</v>
      </c>
      <c r="L20" s="914"/>
      <c r="M20" s="915"/>
      <c r="N20" s="916"/>
      <c r="O20" s="681"/>
      <c r="P20" s="681"/>
    </row>
    <row r="21" spans="1:16">
      <c r="A21" s="406" t="s">
        <v>439</v>
      </c>
      <c r="B21" s="703"/>
      <c r="C21" s="853"/>
      <c r="D21" s="703"/>
      <c r="E21" s="853"/>
      <c r="F21" s="911"/>
      <c r="G21" s="703"/>
      <c r="H21" s="862"/>
      <c r="I21" s="863"/>
      <c r="J21" s="703">
        <f t="shared" si="4"/>
        <v>0</v>
      </c>
      <c r="K21" s="704">
        <f t="shared" si="5"/>
        <v>0</v>
      </c>
      <c r="L21" s="914"/>
      <c r="M21" s="915"/>
      <c r="N21" s="916"/>
      <c r="O21" s="681"/>
      <c r="P21" s="681"/>
    </row>
    <row r="22" spans="1:16" ht="25.5">
      <c r="A22" s="406" t="s">
        <v>440</v>
      </c>
      <c r="B22" s="703"/>
      <c r="C22" s="853"/>
      <c r="D22" s="703"/>
      <c r="E22" s="853"/>
      <c r="F22" s="911"/>
      <c r="G22" s="703"/>
      <c r="H22" s="862"/>
      <c r="I22" s="863"/>
      <c r="J22" s="703">
        <f t="shared" si="4"/>
        <v>0</v>
      </c>
      <c r="K22" s="704">
        <f t="shared" si="5"/>
        <v>0</v>
      </c>
      <c r="L22" s="914"/>
      <c r="M22" s="915"/>
      <c r="N22" s="916"/>
      <c r="O22" s="681"/>
      <c r="P22" s="681"/>
    </row>
    <row r="23" spans="1:16">
      <c r="A23" s="406" t="s">
        <v>441</v>
      </c>
      <c r="B23" s="703"/>
      <c r="C23" s="853"/>
      <c r="D23" s="703"/>
      <c r="E23" s="853"/>
      <c r="F23" s="911"/>
      <c r="G23" s="703"/>
      <c r="H23" s="862"/>
      <c r="I23" s="863"/>
      <c r="J23" s="703">
        <f t="shared" si="4"/>
        <v>0</v>
      </c>
      <c r="K23" s="704">
        <f t="shared" si="5"/>
        <v>0</v>
      </c>
      <c r="L23" s="914"/>
      <c r="M23" s="915"/>
      <c r="N23" s="916"/>
      <c r="O23" s="681"/>
      <c r="P23" s="681"/>
    </row>
    <row r="24" spans="1:16" ht="25.5">
      <c r="A24" s="406" t="s">
        <v>442</v>
      </c>
      <c r="B24" s="703"/>
      <c r="C24" s="853"/>
      <c r="D24" s="703"/>
      <c r="E24" s="853"/>
      <c r="F24" s="911"/>
      <c r="G24" s="703"/>
      <c r="H24" s="862"/>
      <c r="I24" s="863"/>
      <c r="J24" s="703">
        <f t="shared" si="4"/>
        <v>0</v>
      </c>
      <c r="K24" s="704">
        <f t="shared" si="5"/>
        <v>0</v>
      </c>
      <c r="L24" s="914"/>
      <c r="M24" s="915"/>
      <c r="N24" s="916"/>
      <c r="O24" s="681"/>
      <c r="P24" s="681"/>
    </row>
    <row r="25" spans="1:16">
      <c r="A25" s="406" t="s">
        <v>443</v>
      </c>
      <c r="B25" s="703"/>
      <c r="C25" s="853"/>
      <c r="D25" s="703"/>
      <c r="E25" s="853"/>
      <c r="F25" s="911"/>
      <c r="G25" s="703"/>
      <c r="H25" s="862"/>
      <c r="I25" s="863"/>
      <c r="J25" s="703">
        <f t="shared" si="4"/>
        <v>0</v>
      </c>
      <c r="K25" s="704">
        <f t="shared" si="5"/>
        <v>0</v>
      </c>
      <c r="L25" s="914"/>
      <c r="M25" s="915"/>
      <c r="N25" s="916"/>
      <c r="O25" s="681"/>
      <c r="P25" s="681"/>
    </row>
    <row r="26" spans="1:16">
      <c r="A26" s="406" t="s">
        <v>444</v>
      </c>
      <c r="B26" s="700"/>
      <c r="C26" s="852"/>
      <c r="D26" s="700"/>
      <c r="E26" s="852"/>
      <c r="F26" s="911"/>
      <c r="G26" s="703"/>
      <c r="H26" s="862"/>
      <c r="I26" s="863"/>
      <c r="J26" s="703">
        <f t="shared" si="4"/>
        <v>0</v>
      </c>
      <c r="K26" s="704">
        <f t="shared" si="5"/>
        <v>0</v>
      </c>
      <c r="L26" s="914"/>
      <c r="M26" s="915"/>
      <c r="N26" s="916"/>
      <c r="O26" s="681"/>
      <c r="P26" s="681"/>
    </row>
    <row r="27" spans="1:16">
      <c r="A27" s="406" t="s">
        <v>445</v>
      </c>
      <c r="B27" s="703"/>
      <c r="C27" s="852"/>
      <c r="D27" s="700"/>
      <c r="E27" s="852"/>
      <c r="F27" s="911"/>
      <c r="G27" s="703"/>
      <c r="H27" s="862"/>
      <c r="I27" s="863"/>
      <c r="J27" s="703">
        <f t="shared" si="4"/>
        <v>0</v>
      </c>
      <c r="K27" s="704">
        <f t="shared" si="5"/>
        <v>0</v>
      </c>
      <c r="L27" s="914"/>
      <c r="M27" s="915"/>
      <c r="N27" s="916"/>
      <c r="O27" s="681"/>
      <c r="P27" s="681"/>
    </row>
    <row r="28" spans="1:16" ht="25.5">
      <c r="A28" s="407" t="s">
        <v>446</v>
      </c>
      <c r="B28" s="705"/>
      <c r="C28" s="854"/>
      <c r="D28" s="706"/>
      <c r="E28" s="854"/>
      <c r="F28" s="913"/>
      <c r="G28" s="705"/>
      <c r="H28" s="864"/>
      <c r="I28" s="865"/>
      <c r="J28" s="707">
        <f>+B28+D28-G28</f>
        <v>0</v>
      </c>
      <c r="K28" s="708">
        <f t="shared" si="5"/>
        <v>0</v>
      </c>
      <c r="L28" s="917"/>
      <c r="M28" s="918"/>
      <c r="N28" s="919"/>
      <c r="O28" s="681"/>
      <c r="P28" s="681"/>
    </row>
    <row r="29" spans="1:16">
      <c r="A29" s="408" t="s">
        <v>447</v>
      </c>
      <c r="B29" s="709">
        <f>+SUM(B30:B48)</f>
        <v>0</v>
      </c>
      <c r="C29" s="855">
        <f t="shared" ref="C29" si="6">+SUM(C30:C48)</f>
        <v>0</v>
      </c>
      <c r="D29" s="709">
        <f>+SUM(D30:D48)</f>
        <v>0</v>
      </c>
      <c r="E29" s="858">
        <f t="shared" ref="E29:K29" si="7">+SUM(E30:E48)</f>
        <v>0</v>
      </c>
      <c r="F29" s="711" t="e">
        <f>+(D30*F30+D31*F31+D32*F32+D33*F33+D34*F34+D35*F35+D36*F36+D37*F37+D38*F38+D39*F39+D40*F40+D41*F41+D42*F42+D43*F43+D44*F44+D45*F45+D46*F46+D47*F47+D48*F48)/D29</f>
        <v>#DIV/0!</v>
      </c>
      <c r="G29" s="712">
        <f t="shared" si="7"/>
        <v>0</v>
      </c>
      <c r="H29" s="866">
        <f t="shared" si="7"/>
        <v>0</v>
      </c>
      <c r="I29" s="855">
        <f t="shared" si="7"/>
        <v>0</v>
      </c>
      <c r="J29" s="709">
        <f t="shared" si="7"/>
        <v>0</v>
      </c>
      <c r="K29" s="710">
        <f t="shared" si="7"/>
        <v>0</v>
      </c>
      <c r="L29" s="969" t="e">
        <f>+(J30*L30+J31*L31+J32*L32+J33*L33+J34*L34+J35*L35+J36*L36+J37*L37+J38*L38+J39*L39+J40*L40+J41*L41+J42*L42+J43*L43+J44*L44+J45*L45+J46*L46+J47*L47+J48*L48)/J29</f>
        <v>#DIV/0!</v>
      </c>
      <c r="M29" s="713">
        <f>+MAX(M30:M48)</f>
        <v>0</v>
      </c>
      <c r="N29" s="713">
        <f>+MIN(N30:N48)</f>
        <v>0</v>
      </c>
      <c r="O29" s="681"/>
      <c r="P29" s="681"/>
    </row>
    <row r="30" spans="1:16">
      <c r="A30" s="405" t="s">
        <v>448</v>
      </c>
      <c r="B30" s="703"/>
      <c r="C30" s="852"/>
      <c r="D30" s="700"/>
      <c r="E30" s="852"/>
      <c r="F30" s="911"/>
      <c r="G30" s="703"/>
      <c r="H30" s="862"/>
      <c r="I30" s="863"/>
      <c r="J30" s="703">
        <f t="shared" ref="J30:J37" si="8">+B30+D30-G30</f>
        <v>0</v>
      </c>
      <c r="K30" s="704">
        <f t="shared" ref="K30:K37" si="9">+C30+E30-I30</f>
        <v>0</v>
      </c>
      <c r="L30" s="914"/>
      <c r="M30" s="915"/>
      <c r="N30" s="916"/>
      <c r="O30" s="681"/>
      <c r="P30" s="681"/>
    </row>
    <row r="31" spans="1:16">
      <c r="A31" s="405" t="s">
        <v>449</v>
      </c>
      <c r="B31" s="703"/>
      <c r="C31" s="852"/>
      <c r="D31" s="700"/>
      <c r="E31" s="852"/>
      <c r="F31" s="911"/>
      <c r="G31" s="703"/>
      <c r="H31" s="862"/>
      <c r="I31" s="863"/>
      <c r="J31" s="703">
        <f t="shared" si="8"/>
        <v>0</v>
      </c>
      <c r="K31" s="704">
        <f t="shared" si="9"/>
        <v>0</v>
      </c>
      <c r="L31" s="914"/>
      <c r="M31" s="915"/>
      <c r="N31" s="916"/>
      <c r="O31" s="681"/>
      <c r="P31" s="681"/>
    </row>
    <row r="32" spans="1:16">
      <c r="A32" s="406" t="s">
        <v>450</v>
      </c>
      <c r="B32" s="703"/>
      <c r="C32" s="852"/>
      <c r="D32" s="700"/>
      <c r="E32" s="852"/>
      <c r="F32" s="911"/>
      <c r="G32" s="703"/>
      <c r="H32" s="862"/>
      <c r="I32" s="863"/>
      <c r="J32" s="703">
        <f t="shared" si="8"/>
        <v>0</v>
      </c>
      <c r="K32" s="704">
        <f t="shared" si="9"/>
        <v>0</v>
      </c>
      <c r="L32" s="914"/>
      <c r="M32" s="915"/>
      <c r="N32" s="916"/>
      <c r="O32" s="681"/>
      <c r="P32" s="681"/>
    </row>
    <row r="33" spans="1:16">
      <c r="A33" s="406" t="s">
        <v>451</v>
      </c>
      <c r="B33" s="700"/>
      <c r="C33" s="852"/>
      <c r="D33" s="700"/>
      <c r="E33" s="852"/>
      <c r="F33" s="911"/>
      <c r="G33" s="703"/>
      <c r="H33" s="862"/>
      <c r="I33" s="863"/>
      <c r="J33" s="703">
        <f t="shared" si="8"/>
        <v>0</v>
      </c>
      <c r="K33" s="704">
        <f t="shared" si="9"/>
        <v>0</v>
      </c>
      <c r="L33" s="914"/>
      <c r="M33" s="915"/>
      <c r="N33" s="916"/>
      <c r="O33" s="681"/>
      <c r="P33" s="681"/>
    </row>
    <row r="34" spans="1:16" ht="25.5">
      <c r="A34" s="406" t="s">
        <v>452</v>
      </c>
      <c r="B34" s="703"/>
      <c r="C34" s="852"/>
      <c r="D34" s="703"/>
      <c r="E34" s="852"/>
      <c r="F34" s="911"/>
      <c r="G34" s="703"/>
      <c r="H34" s="862"/>
      <c r="I34" s="863"/>
      <c r="J34" s="703">
        <f t="shared" si="8"/>
        <v>0</v>
      </c>
      <c r="K34" s="704">
        <f t="shared" si="9"/>
        <v>0</v>
      </c>
      <c r="L34" s="914"/>
      <c r="M34" s="915"/>
      <c r="N34" s="916"/>
      <c r="O34" s="681"/>
      <c r="P34" s="681"/>
    </row>
    <row r="35" spans="1:16">
      <c r="A35" s="406" t="s">
        <v>453</v>
      </c>
      <c r="B35" s="703"/>
      <c r="C35" s="852"/>
      <c r="D35" s="703"/>
      <c r="E35" s="852"/>
      <c r="F35" s="911"/>
      <c r="G35" s="703"/>
      <c r="H35" s="862"/>
      <c r="I35" s="863"/>
      <c r="J35" s="703">
        <f t="shared" si="8"/>
        <v>0</v>
      </c>
      <c r="K35" s="704">
        <f t="shared" si="9"/>
        <v>0</v>
      </c>
      <c r="L35" s="914"/>
      <c r="M35" s="915"/>
      <c r="N35" s="916"/>
      <c r="O35" s="681"/>
      <c r="P35" s="681"/>
    </row>
    <row r="36" spans="1:16">
      <c r="A36" s="406" t="s">
        <v>454</v>
      </c>
      <c r="B36" s="703"/>
      <c r="C36" s="852"/>
      <c r="D36" s="703"/>
      <c r="E36" s="852"/>
      <c r="F36" s="911"/>
      <c r="G36" s="703"/>
      <c r="H36" s="862"/>
      <c r="I36" s="863"/>
      <c r="J36" s="703">
        <f t="shared" si="8"/>
        <v>0</v>
      </c>
      <c r="K36" s="704">
        <f t="shared" si="9"/>
        <v>0</v>
      </c>
      <c r="L36" s="914"/>
      <c r="M36" s="915"/>
      <c r="N36" s="916"/>
      <c r="O36" s="681"/>
      <c r="P36" s="681"/>
    </row>
    <row r="37" spans="1:16">
      <c r="A37" s="406" t="s">
        <v>455</v>
      </c>
      <c r="B37" s="703"/>
      <c r="C37" s="852"/>
      <c r="D37" s="703"/>
      <c r="E37" s="852"/>
      <c r="F37" s="911"/>
      <c r="G37" s="703"/>
      <c r="H37" s="862"/>
      <c r="I37" s="863"/>
      <c r="J37" s="703">
        <f t="shared" si="8"/>
        <v>0</v>
      </c>
      <c r="K37" s="704">
        <f t="shared" si="9"/>
        <v>0</v>
      </c>
      <c r="L37" s="914"/>
      <c r="M37" s="915"/>
      <c r="N37" s="916"/>
      <c r="O37" s="681"/>
      <c r="P37" s="681"/>
    </row>
    <row r="38" spans="1:16">
      <c r="A38" s="406" t="s">
        <v>456</v>
      </c>
      <c r="B38" s="703"/>
      <c r="C38" s="852"/>
      <c r="D38" s="703"/>
      <c r="E38" s="852"/>
      <c r="F38" s="911"/>
      <c r="G38" s="703"/>
      <c r="H38" s="862"/>
      <c r="I38" s="863"/>
      <c r="J38" s="703">
        <f>+B38+D38-G38</f>
        <v>0</v>
      </c>
      <c r="K38" s="704">
        <f>+C38+E38-I38</f>
        <v>0</v>
      </c>
      <c r="L38" s="914"/>
      <c r="M38" s="915"/>
      <c r="N38" s="916"/>
      <c r="O38" s="681"/>
      <c r="P38" s="681"/>
    </row>
    <row r="39" spans="1:16" ht="25.5">
      <c r="A39" s="406" t="s">
        <v>457</v>
      </c>
      <c r="B39" s="703"/>
      <c r="C39" s="852"/>
      <c r="D39" s="703"/>
      <c r="E39" s="852"/>
      <c r="F39" s="911"/>
      <c r="G39" s="703"/>
      <c r="H39" s="862"/>
      <c r="I39" s="863"/>
      <c r="J39" s="703">
        <f t="shared" ref="J39:J48" si="10">+B39+D39-G39</f>
        <v>0</v>
      </c>
      <c r="K39" s="704">
        <f t="shared" ref="K39:K49" si="11">+C39+E39-I39</f>
        <v>0</v>
      </c>
      <c r="L39" s="914"/>
      <c r="M39" s="915"/>
      <c r="N39" s="916"/>
      <c r="O39" s="681"/>
      <c r="P39" s="681"/>
    </row>
    <row r="40" spans="1:16">
      <c r="A40" s="406" t="s">
        <v>458</v>
      </c>
      <c r="B40" s="703"/>
      <c r="C40" s="852"/>
      <c r="D40" s="703"/>
      <c r="E40" s="852"/>
      <c r="F40" s="911"/>
      <c r="G40" s="703"/>
      <c r="H40" s="862"/>
      <c r="I40" s="863"/>
      <c r="J40" s="703">
        <f t="shared" si="10"/>
        <v>0</v>
      </c>
      <c r="K40" s="704">
        <f t="shared" si="11"/>
        <v>0</v>
      </c>
      <c r="L40" s="914"/>
      <c r="M40" s="915"/>
      <c r="N40" s="916"/>
      <c r="O40" s="681"/>
      <c r="P40" s="681"/>
    </row>
    <row r="41" spans="1:16">
      <c r="A41" s="406" t="s">
        <v>459</v>
      </c>
      <c r="B41" s="703"/>
      <c r="C41" s="852"/>
      <c r="D41" s="703"/>
      <c r="E41" s="852"/>
      <c r="F41" s="911"/>
      <c r="G41" s="703"/>
      <c r="H41" s="862"/>
      <c r="I41" s="863"/>
      <c r="J41" s="703">
        <f t="shared" si="10"/>
        <v>0</v>
      </c>
      <c r="K41" s="704">
        <f t="shared" si="11"/>
        <v>0</v>
      </c>
      <c r="L41" s="914"/>
      <c r="M41" s="915"/>
      <c r="N41" s="916"/>
      <c r="O41" s="681"/>
      <c r="P41" s="681"/>
    </row>
    <row r="42" spans="1:16">
      <c r="A42" s="406" t="s">
        <v>460</v>
      </c>
      <c r="B42" s="703"/>
      <c r="C42" s="852"/>
      <c r="D42" s="703"/>
      <c r="E42" s="852"/>
      <c r="F42" s="911"/>
      <c r="G42" s="703"/>
      <c r="H42" s="862"/>
      <c r="I42" s="863"/>
      <c r="J42" s="703">
        <f t="shared" si="10"/>
        <v>0</v>
      </c>
      <c r="K42" s="704">
        <f t="shared" si="11"/>
        <v>0</v>
      </c>
      <c r="L42" s="914"/>
      <c r="M42" s="915"/>
      <c r="N42" s="916"/>
      <c r="O42" s="681"/>
      <c r="P42" s="681"/>
    </row>
    <row r="43" spans="1:16" ht="25.5">
      <c r="A43" s="406" t="s">
        <v>461</v>
      </c>
      <c r="B43" s="703"/>
      <c r="C43" s="852"/>
      <c r="D43" s="703"/>
      <c r="E43" s="852"/>
      <c r="F43" s="911"/>
      <c r="G43" s="703"/>
      <c r="H43" s="862"/>
      <c r="I43" s="863"/>
      <c r="J43" s="703">
        <f t="shared" si="10"/>
        <v>0</v>
      </c>
      <c r="K43" s="704">
        <f>+C43+E43-I43</f>
        <v>0</v>
      </c>
      <c r="L43" s="914"/>
      <c r="M43" s="915"/>
      <c r="N43" s="916"/>
      <c r="O43" s="681"/>
      <c r="P43" s="681"/>
    </row>
    <row r="44" spans="1:16">
      <c r="A44" s="406" t="s">
        <v>462</v>
      </c>
      <c r="B44" s="703"/>
      <c r="C44" s="852"/>
      <c r="D44" s="703"/>
      <c r="E44" s="852"/>
      <c r="F44" s="911"/>
      <c r="G44" s="703"/>
      <c r="H44" s="862"/>
      <c r="I44" s="863"/>
      <c r="J44" s="703">
        <f t="shared" si="10"/>
        <v>0</v>
      </c>
      <c r="K44" s="704">
        <f t="shared" si="11"/>
        <v>0</v>
      </c>
      <c r="L44" s="914"/>
      <c r="M44" s="915"/>
      <c r="N44" s="916"/>
      <c r="O44" s="681"/>
      <c r="P44" s="681"/>
    </row>
    <row r="45" spans="1:16" ht="25.5">
      <c r="A45" s="406" t="s">
        <v>463</v>
      </c>
      <c r="B45" s="703"/>
      <c r="C45" s="852"/>
      <c r="D45" s="703"/>
      <c r="E45" s="852"/>
      <c r="F45" s="911"/>
      <c r="G45" s="703"/>
      <c r="H45" s="862"/>
      <c r="I45" s="863"/>
      <c r="J45" s="703">
        <f t="shared" si="10"/>
        <v>0</v>
      </c>
      <c r="K45" s="704">
        <f t="shared" si="11"/>
        <v>0</v>
      </c>
      <c r="L45" s="914"/>
      <c r="M45" s="915"/>
      <c r="N45" s="916"/>
      <c r="O45" s="681"/>
      <c r="P45" s="681"/>
    </row>
    <row r="46" spans="1:16">
      <c r="A46" s="406" t="s">
        <v>464</v>
      </c>
      <c r="B46" s="703"/>
      <c r="C46" s="852"/>
      <c r="D46" s="703"/>
      <c r="E46" s="852"/>
      <c r="F46" s="911"/>
      <c r="G46" s="703"/>
      <c r="H46" s="862"/>
      <c r="I46" s="863"/>
      <c r="J46" s="703">
        <f t="shared" si="10"/>
        <v>0</v>
      </c>
      <c r="K46" s="704">
        <f t="shared" si="11"/>
        <v>0</v>
      </c>
      <c r="L46" s="914"/>
      <c r="M46" s="915"/>
      <c r="N46" s="916"/>
      <c r="O46" s="681"/>
      <c r="P46" s="681"/>
    </row>
    <row r="47" spans="1:16">
      <c r="A47" s="406" t="s">
        <v>465</v>
      </c>
      <c r="B47" s="703"/>
      <c r="C47" s="852"/>
      <c r="D47" s="703"/>
      <c r="E47" s="852"/>
      <c r="F47" s="911"/>
      <c r="G47" s="703"/>
      <c r="H47" s="862"/>
      <c r="I47" s="863"/>
      <c r="J47" s="703">
        <f t="shared" si="10"/>
        <v>0</v>
      </c>
      <c r="K47" s="704">
        <f t="shared" si="11"/>
        <v>0</v>
      </c>
      <c r="L47" s="914"/>
      <c r="M47" s="915"/>
      <c r="N47" s="916"/>
      <c r="O47" s="681"/>
      <c r="P47" s="681"/>
    </row>
    <row r="48" spans="1:16">
      <c r="A48" s="406" t="s">
        <v>466</v>
      </c>
      <c r="B48" s="714"/>
      <c r="C48" s="852"/>
      <c r="D48" s="714"/>
      <c r="E48" s="852"/>
      <c r="F48" s="920"/>
      <c r="G48" s="703"/>
      <c r="H48" s="862"/>
      <c r="I48" s="863"/>
      <c r="J48" s="703">
        <f t="shared" si="10"/>
        <v>0</v>
      </c>
      <c r="K48" s="704">
        <f t="shared" si="11"/>
        <v>0</v>
      </c>
      <c r="L48" s="922"/>
      <c r="M48" s="923"/>
      <c r="N48" s="924"/>
      <c r="O48" s="681"/>
      <c r="P48" s="681"/>
    </row>
    <row r="49" spans="1:16" ht="26.25" thickBot="1">
      <c r="A49" s="409" t="s">
        <v>467</v>
      </c>
      <c r="B49" s="715"/>
      <c r="C49" s="856"/>
      <c r="D49" s="715"/>
      <c r="E49" s="856"/>
      <c r="F49" s="921"/>
      <c r="G49" s="716"/>
      <c r="H49" s="867"/>
      <c r="I49" s="868"/>
      <c r="J49" s="707">
        <f>+B49+D49-G49</f>
        <v>0</v>
      </c>
      <c r="K49" s="708">
        <f t="shared" si="11"/>
        <v>0</v>
      </c>
      <c r="L49" s="925"/>
      <c r="M49" s="926"/>
      <c r="N49" s="927"/>
      <c r="O49" s="681"/>
      <c r="P49" s="681"/>
    </row>
    <row r="50" spans="1:16" ht="15.75" thickBot="1">
      <c r="A50" s="410" t="s">
        <v>469</v>
      </c>
      <c r="B50" s="1087" t="s">
        <v>482</v>
      </c>
      <c r="C50" s="1088"/>
      <c r="D50" s="939">
        <f>+SUM(D51:D56)</f>
        <v>0</v>
      </c>
      <c r="E50" s="859">
        <f>+SUM(E51:E56)</f>
        <v>0</v>
      </c>
      <c r="F50" s="940" t="e">
        <f>+(D51*F51+D52*F52+D53*F53+D54*F54+D55*F55+D56*F56)/D50</f>
        <v>#DIV/0!</v>
      </c>
      <c r="G50" s="939">
        <f>+SUM(G51:G56)</f>
        <v>0</v>
      </c>
      <c r="H50" s="869">
        <f>+SUM(H51:H56)</f>
        <v>0</v>
      </c>
      <c r="I50" s="857">
        <f>+SUM(I51:I56)</f>
        <v>0</v>
      </c>
      <c r="J50" s="1081" t="s">
        <v>482</v>
      </c>
      <c r="K50" s="1082"/>
      <c r="L50" s="1082"/>
      <c r="M50" s="1082"/>
      <c r="N50" s="1083"/>
      <c r="O50" s="681"/>
      <c r="P50" s="681"/>
    </row>
    <row r="51" spans="1:16">
      <c r="A51" s="411" t="s">
        <v>470</v>
      </c>
      <c r="B51" s="1089"/>
      <c r="C51" s="1090"/>
      <c r="D51" s="682"/>
      <c r="E51" s="683"/>
      <c r="F51" s="928"/>
      <c r="G51" s="682"/>
      <c r="H51" s="684"/>
      <c r="I51" s="685"/>
      <c r="J51" s="1084"/>
      <c r="K51" s="1085"/>
      <c r="L51" s="1085"/>
      <c r="M51" s="1085"/>
      <c r="N51" s="1086"/>
      <c r="O51" s="681"/>
      <c r="P51" s="681"/>
    </row>
    <row r="52" spans="1:16">
      <c r="A52" s="412" t="s">
        <v>471</v>
      </c>
      <c r="B52" s="1089"/>
      <c r="C52" s="1090"/>
      <c r="D52" s="686"/>
      <c r="E52" s="687"/>
      <c r="F52" s="929"/>
      <c r="G52" s="686"/>
      <c r="H52" s="688"/>
      <c r="I52" s="689"/>
      <c r="J52" s="1084"/>
      <c r="K52" s="1085"/>
      <c r="L52" s="1085"/>
      <c r="M52" s="1085"/>
      <c r="N52" s="1086"/>
      <c r="O52" s="681"/>
      <c r="P52" s="681"/>
    </row>
    <row r="53" spans="1:16">
      <c r="A53" s="412" t="s">
        <v>795</v>
      </c>
      <c r="B53" s="1089"/>
      <c r="C53" s="1090"/>
      <c r="D53" s="686"/>
      <c r="E53" s="687"/>
      <c r="F53" s="929"/>
      <c r="G53" s="686"/>
      <c r="H53" s="688"/>
      <c r="I53" s="689"/>
      <c r="J53" s="1084"/>
      <c r="K53" s="1085"/>
      <c r="L53" s="1085"/>
      <c r="M53" s="1085"/>
      <c r="N53" s="1086"/>
      <c r="O53" s="681"/>
      <c r="P53" s="681"/>
    </row>
    <row r="54" spans="1:16">
      <c r="A54" s="412" t="s">
        <v>472</v>
      </c>
      <c r="B54" s="1089"/>
      <c r="C54" s="1090"/>
      <c r="D54" s="686"/>
      <c r="E54" s="687"/>
      <c r="F54" s="929"/>
      <c r="G54" s="686"/>
      <c r="H54" s="688"/>
      <c r="I54" s="689"/>
      <c r="J54" s="1084"/>
      <c r="K54" s="1085"/>
      <c r="L54" s="1085"/>
      <c r="M54" s="1085"/>
      <c r="N54" s="1086"/>
      <c r="O54" s="681"/>
      <c r="P54" s="681"/>
    </row>
    <row r="55" spans="1:16">
      <c r="A55" s="412" t="s">
        <v>776</v>
      </c>
      <c r="B55" s="1089"/>
      <c r="C55" s="1090"/>
      <c r="D55" s="686"/>
      <c r="E55" s="687"/>
      <c r="F55" s="929"/>
      <c r="G55" s="686"/>
      <c r="H55" s="688"/>
      <c r="I55" s="689"/>
      <c r="J55" s="1084"/>
      <c r="K55" s="1085"/>
      <c r="L55" s="1085"/>
      <c r="M55" s="1085"/>
      <c r="N55" s="1086"/>
      <c r="O55" s="681"/>
      <c r="P55" s="681"/>
    </row>
    <row r="56" spans="1:16" ht="15.75" thickBot="1">
      <c r="A56" s="413" t="s">
        <v>473</v>
      </c>
      <c r="B56" s="1089"/>
      <c r="C56" s="1090"/>
      <c r="D56" s="690"/>
      <c r="E56" s="691"/>
      <c r="F56" s="930"/>
      <c r="G56" s="690"/>
      <c r="H56" s="692"/>
      <c r="I56" s="693"/>
      <c r="J56" s="1084"/>
      <c r="K56" s="1085"/>
      <c r="L56" s="1085"/>
      <c r="M56" s="1085"/>
      <c r="N56" s="1086"/>
      <c r="O56" s="681"/>
      <c r="P56" s="681"/>
    </row>
    <row r="57" spans="1:16" ht="15.75" thickBot="1">
      <c r="A57" s="960" t="s">
        <v>474</v>
      </c>
      <c r="B57" s="974">
        <f>+B58+B64</f>
        <v>0</v>
      </c>
      <c r="C57" s="975">
        <f>+C58+C64</f>
        <v>0</v>
      </c>
      <c r="D57" s="974">
        <f>+D58+D64</f>
        <v>0</v>
      </c>
      <c r="E57" s="976">
        <f>+E58+E64</f>
        <v>0</v>
      </c>
      <c r="F57" s="977" t="e">
        <f>+(D59*F59+D60*F60+D61*F61+D62*F62+D63*F63+D65*F65+D66*F66+D67*F67+D68*F68)/D57</f>
        <v>#DIV/0!</v>
      </c>
      <c r="G57" s="974">
        <f>+G58+G64</f>
        <v>0</v>
      </c>
      <c r="H57" s="976">
        <f>+H58+H64</f>
        <v>0</v>
      </c>
      <c r="I57" s="975">
        <f>+I58+I64</f>
        <v>0</v>
      </c>
      <c r="J57" s="974">
        <f>+J58+J64</f>
        <v>0</v>
      </c>
      <c r="K57" s="978">
        <f>+K58+K64</f>
        <v>0</v>
      </c>
      <c r="L57" s="977" t="e">
        <f>+(J59*L59+J60*L60+J61*L61+J62*L62+J63*L63+J65*L65+J66*L66+J67*L67+J68*L68)/J57</f>
        <v>#DIV/0!</v>
      </c>
      <c r="M57" s="971">
        <f>+MAX(M59:M63,M65:M68)</f>
        <v>0</v>
      </c>
      <c r="N57" s="973">
        <f>+MIN(N59:N63,N65:N68)</f>
        <v>0</v>
      </c>
      <c r="O57" s="681"/>
      <c r="P57" s="681"/>
    </row>
    <row r="58" spans="1:16">
      <c r="A58" s="414" t="s">
        <v>475</v>
      </c>
      <c r="B58" s="961">
        <f>+SUM(B59:B63)</f>
        <v>0</v>
      </c>
      <c r="C58" s="962">
        <f>+SUM(C59:C63)</f>
        <v>0</v>
      </c>
      <c r="D58" s="961">
        <f>+SUM(D59:D63)</f>
        <v>0</v>
      </c>
      <c r="E58" s="963">
        <f>+SUM(E59:E63)</f>
        <v>0</v>
      </c>
      <c r="F58" s="966" t="e">
        <f>+(D59*F59+D60*F60+D61*F61+D62*F62+D63*F63)/D58</f>
        <v>#DIV/0!</v>
      </c>
      <c r="G58" s="961">
        <f>+SUM(G59:G63)</f>
        <v>0</v>
      </c>
      <c r="H58" s="964">
        <f>+SUM(H59:H63)</f>
        <v>0</v>
      </c>
      <c r="I58" s="962">
        <f>+SUM(I59:I63)</f>
        <v>0</v>
      </c>
      <c r="J58" s="961">
        <f>+SUM(J59:J63)</f>
        <v>0</v>
      </c>
      <c r="K58" s="965">
        <f>+SUM(K59:K63)</f>
        <v>0</v>
      </c>
      <c r="L58" s="966" t="e">
        <f>+(J59*L59+J60*L60+J61*L61+J62*L62+J63*L63)/J58</f>
        <v>#DIV/0!</v>
      </c>
      <c r="M58" s="720">
        <f>+MAX(M59:M63)</f>
        <v>0</v>
      </c>
      <c r="N58" s="720">
        <f>+MIN(N59:N63)</f>
        <v>0</v>
      </c>
      <c r="O58" s="681"/>
      <c r="P58" s="681"/>
    </row>
    <row r="59" spans="1:16">
      <c r="A59" s="415" t="s">
        <v>476</v>
      </c>
      <c r="B59" s="718"/>
      <c r="C59" s="845"/>
      <c r="D59" s="718"/>
      <c r="E59" s="870"/>
      <c r="F59" s="953"/>
      <c r="G59" s="719"/>
      <c r="H59" s="876"/>
      <c r="I59" s="845"/>
      <c r="J59" s="703">
        <f t="shared" ref="J59:J63" si="12">+B59+D59-G59</f>
        <v>0</v>
      </c>
      <c r="K59" s="704">
        <f t="shared" ref="K59:K63" si="13">+C59+E59-I59</f>
        <v>0</v>
      </c>
      <c r="L59" s="931"/>
      <c r="M59" s="932"/>
      <c r="N59" s="933"/>
      <c r="O59" s="681"/>
      <c r="P59" s="681"/>
    </row>
    <row r="60" spans="1:16">
      <c r="A60" s="415" t="s">
        <v>477</v>
      </c>
      <c r="B60" s="718"/>
      <c r="C60" s="845"/>
      <c r="D60" s="718"/>
      <c r="E60" s="870"/>
      <c r="F60" s="953"/>
      <c r="G60" s="719"/>
      <c r="H60" s="876"/>
      <c r="I60" s="845"/>
      <c r="J60" s="703">
        <f t="shared" si="12"/>
        <v>0</v>
      </c>
      <c r="K60" s="704">
        <f t="shared" si="13"/>
        <v>0</v>
      </c>
      <c r="L60" s="931"/>
      <c r="M60" s="932"/>
      <c r="N60" s="933"/>
      <c r="O60" s="681"/>
      <c r="P60" s="681"/>
    </row>
    <row r="61" spans="1:16">
      <c r="A61" s="415" t="s">
        <v>478</v>
      </c>
      <c r="B61" s="718"/>
      <c r="C61" s="845"/>
      <c r="D61" s="718"/>
      <c r="E61" s="870"/>
      <c r="F61" s="953"/>
      <c r="G61" s="719"/>
      <c r="H61" s="876"/>
      <c r="I61" s="845"/>
      <c r="J61" s="703">
        <f t="shared" si="12"/>
        <v>0</v>
      </c>
      <c r="K61" s="704">
        <f t="shared" si="13"/>
        <v>0</v>
      </c>
      <c r="L61" s="931"/>
      <c r="M61" s="932"/>
      <c r="N61" s="933"/>
      <c r="O61" s="681"/>
      <c r="P61" s="681"/>
    </row>
    <row r="62" spans="1:16">
      <c r="A62" s="415" t="s">
        <v>479</v>
      </c>
      <c r="B62" s="718"/>
      <c r="C62" s="845"/>
      <c r="D62" s="718"/>
      <c r="E62" s="870"/>
      <c r="F62" s="953"/>
      <c r="G62" s="719"/>
      <c r="H62" s="876"/>
      <c r="I62" s="845"/>
      <c r="J62" s="703">
        <f t="shared" si="12"/>
        <v>0</v>
      </c>
      <c r="K62" s="704">
        <f t="shared" si="13"/>
        <v>0</v>
      </c>
      <c r="L62" s="931"/>
      <c r="M62" s="932"/>
      <c r="N62" s="933"/>
      <c r="O62" s="681"/>
      <c r="P62" s="681"/>
    </row>
    <row r="63" spans="1:16">
      <c r="A63" s="415" t="s">
        <v>480</v>
      </c>
      <c r="B63" s="717"/>
      <c r="C63" s="845"/>
      <c r="D63" s="718"/>
      <c r="E63" s="870"/>
      <c r="F63" s="954"/>
      <c r="G63" s="719"/>
      <c r="H63" s="876"/>
      <c r="I63" s="845"/>
      <c r="J63" s="703">
        <f t="shared" si="12"/>
        <v>0</v>
      </c>
      <c r="K63" s="704">
        <f t="shared" si="13"/>
        <v>0</v>
      </c>
      <c r="L63" s="934"/>
      <c r="M63" s="932"/>
      <c r="N63" s="933"/>
      <c r="O63" s="681"/>
      <c r="P63" s="681"/>
    </row>
    <row r="64" spans="1:16">
      <c r="A64" s="416" t="s">
        <v>481</v>
      </c>
      <c r="B64" s="721">
        <f>+SUM(B65:B68)</f>
        <v>0</v>
      </c>
      <c r="C64" s="846">
        <f>+SUM(C65:C68)</f>
        <v>0</v>
      </c>
      <c r="D64" s="721">
        <f>+SUM(D65:D68)</f>
        <v>0</v>
      </c>
      <c r="E64" s="871">
        <f>+SUM(E65:E68)</f>
        <v>0</v>
      </c>
      <c r="F64" s="967" t="e">
        <f>+(D65*F65+D66*F66+D67*F67+D68*F68)/D64</f>
        <v>#DIV/0!</v>
      </c>
      <c r="G64" s="722">
        <f>+SUM(G65:G68)</f>
        <v>0</v>
      </c>
      <c r="H64" s="877">
        <f>+SUM(H65:H68)</f>
        <v>0</v>
      </c>
      <c r="I64" s="846">
        <f>+SUM(I65:I68)</f>
        <v>0</v>
      </c>
      <c r="J64" s="721">
        <f>+SUM(J65:J68)</f>
        <v>0</v>
      </c>
      <c r="K64" s="723">
        <f>+SUM(K65:K68)</f>
        <v>0</v>
      </c>
      <c r="L64" s="970" t="e">
        <f>+(J65*L65+J66*L66+J67*L67+J68*L68)/J64</f>
        <v>#DIV/0!</v>
      </c>
      <c r="M64" s="720">
        <f>+MAX(M65:M68)</f>
        <v>0</v>
      </c>
      <c r="N64" s="720">
        <f>+MIN(N65:N68)</f>
        <v>0</v>
      </c>
      <c r="O64" s="681"/>
      <c r="P64" s="681"/>
    </row>
    <row r="65" spans="1:19">
      <c r="A65" s="415" t="s">
        <v>477</v>
      </c>
      <c r="B65" s="724"/>
      <c r="C65" s="847"/>
      <c r="D65" s="724"/>
      <c r="E65" s="872"/>
      <c r="F65" s="953"/>
      <c r="G65" s="725"/>
      <c r="H65" s="878"/>
      <c r="I65" s="847"/>
      <c r="J65" s="703">
        <f t="shared" ref="J65:J68" si="14">+B65+D65-G65</f>
        <v>0</v>
      </c>
      <c r="K65" s="704">
        <f t="shared" ref="K65:K68" si="15">+C65+E65-I65</f>
        <v>0</v>
      </c>
      <c r="L65" s="931"/>
      <c r="M65" s="932"/>
      <c r="N65" s="933"/>
      <c r="O65" s="681"/>
      <c r="P65" s="681"/>
    </row>
    <row r="66" spans="1:19">
      <c r="A66" s="415" t="s">
        <v>478</v>
      </c>
      <c r="B66" s="726"/>
      <c r="C66" s="848"/>
      <c r="D66" s="726"/>
      <c r="E66" s="873"/>
      <c r="F66" s="953"/>
      <c r="G66" s="727"/>
      <c r="H66" s="879"/>
      <c r="I66" s="848"/>
      <c r="J66" s="703">
        <f t="shared" si="14"/>
        <v>0</v>
      </c>
      <c r="K66" s="704">
        <f t="shared" si="15"/>
        <v>0</v>
      </c>
      <c r="L66" s="933"/>
      <c r="M66" s="932"/>
      <c r="N66" s="933"/>
      <c r="O66" s="681"/>
      <c r="P66" s="681"/>
    </row>
    <row r="67" spans="1:19">
      <c r="A67" s="415" t="s">
        <v>479</v>
      </c>
      <c r="B67" s="726"/>
      <c r="C67" s="848"/>
      <c r="D67" s="726"/>
      <c r="E67" s="873"/>
      <c r="F67" s="953"/>
      <c r="G67" s="727"/>
      <c r="H67" s="879"/>
      <c r="I67" s="848"/>
      <c r="J67" s="703">
        <f t="shared" si="14"/>
        <v>0</v>
      </c>
      <c r="K67" s="704">
        <f t="shared" si="15"/>
        <v>0</v>
      </c>
      <c r="L67" s="933"/>
      <c r="M67" s="932"/>
      <c r="N67" s="933"/>
      <c r="O67" s="681"/>
      <c r="P67" s="681"/>
    </row>
    <row r="68" spans="1:19" ht="15.75" thickBot="1">
      <c r="A68" s="417" t="s">
        <v>480</v>
      </c>
      <c r="B68" s="728"/>
      <c r="C68" s="849"/>
      <c r="D68" s="728"/>
      <c r="E68" s="874"/>
      <c r="F68" s="954"/>
      <c r="G68" s="729"/>
      <c r="H68" s="880"/>
      <c r="I68" s="849"/>
      <c r="J68" s="703">
        <f t="shared" si="14"/>
        <v>0</v>
      </c>
      <c r="K68" s="704">
        <f t="shared" si="15"/>
        <v>0</v>
      </c>
      <c r="L68" s="935"/>
      <c r="M68" s="936"/>
      <c r="N68" s="937"/>
      <c r="O68" s="121" t="str">
        <f>IF(SUM(J58+J64)=J69,"","Балансийн дүнтэй зөрүүтэй байна")</f>
        <v/>
      </c>
      <c r="P68" s="681" t="str">
        <f>+IF(SUM(K58,K64)=K69,"","Балансын дүн зөрүүтэй")</f>
        <v/>
      </c>
    </row>
    <row r="69" spans="1:19" ht="15.75" thickBot="1">
      <c r="A69" s="418" t="s">
        <v>468</v>
      </c>
      <c r="B69" s="419">
        <f>+SUM(B29,B8)</f>
        <v>0</v>
      </c>
      <c r="C69" s="850">
        <f>+SUM(C29,C8)</f>
        <v>0</v>
      </c>
      <c r="D69" s="419">
        <f>+SUM(D29,D8)</f>
        <v>0</v>
      </c>
      <c r="E69" s="875">
        <f>+SUM(E29,E8)</f>
        <v>0</v>
      </c>
      <c r="F69" s="938" t="e">
        <f>+(D9*F9+D10*F10+D11*F11+D12*F12+D13*F13+D14*F14+D15*F15+D16*F16+D17*F17+D18*F18+D19*F19+D20*F20+D21*F21+D22*F22+D23*F23+D24*F24+D25*F25+D26*F26+D27*F27+D30*F30+D31*F31+D32*F32+D33*F33+D34*F34+D35*F35+D36*F36+D37*F37+D38*F38+D39*F39+D40*F40+D41*F41+D42*F42+D43*F43+D44*F44+D45*F45+D46*F46+D47*F47+D48*F48)/D69</f>
        <v>#DIV/0!</v>
      </c>
      <c r="G69" s="419">
        <f>+SUM(G29,G8)</f>
        <v>0</v>
      </c>
      <c r="H69" s="881">
        <f>+SUM(H8,H29)</f>
        <v>0</v>
      </c>
      <c r="I69" s="882">
        <f>+SUM(I29,I8)</f>
        <v>0</v>
      </c>
      <c r="J69" s="419">
        <f>+SUM(J29,J8)</f>
        <v>0</v>
      </c>
      <c r="K69" s="420">
        <f>+SUM(K29,K8)</f>
        <v>0</v>
      </c>
      <c r="L69" s="844" t="e">
        <f>+(J9*L9+J10*L10+J11*L11+J12*L12+J13*L13+J14*L14+J15*L15+J16*L16+J17*L17+J18*L18+J19*L19+J20*L20+J21*L21+J22*L22+J23*L23+J24*L24+J25*L25+J26*L26+J27*L27+J30*L30+J31*L31+J32*L32+J33*L33+J34*L34+J35*L35+J36*L36+J37*L37+J38*L38+J39*L39+J40*L40+J41*L41+J42*L42+J43*L43+J44*L44+J45*L45+J46*L46+J47*L47+J48*L48)/J69</f>
        <v>#DIV/0!</v>
      </c>
      <c r="M69" s="730">
        <f>+MAX(M9:M27,M30:M48)</f>
        <v>0</v>
      </c>
      <c r="N69" s="731">
        <f>+MIN(N9:N27,N30:N48)</f>
        <v>0</v>
      </c>
      <c r="O69" s="121" t="str">
        <f>IF(J69=BALANCESHEET!C18,"","Балансийн дүнтэй зөрүүтэй байна")</f>
        <v/>
      </c>
      <c r="P69" s="681"/>
    </row>
    <row r="70" spans="1:19" ht="15.75" thickBot="1">
      <c r="A70" s="1094" t="s">
        <v>782</v>
      </c>
      <c r="B70" s="1095"/>
      <c r="C70" s="1095"/>
      <c r="D70" s="1095"/>
      <c r="E70" s="1095"/>
      <c r="F70" s="1096"/>
      <c r="G70" s="1095"/>
      <c r="H70" s="1095"/>
      <c r="I70" s="1095"/>
      <c r="J70" s="1095"/>
      <c r="K70" s="1095"/>
      <c r="L70" s="1095"/>
      <c r="M70" s="1096"/>
      <c r="N70" s="1097"/>
      <c r="O70" s="681"/>
      <c r="P70" s="681"/>
    </row>
    <row r="71" spans="1:19" s="422" customFormat="1">
      <c r="A71" s="421" t="s">
        <v>475</v>
      </c>
      <c r="B71" s="732"/>
      <c r="C71" s="733"/>
      <c r="D71" s="732"/>
      <c r="E71" s="733"/>
      <c r="F71" s="894"/>
      <c r="G71" s="732"/>
      <c r="H71" s="734"/>
      <c r="I71" s="733"/>
      <c r="J71" s="703">
        <f t="shared" ref="J71:J72" si="16">+B71+D71-G71</f>
        <v>0</v>
      </c>
      <c r="K71" s="704">
        <f t="shared" ref="K71:K72" si="17">+C71+E71-I71</f>
        <v>0</v>
      </c>
      <c r="L71" s="896"/>
      <c r="M71" s="897"/>
      <c r="N71" s="898"/>
      <c r="O71" s="694"/>
      <c r="P71" s="694"/>
    </row>
    <row r="72" spans="1:19" ht="15.75" thickBot="1">
      <c r="A72" s="417" t="s">
        <v>481</v>
      </c>
      <c r="B72" s="735"/>
      <c r="C72" s="736"/>
      <c r="D72" s="735"/>
      <c r="E72" s="736"/>
      <c r="F72" s="895"/>
      <c r="G72" s="735"/>
      <c r="H72" s="737"/>
      <c r="I72" s="736"/>
      <c r="J72" s="703">
        <f t="shared" si="16"/>
        <v>0</v>
      </c>
      <c r="K72" s="704">
        <f t="shared" si="17"/>
        <v>0</v>
      </c>
      <c r="L72" s="899"/>
      <c r="M72" s="900"/>
      <c r="N72" s="901"/>
      <c r="O72" s="681"/>
      <c r="P72" s="681"/>
    </row>
    <row r="73" spans="1:19" ht="15.75" thickBot="1">
      <c r="A73" s="423" t="s">
        <v>468</v>
      </c>
      <c r="B73" s="738">
        <f>+SUM(B71:B72)</f>
        <v>0</v>
      </c>
      <c r="C73" s="739">
        <f>+SUM(C71+C72)</f>
        <v>0</v>
      </c>
      <c r="D73" s="738">
        <f>+SUM(D71:D72)</f>
        <v>0</v>
      </c>
      <c r="E73" s="739">
        <f>+SUM(E71+E72)</f>
        <v>0</v>
      </c>
      <c r="F73" s="968" t="e">
        <f>+(D71*F71+D72*F72)/D73</f>
        <v>#DIV/0!</v>
      </c>
      <c r="G73" s="738">
        <f>+SUM(G71:G72)</f>
        <v>0</v>
      </c>
      <c r="H73" s="740">
        <f>+H71+H72</f>
        <v>0</v>
      </c>
      <c r="I73" s="739">
        <f>+SUM(I71+I72)</f>
        <v>0</v>
      </c>
      <c r="J73" s="738">
        <f>+SUM(J71:J72)</f>
        <v>0</v>
      </c>
      <c r="K73" s="739">
        <f>+SUM(K71+K72)</f>
        <v>0</v>
      </c>
      <c r="L73" s="972" t="e">
        <f>+(J71*L71+J72*L72)/J73</f>
        <v>#DIV/0!</v>
      </c>
      <c r="M73" s="741">
        <f>+MAX(M71:M72)</f>
        <v>0</v>
      </c>
      <c r="N73" s="742">
        <f>+MIN(N71:N72)</f>
        <v>0</v>
      </c>
      <c r="O73" s="681"/>
      <c r="P73" s="681"/>
    </row>
    <row r="74" spans="1:19">
      <c r="A74" s="424"/>
      <c r="B74" s="425"/>
      <c r="C74" s="426"/>
      <c r="D74" s="425"/>
      <c r="E74" s="426"/>
      <c r="F74" s="427"/>
      <c r="G74" s="425"/>
      <c r="H74" s="425"/>
      <c r="I74" s="426"/>
      <c r="J74" s="425"/>
      <c r="K74" s="426"/>
      <c r="L74" s="428"/>
      <c r="M74" s="428"/>
      <c r="N74" s="428"/>
    </row>
    <row r="75" spans="1:19">
      <c r="A75" s="1098" t="s">
        <v>637</v>
      </c>
      <c r="B75" s="1098"/>
      <c r="C75" s="1098"/>
      <c r="D75" s="1098"/>
      <c r="E75" s="1098"/>
      <c r="F75" s="1098"/>
      <c r="G75" s="1098"/>
      <c r="H75" s="1098"/>
      <c r="I75" s="1098"/>
      <c r="J75" s="1098"/>
      <c r="K75" s="1098"/>
      <c r="L75" s="1098"/>
      <c r="M75" s="1098"/>
      <c r="N75" s="1098"/>
    </row>
    <row r="76" spans="1:19" ht="27.75" customHeight="1">
      <c r="A76" s="1091" t="s">
        <v>639</v>
      </c>
      <c r="B76" s="1091"/>
      <c r="C76" s="1091"/>
      <c r="D76" s="1091"/>
      <c r="E76" s="1091"/>
      <c r="F76" s="1091"/>
      <c r="G76" s="1091"/>
      <c r="H76" s="1091"/>
      <c r="I76" s="1091"/>
      <c r="J76" s="1091"/>
      <c r="K76" s="1091"/>
      <c r="L76" s="1091"/>
      <c r="M76" s="1091"/>
      <c r="N76" s="1091"/>
      <c r="O76" s="13"/>
      <c r="P76" s="13"/>
      <c r="Q76" s="13"/>
      <c r="R76" s="13"/>
      <c r="S76" s="13"/>
    </row>
    <row r="77" spans="1:19" ht="27" customHeight="1">
      <c r="A77" s="1092" t="s">
        <v>638</v>
      </c>
      <c r="B77" s="1092"/>
      <c r="C77" s="1092"/>
      <c r="D77" s="1092"/>
      <c r="E77" s="1092"/>
      <c r="F77" s="1092"/>
      <c r="G77" s="1092"/>
      <c r="H77" s="1092"/>
      <c r="I77" s="1092"/>
      <c r="J77" s="1092"/>
      <c r="K77" s="1092"/>
      <c r="L77" s="1092"/>
      <c r="M77" s="1092"/>
      <c r="N77" s="1092"/>
      <c r="O77" s="14"/>
      <c r="P77" s="14"/>
      <c r="Q77" s="14"/>
      <c r="R77" s="14"/>
      <c r="S77" s="14"/>
    </row>
    <row r="78" spans="1:19">
      <c r="A78" s="1093" t="s">
        <v>640</v>
      </c>
      <c r="B78" s="1093"/>
      <c r="C78" s="1093"/>
      <c r="D78" s="1093"/>
      <c r="E78" s="1093"/>
      <c r="F78" s="1093"/>
      <c r="G78" s="1093"/>
      <c r="H78" s="1093"/>
      <c r="I78" s="1093"/>
      <c r="J78" s="1093"/>
      <c r="K78" s="1093"/>
      <c r="L78" s="1093"/>
      <c r="M78" s="1093"/>
      <c r="N78" s="1093"/>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7"/>
    </row>
    <row r="82" spans="1:14">
      <c r="A82" s="1065" t="s">
        <v>232</v>
      </c>
      <c r="B82" s="1065"/>
      <c r="C82" s="1065"/>
      <c r="D82" s="1065"/>
      <c r="E82" s="1065"/>
      <c r="F82" s="1065"/>
      <c r="G82" s="1065"/>
      <c r="H82" s="1065"/>
      <c r="I82" s="1065"/>
      <c r="J82" s="1065"/>
      <c r="K82" s="1065"/>
      <c r="L82" s="1065"/>
      <c r="M82" s="1065"/>
      <c r="N82" s="1065"/>
    </row>
    <row r="83" spans="1:14">
      <c r="A83" s="1066" t="s">
        <v>233</v>
      </c>
      <c r="B83" s="1066"/>
      <c r="C83" s="1066"/>
      <c r="D83" s="1066"/>
      <c r="E83" s="1066"/>
      <c r="F83" s="1066"/>
      <c r="G83" s="1066"/>
      <c r="H83" s="1066"/>
      <c r="I83" s="1066"/>
      <c r="J83" s="1066"/>
      <c r="K83" s="1066"/>
      <c r="L83" s="1066"/>
      <c r="M83" s="1066"/>
      <c r="N83" s="1066"/>
    </row>
    <row r="84" spans="1:14">
      <c r="B84" s="240"/>
      <c r="F84" s="137"/>
    </row>
    <row r="85" spans="1:14">
      <c r="B85" s="240"/>
      <c r="D85" s="235" t="s">
        <v>234</v>
      </c>
      <c r="F85" s="137" t="str">
        <f>+STATISTICS!C94</f>
        <v>/Нэр/</v>
      </c>
    </row>
    <row r="86" spans="1:14">
      <c r="B86" s="240"/>
      <c r="D86" s="236"/>
      <c r="F86" s="137"/>
    </row>
    <row r="87" spans="1:14">
      <c r="D87" s="235" t="s">
        <v>236</v>
      </c>
      <c r="F87" s="137" t="str">
        <f>+STATISTICS!C96</f>
        <v>/Нэр/</v>
      </c>
    </row>
  </sheetData>
  <sheetProtection algorithmName="SHA-512" hashValue="f3AzysZBUFexg+VyzbbjFmqvogMkhg8JszzxcbZBZBpj8/dKh3ONvRfQQrhinLcIV35BeI09wBlYjCxcVPIxJQ==" saltValue="pngQ/zYo+mq6VST0r5upuQ==" spinCount="100000" sheet="1" objects="1" scenarios="1" formatCells="0" formatColumns="0" formatRows="0" insertColumns="0" insertRows="0" insertHyperlinks="0" deleteColumns="0" deleteRows="0" sort="0" autoFilter="0" pivotTables="0"/>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1" zoomScale="70" zoomScaleNormal="70" workbookViewId="0">
      <selection activeCell="O56" sqref="O56"/>
    </sheetView>
  </sheetViews>
  <sheetFormatPr defaultRowHeight="15"/>
  <cols>
    <col min="1" max="1" width="7.140625" style="81" customWidth="1"/>
    <col min="2" max="2" width="28.85546875" style="81" customWidth="1"/>
    <col min="3" max="3" width="26.42578125" style="81" customWidth="1"/>
    <col min="4" max="4" width="9.85546875" style="81" customWidth="1"/>
    <col min="5" max="5" width="28.140625" style="81" customWidth="1"/>
    <col min="6" max="6" width="9.140625" style="81" customWidth="1"/>
    <col min="7" max="7" width="12.42578125" style="81" customWidth="1"/>
    <col min="8" max="8" width="22.42578125" style="81" customWidth="1"/>
    <col min="9" max="9" width="12.42578125" style="81" customWidth="1"/>
    <col min="10" max="10" width="27.28515625" style="81" customWidth="1"/>
    <col min="11" max="11" width="8.42578125" style="81" customWidth="1"/>
    <col min="12" max="12" width="30" style="81" customWidth="1"/>
    <col min="13" max="13" width="19" style="81" customWidth="1"/>
    <col min="14" max="15" width="10.42578125" style="81" customWidth="1"/>
    <col min="16" max="18" width="9.140625" style="81"/>
    <col min="19" max="16384" width="9.140625" style="63"/>
  </cols>
  <sheetData>
    <row r="1" spans="1:15" ht="30.75" customHeight="1">
      <c r="I1" s="453"/>
      <c r="J1" s="1067" t="s">
        <v>821</v>
      </c>
      <c r="K1" s="1021"/>
      <c r="L1" s="1021"/>
      <c r="M1" s="1021"/>
      <c r="N1" s="1021"/>
      <c r="O1" s="1021"/>
    </row>
    <row r="2" spans="1:15">
      <c r="A2" s="984" t="s">
        <v>483</v>
      </c>
      <c r="B2" s="984"/>
      <c r="C2" s="984"/>
      <c r="D2" s="984"/>
      <c r="E2" s="984"/>
      <c r="F2" s="984"/>
      <c r="G2" s="984"/>
      <c r="H2" s="984"/>
      <c r="I2" s="984"/>
      <c r="J2" s="984"/>
      <c r="K2" s="984"/>
      <c r="L2" s="984"/>
      <c r="M2" s="984"/>
      <c r="N2" s="984"/>
      <c r="O2" s="984"/>
    </row>
    <row r="3" spans="1:15">
      <c r="A3" s="1070" t="str">
        <f>+STATISTICS!A4</f>
        <v>ХАДГАЛАМЖ, ЗЭЭЛИЙН ХОРШООНЫ НЭР</v>
      </c>
      <c r="B3" s="1070"/>
      <c r="C3" s="1070"/>
      <c r="D3" s="1070"/>
      <c r="E3" s="1070"/>
      <c r="F3" s="1070"/>
      <c r="G3" s="1070"/>
      <c r="H3" s="1070"/>
      <c r="I3" s="1070"/>
      <c r="J3" s="1070"/>
      <c r="K3" s="1070"/>
      <c r="L3" s="1070"/>
      <c r="M3" s="1070"/>
      <c r="N3" s="1070"/>
      <c r="O3" s="1070"/>
    </row>
    <row r="4" spans="1:15">
      <c r="A4" s="984" t="s">
        <v>4</v>
      </c>
      <c r="B4" s="984"/>
      <c r="C4" s="984"/>
      <c r="D4" s="984"/>
      <c r="E4" s="984"/>
      <c r="F4" s="984"/>
      <c r="G4" s="984"/>
      <c r="H4" s="984"/>
      <c r="I4" s="984"/>
      <c r="J4" s="984"/>
      <c r="K4" s="984"/>
      <c r="L4" s="984"/>
      <c r="M4" s="984"/>
      <c r="N4" s="984"/>
      <c r="O4" s="984"/>
    </row>
    <row r="5" spans="1:15" ht="15.75" thickBot="1">
      <c r="A5" s="1104" t="str">
        <f>+STATISTICS!A7</f>
        <v>Огноо</v>
      </c>
      <c r="B5" s="1104"/>
      <c r="C5" s="137"/>
      <c r="D5" s="137"/>
      <c r="E5" s="137"/>
      <c r="F5" s="137"/>
      <c r="G5" s="137"/>
      <c r="H5" s="137"/>
      <c r="I5" s="137"/>
      <c r="J5" s="137"/>
      <c r="K5" s="137"/>
      <c r="L5" s="137"/>
      <c r="M5" s="137"/>
      <c r="N5" s="137"/>
      <c r="O5" s="454" t="s">
        <v>5</v>
      </c>
    </row>
    <row r="6" spans="1:15" ht="39" thickBot="1">
      <c r="A6" s="455" t="s">
        <v>237</v>
      </c>
      <c r="B6" s="456" t="s">
        <v>484</v>
      </c>
      <c r="C6" s="457" t="s">
        <v>485</v>
      </c>
      <c r="D6" s="458" t="s">
        <v>486</v>
      </c>
      <c r="E6" s="459" t="s">
        <v>487</v>
      </c>
      <c r="F6" s="460" t="s">
        <v>486</v>
      </c>
      <c r="G6" s="461" t="s">
        <v>488</v>
      </c>
      <c r="H6" s="461" t="s">
        <v>572</v>
      </c>
      <c r="I6" s="462" t="s">
        <v>489</v>
      </c>
      <c r="J6" s="463" t="s">
        <v>490</v>
      </c>
      <c r="K6" s="460" t="s">
        <v>486</v>
      </c>
      <c r="L6" s="464" t="s">
        <v>491</v>
      </c>
      <c r="M6" s="460" t="s">
        <v>486</v>
      </c>
      <c r="N6" s="461" t="s">
        <v>492</v>
      </c>
      <c r="O6" s="462" t="s">
        <v>493</v>
      </c>
    </row>
    <row r="7" spans="1:15" ht="15.75" thickBot="1">
      <c r="A7" s="1099" t="s">
        <v>499</v>
      </c>
      <c r="B7" s="1100"/>
      <c r="C7" s="1100"/>
      <c r="D7" s="1100"/>
      <c r="E7" s="1100"/>
      <c r="F7" s="1100"/>
      <c r="G7" s="1100"/>
      <c r="H7" s="1100"/>
      <c r="I7" s="1100"/>
      <c r="J7" s="1100"/>
      <c r="K7" s="1100"/>
      <c r="L7" s="1100"/>
      <c r="M7" s="1100"/>
      <c r="N7" s="1100"/>
      <c r="O7" s="1101"/>
    </row>
    <row r="8" spans="1:15">
      <c r="A8" s="465">
        <v>1</v>
      </c>
      <c r="B8" s="743"/>
      <c r="C8" s="430"/>
      <c r="D8" s="431"/>
      <c r="E8" s="430"/>
      <c r="F8" s="432"/>
      <c r="G8" s="941"/>
      <c r="H8" s="433">
        <f>+E8*G8</f>
        <v>0</v>
      </c>
      <c r="I8" s="1105" t="e">
        <f>H18/E18</f>
        <v>#DIV/0!</v>
      </c>
      <c r="J8" s="434"/>
      <c r="K8" s="435"/>
      <c r="L8" s="436">
        <f>+C8+E8-J8</f>
        <v>0</v>
      </c>
      <c r="M8" s="436">
        <f>+D8+F8-K8</f>
        <v>0</v>
      </c>
      <c r="N8" s="943"/>
      <c r="O8" s="944"/>
    </row>
    <row r="9" spans="1:15">
      <c r="A9" s="466">
        <v>2</v>
      </c>
      <c r="B9" s="744"/>
      <c r="C9" s="438"/>
      <c r="D9" s="439"/>
      <c r="E9" s="438"/>
      <c r="F9" s="440"/>
      <c r="G9" s="942"/>
      <c r="H9" s="433">
        <f t="shared" ref="H9:H17" si="0">+E9*G9</f>
        <v>0</v>
      </c>
      <c r="I9" s="1105"/>
      <c r="J9" s="441"/>
      <c r="K9" s="439"/>
      <c r="L9" s="436">
        <f t="shared" ref="L9:L17" si="1">+C9+E9-J9</f>
        <v>0</v>
      </c>
      <c r="M9" s="436">
        <f t="shared" ref="M9:M17" si="2">+D9+F9-K9</f>
        <v>0</v>
      </c>
      <c r="N9" s="442"/>
      <c r="O9" s="945"/>
    </row>
    <row r="10" spans="1:15">
      <c r="A10" s="466">
        <v>3</v>
      </c>
      <c r="B10" s="744"/>
      <c r="C10" s="438"/>
      <c r="D10" s="439"/>
      <c r="E10" s="438"/>
      <c r="F10" s="440"/>
      <c r="G10" s="942"/>
      <c r="H10" s="433">
        <f t="shared" si="0"/>
        <v>0</v>
      </c>
      <c r="I10" s="1105"/>
      <c r="J10" s="441"/>
      <c r="K10" s="439"/>
      <c r="L10" s="436">
        <f t="shared" si="1"/>
        <v>0</v>
      </c>
      <c r="M10" s="436">
        <f t="shared" si="2"/>
        <v>0</v>
      </c>
      <c r="N10" s="442"/>
      <c r="O10" s="945"/>
    </row>
    <row r="11" spans="1:15">
      <c r="A11" s="466">
        <v>4</v>
      </c>
      <c r="B11" s="744"/>
      <c r="C11" s="438"/>
      <c r="D11" s="439"/>
      <c r="E11" s="438"/>
      <c r="F11" s="440"/>
      <c r="G11" s="942"/>
      <c r="H11" s="433">
        <f t="shared" si="0"/>
        <v>0</v>
      </c>
      <c r="I11" s="1105"/>
      <c r="J11" s="441"/>
      <c r="K11" s="439"/>
      <c r="L11" s="436">
        <f t="shared" si="1"/>
        <v>0</v>
      </c>
      <c r="M11" s="436">
        <f t="shared" si="2"/>
        <v>0</v>
      </c>
      <c r="N11" s="442"/>
      <c r="O11" s="945"/>
    </row>
    <row r="12" spans="1:15">
      <c r="A12" s="466">
        <v>5</v>
      </c>
      <c r="B12" s="744"/>
      <c r="C12" s="438"/>
      <c r="D12" s="439"/>
      <c r="E12" s="438"/>
      <c r="F12" s="440"/>
      <c r="G12" s="942"/>
      <c r="H12" s="433">
        <f t="shared" si="0"/>
        <v>0</v>
      </c>
      <c r="I12" s="1105"/>
      <c r="J12" s="441"/>
      <c r="K12" s="439"/>
      <c r="L12" s="436">
        <f t="shared" si="1"/>
        <v>0</v>
      </c>
      <c r="M12" s="436">
        <f t="shared" si="2"/>
        <v>0</v>
      </c>
      <c r="N12" s="442"/>
      <c r="O12" s="945"/>
    </row>
    <row r="13" spans="1:15">
      <c r="A13" s="466">
        <v>6</v>
      </c>
      <c r="B13" s="744"/>
      <c r="C13" s="438"/>
      <c r="D13" s="439"/>
      <c r="E13" s="438"/>
      <c r="F13" s="440"/>
      <c r="G13" s="942"/>
      <c r="H13" s="433">
        <f t="shared" si="0"/>
        <v>0</v>
      </c>
      <c r="I13" s="1105"/>
      <c r="J13" s="441"/>
      <c r="K13" s="439"/>
      <c r="L13" s="436">
        <f t="shared" si="1"/>
        <v>0</v>
      </c>
      <c r="M13" s="436">
        <f t="shared" si="2"/>
        <v>0</v>
      </c>
      <c r="N13" s="442"/>
      <c r="O13" s="945"/>
    </row>
    <row r="14" spans="1:15">
      <c r="A14" s="466">
        <v>7</v>
      </c>
      <c r="B14" s="744"/>
      <c r="C14" s="438"/>
      <c r="D14" s="439"/>
      <c r="E14" s="438"/>
      <c r="F14" s="440"/>
      <c r="G14" s="942"/>
      <c r="H14" s="433">
        <f t="shared" si="0"/>
        <v>0</v>
      </c>
      <c r="I14" s="1105"/>
      <c r="J14" s="441"/>
      <c r="K14" s="439"/>
      <c r="L14" s="436">
        <f t="shared" si="1"/>
        <v>0</v>
      </c>
      <c r="M14" s="436">
        <f t="shared" si="2"/>
        <v>0</v>
      </c>
      <c r="N14" s="442"/>
      <c r="O14" s="945"/>
    </row>
    <row r="15" spans="1:15">
      <c r="A15" s="466">
        <v>8</v>
      </c>
      <c r="B15" s="744"/>
      <c r="C15" s="438"/>
      <c r="D15" s="439"/>
      <c r="E15" s="438"/>
      <c r="F15" s="440"/>
      <c r="G15" s="942"/>
      <c r="H15" s="433">
        <f t="shared" si="0"/>
        <v>0</v>
      </c>
      <c r="I15" s="1105"/>
      <c r="J15" s="441"/>
      <c r="K15" s="439"/>
      <c r="L15" s="436">
        <f t="shared" si="1"/>
        <v>0</v>
      </c>
      <c r="M15" s="436">
        <f t="shared" si="2"/>
        <v>0</v>
      </c>
      <c r="N15" s="442"/>
      <c r="O15" s="945"/>
    </row>
    <row r="16" spans="1:15">
      <c r="A16" s="466">
        <v>9</v>
      </c>
      <c r="B16" s="744"/>
      <c r="C16" s="438"/>
      <c r="D16" s="439"/>
      <c r="E16" s="438"/>
      <c r="F16" s="440"/>
      <c r="G16" s="942"/>
      <c r="H16" s="433">
        <f t="shared" si="0"/>
        <v>0</v>
      </c>
      <c r="I16" s="1105"/>
      <c r="J16" s="441"/>
      <c r="K16" s="439"/>
      <c r="L16" s="436">
        <f t="shared" si="1"/>
        <v>0</v>
      </c>
      <c r="M16" s="436">
        <f t="shared" si="2"/>
        <v>0</v>
      </c>
      <c r="N16" s="442"/>
      <c r="O16" s="945"/>
    </row>
    <row r="17" spans="1:16" ht="15.75" thickBot="1">
      <c r="A17" s="467">
        <v>10</v>
      </c>
      <c r="B17" s="744"/>
      <c r="C17" s="443"/>
      <c r="D17" s="444"/>
      <c r="E17" s="443"/>
      <c r="F17" s="440"/>
      <c r="G17" s="942"/>
      <c r="H17" s="433">
        <f t="shared" si="0"/>
        <v>0</v>
      </c>
      <c r="I17" s="1106"/>
      <c r="J17" s="441"/>
      <c r="K17" s="439"/>
      <c r="L17" s="436">
        <f t="shared" si="1"/>
        <v>0</v>
      </c>
      <c r="M17" s="436">
        <f t="shared" si="2"/>
        <v>0</v>
      </c>
      <c r="N17" s="442"/>
      <c r="O17" s="945"/>
    </row>
    <row r="18" spans="1:16" ht="15.75" thickBot="1">
      <c r="A18" s="1102" t="s">
        <v>494</v>
      </c>
      <c r="B18" s="1103"/>
      <c r="C18" s="468">
        <f>+SUM(C8:C17)</f>
        <v>0</v>
      </c>
      <c r="D18" s="469">
        <f>+SUM(D8:D17)</f>
        <v>0</v>
      </c>
      <c r="E18" s="468">
        <f>+SUM(E8:E17)</f>
        <v>0</v>
      </c>
      <c r="F18" s="470">
        <f>+SUM(F8:F17)</f>
        <v>0</v>
      </c>
      <c r="G18" s="471"/>
      <c r="H18" s="472">
        <f>SUM(H8:H17)</f>
        <v>0</v>
      </c>
      <c r="I18" s="946" t="e">
        <f>+(E8*G8+E9*G9+E10*G10+E11*G11+E12*G12+E13*G13+E14*G14+E15*G15+E16*G16+E17*G17)/E18</f>
        <v>#DIV/0!</v>
      </c>
      <c r="J18" s="468">
        <f>+SUM(J8:J17)</f>
        <v>0</v>
      </c>
      <c r="K18" s="473">
        <f>+SUM(K8:K17)</f>
        <v>0</v>
      </c>
      <c r="L18" s="474">
        <f>+SUM(L8:L17)</f>
        <v>0</v>
      </c>
      <c r="M18" s="475">
        <f>+SUM(M8:M17)</f>
        <v>0</v>
      </c>
      <c r="N18" s="476">
        <f>+MAX(N8:N17)</f>
        <v>0</v>
      </c>
      <c r="O18" s="477">
        <f>+MIN(O8:O17)</f>
        <v>0</v>
      </c>
    </row>
    <row r="19" spans="1:16" ht="15.75" thickBot="1">
      <c r="A19" s="1099" t="s">
        <v>500</v>
      </c>
      <c r="B19" s="1100"/>
      <c r="C19" s="1100"/>
      <c r="D19" s="1100"/>
      <c r="E19" s="1100"/>
      <c r="F19" s="1100"/>
      <c r="G19" s="1100"/>
      <c r="H19" s="1100"/>
      <c r="I19" s="1100"/>
      <c r="J19" s="1100"/>
      <c r="K19" s="1100"/>
      <c r="L19" s="1100"/>
      <c r="M19" s="1100"/>
      <c r="N19" s="1100"/>
      <c r="O19" s="1101"/>
    </row>
    <row r="20" spans="1:16">
      <c r="A20" s="465">
        <v>1</v>
      </c>
      <c r="B20" s="743"/>
      <c r="C20" s="430"/>
      <c r="D20" s="431"/>
      <c r="E20" s="430"/>
      <c r="F20" s="432"/>
      <c r="G20" s="941"/>
      <c r="H20" s="433">
        <f>+E20*G20</f>
        <v>0</v>
      </c>
      <c r="I20" s="1105" t="e">
        <f>H30/E30</f>
        <v>#DIV/0!</v>
      </c>
      <c r="J20" s="434"/>
      <c r="K20" s="435"/>
      <c r="L20" s="436">
        <f t="shared" ref="L20:M29" si="3">+C20+E20-J20</f>
        <v>0</v>
      </c>
      <c r="M20" s="436">
        <f t="shared" si="3"/>
        <v>0</v>
      </c>
      <c r="N20" s="943"/>
      <c r="O20" s="944"/>
    </row>
    <row r="21" spans="1:16">
      <c r="A21" s="466">
        <v>2</v>
      </c>
      <c r="B21" s="744"/>
      <c r="C21" s="438"/>
      <c r="D21" s="439"/>
      <c r="E21" s="438"/>
      <c r="F21" s="440"/>
      <c r="G21" s="942"/>
      <c r="H21" s="433">
        <f t="shared" ref="H21:H29" si="4">+E21*G21</f>
        <v>0</v>
      </c>
      <c r="I21" s="1105"/>
      <c r="J21" s="441"/>
      <c r="K21" s="439"/>
      <c r="L21" s="436">
        <f t="shared" si="3"/>
        <v>0</v>
      </c>
      <c r="M21" s="436">
        <f t="shared" si="3"/>
        <v>0</v>
      </c>
      <c r="N21" s="442"/>
      <c r="O21" s="945"/>
    </row>
    <row r="22" spans="1:16">
      <c r="A22" s="466">
        <v>3</v>
      </c>
      <c r="B22" s="744"/>
      <c r="C22" s="438"/>
      <c r="D22" s="439"/>
      <c r="E22" s="438"/>
      <c r="F22" s="440"/>
      <c r="G22" s="942"/>
      <c r="H22" s="433">
        <f t="shared" si="4"/>
        <v>0</v>
      </c>
      <c r="I22" s="1105"/>
      <c r="J22" s="441"/>
      <c r="K22" s="439"/>
      <c r="L22" s="436">
        <f t="shared" si="3"/>
        <v>0</v>
      </c>
      <c r="M22" s="436">
        <f t="shared" si="3"/>
        <v>0</v>
      </c>
      <c r="N22" s="442"/>
      <c r="O22" s="945"/>
    </row>
    <row r="23" spans="1:16">
      <c r="A23" s="466">
        <v>4</v>
      </c>
      <c r="B23" s="744"/>
      <c r="C23" s="438"/>
      <c r="D23" s="439"/>
      <c r="E23" s="438"/>
      <c r="F23" s="440"/>
      <c r="G23" s="942"/>
      <c r="H23" s="433">
        <f t="shared" si="4"/>
        <v>0</v>
      </c>
      <c r="I23" s="1105"/>
      <c r="J23" s="441"/>
      <c r="K23" s="439"/>
      <c r="L23" s="436">
        <f t="shared" si="3"/>
        <v>0</v>
      </c>
      <c r="M23" s="436">
        <f t="shared" si="3"/>
        <v>0</v>
      </c>
      <c r="N23" s="442"/>
      <c r="O23" s="945"/>
    </row>
    <row r="24" spans="1:16">
      <c r="A24" s="466">
        <v>5</v>
      </c>
      <c r="B24" s="744"/>
      <c r="C24" s="438"/>
      <c r="D24" s="439"/>
      <c r="E24" s="438"/>
      <c r="F24" s="440"/>
      <c r="G24" s="942"/>
      <c r="H24" s="433">
        <f t="shared" si="4"/>
        <v>0</v>
      </c>
      <c r="I24" s="1105"/>
      <c r="J24" s="441"/>
      <c r="K24" s="439"/>
      <c r="L24" s="436">
        <f t="shared" si="3"/>
        <v>0</v>
      </c>
      <c r="M24" s="436">
        <f t="shared" si="3"/>
        <v>0</v>
      </c>
      <c r="N24" s="442"/>
      <c r="O24" s="945"/>
    </row>
    <row r="25" spans="1:16">
      <c r="A25" s="466">
        <v>6</v>
      </c>
      <c r="B25" s="744"/>
      <c r="C25" s="438"/>
      <c r="D25" s="439"/>
      <c r="E25" s="438"/>
      <c r="F25" s="440"/>
      <c r="G25" s="942"/>
      <c r="H25" s="433">
        <f t="shared" si="4"/>
        <v>0</v>
      </c>
      <c r="I25" s="1105"/>
      <c r="J25" s="441"/>
      <c r="K25" s="439"/>
      <c r="L25" s="436">
        <f t="shared" si="3"/>
        <v>0</v>
      </c>
      <c r="M25" s="436">
        <f t="shared" si="3"/>
        <v>0</v>
      </c>
      <c r="N25" s="442"/>
      <c r="O25" s="945"/>
    </row>
    <row r="26" spans="1:16">
      <c r="A26" s="466">
        <v>7</v>
      </c>
      <c r="B26" s="744"/>
      <c r="C26" s="438"/>
      <c r="D26" s="439"/>
      <c r="E26" s="438"/>
      <c r="F26" s="440"/>
      <c r="G26" s="942"/>
      <c r="H26" s="433">
        <f t="shared" si="4"/>
        <v>0</v>
      </c>
      <c r="I26" s="1105"/>
      <c r="J26" s="441"/>
      <c r="K26" s="439"/>
      <c r="L26" s="436">
        <f t="shared" si="3"/>
        <v>0</v>
      </c>
      <c r="M26" s="436">
        <f t="shared" si="3"/>
        <v>0</v>
      </c>
      <c r="N26" s="442"/>
      <c r="O26" s="945"/>
    </row>
    <row r="27" spans="1:16">
      <c r="A27" s="466">
        <v>8</v>
      </c>
      <c r="B27" s="744"/>
      <c r="C27" s="438"/>
      <c r="D27" s="439"/>
      <c r="E27" s="438"/>
      <c r="F27" s="440"/>
      <c r="G27" s="942"/>
      <c r="H27" s="433">
        <f t="shared" si="4"/>
        <v>0</v>
      </c>
      <c r="I27" s="1105"/>
      <c r="J27" s="441"/>
      <c r="K27" s="439"/>
      <c r="L27" s="436">
        <f t="shared" si="3"/>
        <v>0</v>
      </c>
      <c r="M27" s="436">
        <f t="shared" si="3"/>
        <v>0</v>
      </c>
      <c r="N27" s="442"/>
      <c r="O27" s="945"/>
    </row>
    <row r="28" spans="1:16">
      <c r="A28" s="466">
        <v>9</v>
      </c>
      <c r="B28" s="744"/>
      <c r="C28" s="438"/>
      <c r="D28" s="439"/>
      <c r="E28" s="438"/>
      <c r="F28" s="440"/>
      <c r="G28" s="942"/>
      <c r="H28" s="433">
        <f t="shared" si="4"/>
        <v>0</v>
      </c>
      <c r="I28" s="1105"/>
      <c r="J28" s="441"/>
      <c r="K28" s="439"/>
      <c r="L28" s="436">
        <f t="shared" si="3"/>
        <v>0</v>
      </c>
      <c r="M28" s="436">
        <f t="shared" si="3"/>
        <v>0</v>
      </c>
      <c r="N28" s="442"/>
      <c r="O28" s="945"/>
    </row>
    <row r="29" spans="1:16" ht="15.75" thickBot="1">
      <c r="A29" s="467">
        <v>10</v>
      </c>
      <c r="B29" s="744"/>
      <c r="C29" s="443"/>
      <c r="D29" s="444"/>
      <c r="E29" s="443"/>
      <c r="F29" s="440"/>
      <c r="G29" s="942"/>
      <c r="H29" s="433">
        <f t="shared" si="4"/>
        <v>0</v>
      </c>
      <c r="I29" s="1106"/>
      <c r="J29" s="441"/>
      <c r="K29" s="439"/>
      <c r="L29" s="436">
        <f t="shared" si="3"/>
        <v>0</v>
      </c>
      <c r="M29" s="436">
        <f t="shared" si="3"/>
        <v>0</v>
      </c>
      <c r="N29" s="442"/>
      <c r="O29" s="945"/>
    </row>
    <row r="30" spans="1:16" ht="15.75" thickBot="1">
      <c r="A30" s="1102" t="s">
        <v>494</v>
      </c>
      <c r="B30" s="1103"/>
      <c r="C30" s="478">
        <f>+SUM(C20:C29)</f>
        <v>0</v>
      </c>
      <c r="D30" s="479">
        <f>+SUM(D20:D29)</f>
        <v>0</v>
      </c>
      <c r="E30" s="478">
        <f>+SUM(E20:E29)</f>
        <v>0</v>
      </c>
      <c r="F30" s="480">
        <f>+SUM(F20:F29)</f>
        <v>0</v>
      </c>
      <c r="G30" s="481"/>
      <c r="H30" s="482">
        <f>SUM(H20:H29)</f>
        <v>0</v>
      </c>
      <c r="I30" s="947" t="e">
        <f>+(E20*G20+E21*G21+E22*G22+E23*G23+E24*G24+E25*G25+E26*G26+E27*G27+E28*G28+E29*G29)/E30</f>
        <v>#DIV/0!</v>
      </c>
      <c r="J30" s="478">
        <f>+SUM(J20:J29)</f>
        <v>0</v>
      </c>
      <c r="K30" s="483">
        <f>+SUM(K20:K29)</f>
        <v>0</v>
      </c>
      <c r="L30" s="484">
        <f>+SUM(L20:L29)</f>
        <v>0</v>
      </c>
      <c r="M30" s="485">
        <f>+SUM(M20:M29)</f>
        <v>0</v>
      </c>
      <c r="N30" s="486">
        <f>+MAX(N20:N29)</f>
        <v>0</v>
      </c>
      <c r="O30" s="487">
        <f>+MIN(O20:O29)</f>
        <v>0</v>
      </c>
    </row>
    <row r="31" spans="1:16" ht="15.75" thickBot="1">
      <c r="A31" s="1107" t="s">
        <v>468</v>
      </c>
      <c r="B31" s="1108"/>
      <c r="C31" s="474">
        <f>+C18+C30</f>
        <v>0</v>
      </c>
      <c r="D31" s="473">
        <f>+D18+D30</f>
        <v>0</v>
      </c>
      <c r="E31" s="468">
        <f>+E18+E30</f>
        <v>0</v>
      </c>
      <c r="F31" s="475">
        <f>+F18+F30</f>
        <v>0</v>
      </c>
      <c r="G31" s="471"/>
      <c r="H31" s="472">
        <f>+H18+H30</f>
        <v>0</v>
      </c>
      <c r="I31" s="488" t="e">
        <f>+(E8*G8+E9*G9+E10*G10+E11*G11+E12*G12+E13*G13+E14*G14+E15*G15+E16*G16+E17*G17+E20*G20+E21*G21+E22*G22+E23*G23+E24*G24+E25*G25+E26*G26+E27*G27+E28*G28+E29*G29)/E31</f>
        <v>#DIV/0!</v>
      </c>
      <c r="J31" s="468">
        <f>+J18+J30</f>
        <v>0</v>
      </c>
      <c r="K31" s="473">
        <f>+K18+K30</f>
        <v>0</v>
      </c>
      <c r="L31" s="474">
        <f>+L18+L30</f>
        <v>0</v>
      </c>
      <c r="M31" s="475">
        <f>+M18+M30</f>
        <v>0</v>
      </c>
      <c r="N31" s="489">
        <f>+MAX(N8:N17,N20:N29)</f>
        <v>0</v>
      </c>
      <c r="O31" s="490">
        <f>+MIN(O8:O17,O20:O29)</f>
        <v>0</v>
      </c>
      <c r="P31" s="491" t="str">
        <f>+IF(L31=BALANCESHEET!G12,"","Балансын дүнгээс зөрүүтэй байна")</f>
        <v/>
      </c>
    </row>
    <row r="32" spans="1:16" ht="39" thickBot="1">
      <c r="A32" s="492" t="s">
        <v>237</v>
      </c>
      <c r="B32" s="493" t="s">
        <v>495</v>
      </c>
      <c r="C32" s="494" t="s">
        <v>496</v>
      </c>
      <c r="D32" s="495" t="s">
        <v>486</v>
      </c>
      <c r="E32" s="496" t="s">
        <v>497</v>
      </c>
      <c r="F32" s="497" t="s">
        <v>486</v>
      </c>
      <c r="G32" s="498" t="s">
        <v>488</v>
      </c>
      <c r="H32" s="461" t="s">
        <v>572</v>
      </c>
      <c r="I32" s="499" t="s">
        <v>489</v>
      </c>
      <c r="J32" s="500" t="s">
        <v>490</v>
      </c>
      <c r="K32" s="497" t="s">
        <v>486</v>
      </c>
      <c r="L32" s="501" t="s">
        <v>498</v>
      </c>
      <c r="M32" s="497" t="s">
        <v>486</v>
      </c>
      <c r="N32" s="498" t="s">
        <v>492</v>
      </c>
      <c r="O32" s="499" t="s">
        <v>493</v>
      </c>
    </row>
    <row r="33" spans="1:15" ht="15.75" thickBot="1">
      <c r="A33" s="1099" t="s">
        <v>501</v>
      </c>
      <c r="B33" s="1100"/>
      <c r="C33" s="1100"/>
      <c r="D33" s="1100"/>
      <c r="E33" s="1100"/>
      <c r="F33" s="1100"/>
      <c r="G33" s="1100"/>
      <c r="H33" s="1100"/>
      <c r="I33" s="1100"/>
      <c r="J33" s="1100"/>
      <c r="K33" s="1100"/>
      <c r="L33" s="1100"/>
      <c r="M33" s="1100"/>
      <c r="N33" s="1100"/>
      <c r="O33" s="1101"/>
    </row>
    <row r="34" spans="1:15">
      <c r="A34" s="502">
        <v>1</v>
      </c>
      <c r="B34" s="745"/>
      <c r="C34" s="445"/>
      <c r="D34" s="446"/>
      <c r="E34" s="445"/>
      <c r="F34" s="437"/>
      <c r="G34" s="941"/>
      <c r="H34" s="433">
        <f>+E34*G34</f>
        <v>0</v>
      </c>
      <c r="I34" s="1105" t="e">
        <f>H44/E44</f>
        <v>#DIV/0!</v>
      </c>
      <c r="J34" s="434"/>
      <c r="K34" s="435"/>
      <c r="L34" s="436">
        <f t="shared" ref="L34:L43" si="5">+C34+E34-J34</f>
        <v>0</v>
      </c>
      <c r="M34" s="436">
        <f t="shared" ref="M34:M43" si="6">+D34+F34-K34</f>
        <v>0</v>
      </c>
      <c r="N34" s="943"/>
      <c r="O34" s="944"/>
    </row>
    <row r="35" spans="1:15">
      <c r="A35" s="503">
        <v>2</v>
      </c>
      <c r="B35" s="746"/>
      <c r="C35" s="441"/>
      <c r="D35" s="447"/>
      <c r="E35" s="441"/>
      <c r="F35" s="440"/>
      <c r="G35" s="942"/>
      <c r="H35" s="433">
        <f t="shared" ref="H35:H43" si="7">+E35*G35</f>
        <v>0</v>
      </c>
      <c r="I35" s="1105"/>
      <c r="J35" s="441"/>
      <c r="K35" s="439"/>
      <c r="L35" s="436">
        <f t="shared" si="5"/>
        <v>0</v>
      </c>
      <c r="M35" s="436">
        <f t="shared" si="6"/>
        <v>0</v>
      </c>
      <c r="N35" s="442"/>
      <c r="O35" s="945"/>
    </row>
    <row r="36" spans="1:15">
      <c r="A36" s="503">
        <v>3</v>
      </c>
      <c r="B36" s="746"/>
      <c r="C36" s="441"/>
      <c r="D36" s="447"/>
      <c r="E36" s="441"/>
      <c r="F36" s="440"/>
      <c r="G36" s="942"/>
      <c r="H36" s="433">
        <f t="shared" si="7"/>
        <v>0</v>
      </c>
      <c r="I36" s="1105"/>
      <c r="J36" s="441"/>
      <c r="K36" s="439"/>
      <c r="L36" s="436">
        <f t="shared" si="5"/>
        <v>0</v>
      </c>
      <c r="M36" s="436">
        <f t="shared" si="6"/>
        <v>0</v>
      </c>
      <c r="N36" s="442"/>
      <c r="O36" s="945"/>
    </row>
    <row r="37" spans="1:15">
      <c r="A37" s="503">
        <v>4</v>
      </c>
      <c r="B37" s="746"/>
      <c r="C37" s="441"/>
      <c r="D37" s="447"/>
      <c r="E37" s="441"/>
      <c r="F37" s="440"/>
      <c r="G37" s="942"/>
      <c r="H37" s="433">
        <f t="shared" si="7"/>
        <v>0</v>
      </c>
      <c r="I37" s="1105"/>
      <c r="J37" s="441"/>
      <c r="K37" s="439"/>
      <c r="L37" s="436">
        <f t="shared" si="5"/>
        <v>0</v>
      </c>
      <c r="M37" s="436">
        <f t="shared" si="6"/>
        <v>0</v>
      </c>
      <c r="N37" s="442"/>
      <c r="O37" s="945"/>
    </row>
    <row r="38" spans="1:15">
      <c r="A38" s="503">
        <v>5</v>
      </c>
      <c r="B38" s="746"/>
      <c r="C38" s="441"/>
      <c r="D38" s="447"/>
      <c r="E38" s="441"/>
      <c r="F38" s="440"/>
      <c r="G38" s="942"/>
      <c r="H38" s="433">
        <f t="shared" si="7"/>
        <v>0</v>
      </c>
      <c r="I38" s="1105"/>
      <c r="J38" s="441"/>
      <c r="K38" s="439"/>
      <c r="L38" s="436">
        <f t="shared" si="5"/>
        <v>0</v>
      </c>
      <c r="M38" s="436">
        <f t="shared" si="6"/>
        <v>0</v>
      </c>
      <c r="N38" s="442"/>
      <c r="O38" s="945"/>
    </row>
    <row r="39" spans="1:15">
      <c r="A39" s="503">
        <v>6</v>
      </c>
      <c r="B39" s="746"/>
      <c r="C39" s="441"/>
      <c r="D39" s="447"/>
      <c r="E39" s="441"/>
      <c r="F39" s="440"/>
      <c r="G39" s="942"/>
      <c r="H39" s="433">
        <f t="shared" si="7"/>
        <v>0</v>
      </c>
      <c r="I39" s="1105"/>
      <c r="J39" s="441"/>
      <c r="K39" s="439"/>
      <c r="L39" s="436">
        <f t="shared" si="5"/>
        <v>0</v>
      </c>
      <c r="M39" s="436">
        <f t="shared" si="6"/>
        <v>0</v>
      </c>
      <c r="N39" s="442"/>
      <c r="O39" s="945"/>
    </row>
    <row r="40" spans="1:15">
      <c r="A40" s="503">
        <v>7</v>
      </c>
      <c r="B40" s="746"/>
      <c r="C40" s="441"/>
      <c r="D40" s="447"/>
      <c r="E40" s="441"/>
      <c r="F40" s="440"/>
      <c r="G40" s="942"/>
      <c r="H40" s="433">
        <f>+E40*G40</f>
        <v>0</v>
      </c>
      <c r="I40" s="1105"/>
      <c r="J40" s="441"/>
      <c r="K40" s="439"/>
      <c r="L40" s="436">
        <f t="shared" si="5"/>
        <v>0</v>
      </c>
      <c r="M40" s="436">
        <f t="shared" si="6"/>
        <v>0</v>
      </c>
      <c r="N40" s="442"/>
      <c r="O40" s="945"/>
    </row>
    <row r="41" spans="1:15">
      <c r="A41" s="503">
        <v>8</v>
      </c>
      <c r="B41" s="746"/>
      <c r="C41" s="441"/>
      <c r="D41" s="447"/>
      <c r="E41" s="441"/>
      <c r="F41" s="440"/>
      <c r="G41" s="942"/>
      <c r="H41" s="433">
        <f t="shared" si="7"/>
        <v>0</v>
      </c>
      <c r="I41" s="1105"/>
      <c r="J41" s="441"/>
      <c r="K41" s="439"/>
      <c r="L41" s="436">
        <f t="shared" si="5"/>
        <v>0</v>
      </c>
      <c r="M41" s="436">
        <f t="shared" si="6"/>
        <v>0</v>
      </c>
      <c r="N41" s="442"/>
      <c r="O41" s="945"/>
    </row>
    <row r="42" spans="1:15">
      <c r="A42" s="503">
        <v>9</v>
      </c>
      <c r="B42" s="746"/>
      <c r="C42" s="441"/>
      <c r="D42" s="447"/>
      <c r="E42" s="441"/>
      <c r="F42" s="440"/>
      <c r="G42" s="942"/>
      <c r="H42" s="433">
        <f t="shared" si="7"/>
        <v>0</v>
      </c>
      <c r="I42" s="1105"/>
      <c r="J42" s="441"/>
      <c r="K42" s="439"/>
      <c r="L42" s="436">
        <f t="shared" si="5"/>
        <v>0</v>
      </c>
      <c r="M42" s="436">
        <f t="shared" si="6"/>
        <v>0</v>
      </c>
      <c r="N42" s="442"/>
      <c r="O42" s="945"/>
    </row>
    <row r="43" spans="1:15" ht="15.75" thickBot="1">
      <c r="A43" s="504">
        <v>10</v>
      </c>
      <c r="B43" s="746"/>
      <c r="C43" s="441"/>
      <c r="D43" s="447"/>
      <c r="E43" s="448"/>
      <c r="F43" s="440"/>
      <c r="G43" s="942"/>
      <c r="H43" s="433">
        <f t="shared" si="7"/>
        <v>0</v>
      </c>
      <c r="I43" s="1106"/>
      <c r="J43" s="441"/>
      <c r="K43" s="439"/>
      <c r="L43" s="436">
        <f t="shared" si="5"/>
        <v>0</v>
      </c>
      <c r="M43" s="436">
        <f t="shared" si="6"/>
        <v>0</v>
      </c>
      <c r="N43" s="442"/>
      <c r="O43" s="945"/>
    </row>
    <row r="44" spans="1:15" ht="15.75" thickBot="1">
      <c r="A44" s="1102" t="s">
        <v>494</v>
      </c>
      <c r="B44" s="1103"/>
      <c r="C44" s="468">
        <f>+SUM(C34:C43)</f>
        <v>0</v>
      </c>
      <c r="D44" s="469">
        <f>+SUM(D34:D43)</f>
        <v>0</v>
      </c>
      <c r="E44" s="468">
        <f>+SUM(E34:E43)</f>
        <v>0</v>
      </c>
      <c r="F44" s="470">
        <f>+SUM(F34:F43)</f>
        <v>0</v>
      </c>
      <c r="G44" s="471"/>
      <c r="H44" s="472">
        <f>SUM(H34:H43)</f>
        <v>0</v>
      </c>
      <c r="I44" s="948" t="e">
        <f>+(E34*G34+E35*G35+E36*G36+E37*G37+E38*G38+E39*G39+E40*G40+E41*G41+E42*G42+E43*G43)/E44</f>
        <v>#DIV/0!</v>
      </c>
      <c r="J44" s="468">
        <f>+SUM(J34:J43)</f>
        <v>0</v>
      </c>
      <c r="K44" s="473">
        <f>+SUM(K34:K43)</f>
        <v>0</v>
      </c>
      <c r="L44" s="474">
        <f>+SUM(L34:L43)</f>
        <v>0</v>
      </c>
      <c r="M44" s="475">
        <f>+SUM(M34:M43)</f>
        <v>0</v>
      </c>
      <c r="N44" s="489">
        <f>+MAX(N34:N43)</f>
        <v>0</v>
      </c>
      <c r="O44" s="490">
        <f>+MIN(O34:O43)</f>
        <v>0</v>
      </c>
    </row>
    <row r="45" spans="1:15" ht="15.75" thickBot="1">
      <c r="A45" s="1099" t="s">
        <v>502</v>
      </c>
      <c r="B45" s="1100"/>
      <c r="C45" s="1100"/>
      <c r="D45" s="1100"/>
      <c r="E45" s="1100"/>
      <c r="F45" s="1100"/>
      <c r="G45" s="1100"/>
      <c r="H45" s="1100"/>
      <c r="I45" s="1100"/>
      <c r="J45" s="1100"/>
      <c r="K45" s="1100"/>
      <c r="L45" s="1100"/>
      <c r="M45" s="1100"/>
      <c r="N45" s="1100"/>
      <c r="O45" s="1101"/>
    </row>
    <row r="46" spans="1:15">
      <c r="A46" s="502">
        <v>1</v>
      </c>
      <c r="B46" s="745"/>
      <c r="C46" s="445"/>
      <c r="D46" s="446"/>
      <c r="E46" s="445"/>
      <c r="F46" s="437"/>
      <c r="G46" s="941"/>
      <c r="H46" s="433">
        <f>+E46*G46</f>
        <v>0</v>
      </c>
      <c r="I46" s="1105" t="e">
        <f>H56/E56</f>
        <v>#DIV/0!</v>
      </c>
      <c r="J46" s="434"/>
      <c r="K46" s="435"/>
      <c r="L46" s="436">
        <f t="shared" ref="L46:L54" si="8">+C46+E46-J46</f>
        <v>0</v>
      </c>
      <c r="M46" s="436">
        <f t="shared" ref="M46:M55" si="9">+D46+F46-K46</f>
        <v>0</v>
      </c>
      <c r="N46" s="943"/>
      <c r="O46" s="944"/>
    </row>
    <row r="47" spans="1:15">
      <c r="A47" s="503">
        <v>2</v>
      </c>
      <c r="B47" s="746"/>
      <c r="C47" s="441"/>
      <c r="D47" s="447"/>
      <c r="E47" s="441"/>
      <c r="F47" s="440"/>
      <c r="G47" s="942"/>
      <c r="H47" s="433">
        <f t="shared" ref="H47:H55" si="10">+E47*G47</f>
        <v>0</v>
      </c>
      <c r="I47" s="1105"/>
      <c r="J47" s="441"/>
      <c r="K47" s="439"/>
      <c r="L47" s="436">
        <f t="shared" si="8"/>
        <v>0</v>
      </c>
      <c r="M47" s="436">
        <f t="shared" si="9"/>
        <v>0</v>
      </c>
      <c r="N47" s="442"/>
      <c r="O47" s="945"/>
    </row>
    <row r="48" spans="1:15">
      <c r="A48" s="503">
        <v>3</v>
      </c>
      <c r="B48" s="746"/>
      <c r="C48" s="441"/>
      <c r="D48" s="447"/>
      <c r="E48" s="441"/>
      <c r="F48" s="440"/>
      <c r="G48" s="942"/>
      <c r="H48" s="433">
        <f t="shared" si="10"/>
        <v>0</v>
      </c>
      <c r="I48" s="1105"/>
      <c r="J48" s="441"/>
      <c r="K48" s="439"/>
      <c r="L48" s="436">
        <f t="shared" si="8"/>
        <v>0</v>
      </c>
      <c r="M48" s="436">
        <f t="shared" si="9"/>
        <v>0</v>
      </c>
      <c r="N48" s="442"/>
      <c r="O48" s="945"/>
    </row>
    <row r="49" spans="1:17">
      <c r="A49" s="503">
        <v>4</v>
      </c>
      <c r="B49" s="746"/>
      <c r="C49" s="441"/>
      <c r="D49" s="447"/>
      <c r="E49" s="441"/>
      <c r="F49" s="440"/>
      <c r="G49" s="942"/>
      <c r="H49" s="433">
        <f t="shared" si="10"/>
        <v>0</v>
      </c>
      <c r="I49" s="1105"/>
      <c r="J49" s="441"/>
      <c r="K49" s="439"/>
      <c r="L49" s="436">
        <f t="shared" si="8"/>
        <v>0</v>
      </c>
      <c r="M49" s="436">
        <f t="shared" si="9"/>
        <v>0</v>
      </c>
      <c r="N49" s="442"/>
      <c r="O49" s="945"/>
    </row>
    <row r="50" spans="1:17">
      <c r="A50" s="503">
        <v>5</v>
      </c>
      <c r="B50" s="746"/>
      <c r="C50" s="441"/>
      <c r="D50" s="447"/>
      <c r="E50" s="441"/>
      <c r="F50" s="440"/>
      <c r="G50" s="942"/>
      <c r="H50" s="433">
        <f t="shared" si="10"/>
        <v>0</v>
      </c>
      <c r="I50" s="1105"/>
      <c r="J50" s="441"/>
      <c r="K50" s="439"/>
      <c r="L50" s="436">
        <f t="shared" si="8"/>
        <v>0</v>
      </c>
      <c r="M50" s="436">
        <f t="shared" si="9"/>
        <v>0</v>
      </c>
      <c r="N50" s="442"/>
      <c r="O50" s="945"/>
    </row>
    <row r="51" spans="1:17">
      <c r="A51" s="503">
        <v>6</v>
      </c>
      <c r="B51" s="746"/>
      <c r="C51" s="441"/>
      <c r="D51" s="447"/>
      <c r="E51" s="441"/>
      <c r="F51" s="440"/>
      <c r="G51" s="942"/>
      <c r="H51" s="433">
        <f t="shared" si="10"/>
        <v>0</v>
      </c>
      <c r="I51" s="1105"/>
      <c r="J51" s="441"/>
      <c r="K51" s="439"/>
      <c r="L51" s="436">
        <f t="shared" si="8"/>
        <v>0</v>
      </c>
      <c r="M51" s="436">
        <f t="shared" si="9"/>
        <v>0</v>
      </c>
      <c r="N51" s="442"/>
      <c r="O51" s="945"/>
    </row>
    <row r="52" spans="1:17">
      <c r="A52" s="503">
        <v>7</v>
      </c>
      <c r="B52" s="746"/>
      <c r="C52" s="441"/>
      <c r="D52" s="447"/>
      <c r="E52" s="441"/>
      <c r="F52" s="440"/>
      <c r="G52" s="942"/>
      <c r="H52" s="433">
        <f t="shared" si="10"/>
        <v>0</v>
      </c>
      <c r="I52" s="1105"/>
      <c r="J52" s="441"/>
      <c r="K52" s="439"/>
      <c r="L52" s="436">
        <f t="shared" si="8"/>
        <v>0</v>
      </c>
      <c r="M52" s="436">
        <f t="shared" si="9"/>
        <v>0</v>
      </c>
      <c r="N52" s="442"/>
      <c r="O52" s="945"/>
    </row>
    <row r="53" spans="1:17">
      <c r="A53" s="503">
        <v>8</v>
      </c>
      <c r="B53" s="746"/>
      <c r="C53" s="441"/>
      <c r="D53" s="447"/>
      <c r="E53" s="441"/>
      <c r="F53" s="440"/>
      <c r="G53" s="942"/>
      <c r="H53" s="433">
        <f t="shared" si="10"/>
        <v>0</v>
      </c>
      <c r="I53" s="1105"/>
      <c r="J53" s="441"/>
      <c r="K53" s="439"/>
      <c r="L53" s="436">
        <f t="shared" si="8"/>
        <v>0</v>
      </c>
      <c r="M53" s="436">
        <f t="shared" si="9"/>
        <v>0</v>
      </c>
      <c r="N53" s="442"/>
      <c r="O53" s="945"/>
    </row>
    <row r="54" spans="1:17">
      <c r="A54" s="503">
        <v>9</v>
      </c>
      <c r="B54" s="746"/>
      <c r="C54" s="441"/>
      <c r="D54" s="447"/>
      <c r="E54" s="441"/>
      <c r="F54" s="440"/>
      <c r="G54" s="942"/>
      <c r="H54" s="433">
        <f t="shared" si="10"/>
        <v>0</v>
      </c>
      <c r="I54" s="1105"/>
      <c r="J54" s="441"/>
      <c r="K54" s="439"/>
      <c r="L54" s="436">
        <f t="shared" si="8"/>
        <v>0</v>
      </c>
      <c r="M54" s="436">
        <f t="shared" si="9"/>
        <v>0</v>
      </c>
      <c r="N54" s="442"/>
      <c r="O54" s="945"/>
    </row>
    <row r="55" spans="1:17" ht="15.75" thickBot="1">
      <c r="A55" s="504">
        <v>10</v>
      </c>
      <c r="B55" s="746"/>
      <c r="C55" s="441"/>
      <c r="D55" s="447"/>
      <c r="E55" s="448"/>
      <c r="F55" s="440"/>
      <c r="G55" s="942"/>
      <c r="H55" s="433">
        <f t="shared" si="10"/>
        <v>0</v>
      </c>
      <c r="I55" s="1106"/>
      <c r="J55" s="441"/>
      <c r="K55" s="439"/>
      <c r="L55" s="436">
        <f>+C55+E55-J55</f>
        <v>0</v>
      </c>
      <c r="M55" s="436">
        <f t="shared" si="9"/>
        <v>0</v>
      </c>
      <c r="N55" s="442"/>
      <c r="O55" s="945"/>
    </row>
    <row r="56" spans="1:17" ht="15.75" thickBot="1">
      <c r="A56" s="1102" t="s">
        <v>494</v>
      </c>
      <c r="B56" s="1103"/>
      <c r="C56" s="468">
        <f>+SUM(C46:C55)</f>
        <v>0</v>
      </c>
      <c r="D56" s="469">
        <f>+SUM(D46:D55)</f>
        <v>0</v>
      </c>
      <c r="E56" s="468">
        <f>+SUM(E46:E55)</f>
        <v>0</v>
      </c>
      <c r="F56" s="470">
        <f>+SUM(F46:F55)</f>
        <v>0</v>
      </c>
      <c r="G56" s="471"/>
      <c r="H56" s="472">
        <f>SUM(H46:H55)</f>
        <v>0</v>
      </c>
      <c r="I56" s="948" t="e">
        <f>+(E46*G46+E47*G47+E48*G48+E49*G49+E50*G50+E51*G51+E52*G52+E53*G53+E54*G54+E55*G55)/E56</f>
        <v>#DIV/0!</v>
      </c>
      <c r="J56" s="468">
        <f>+SUM(J46:J55)</f>
        <v>0</v>
      </c>
      <c r="K56" s="473">
        <f>+SUM(K46:K55)</f>
        <v>0</v>
      </c>
      <c r="L56" s="474">
        <f>+SUM(L46:L55)</f>
        <v>0</v>
      </c>
      <c r="M56" s="475">
        <f>+SUM(M46:M55)</f>
        <v>0</v>
      </c>
      <c r="N56" s="489">
        <f>+MAX(N46:N55)</f>
        <v>0</v>
      </c>
      <c r="O56" s="490">
        <f>+MIN(O46:O55)</f>
        <v>0</v>
      </c>
    </row>
    <row r="57" spans="1:17" ht="15.75" thickBot="1">
      <c r="A57" s="1107" t="s">
        <v>468</v>
      </c>
      <c r="B57" s="1108"/>
      <c r="C57" s="474">
        <f>+C44+C56</f>
        <v>0</v>
      </c>
      <c r="D57" s="473">
        <f>+D44+D56</f>
        <v>0</v>
      </c>
      <c r="E57" s="468">
        <f>+E44+E56</f>
        <v>0</v>
      </c>
      <c r="F57" s="475">
        <f>+F44+F56</f>
        <v>0</v>
      </c>
      <c r="G57" s="471"/>
      <c r="H57" s="472">
        <f>+H44+H56</f>
        <v>0</v>
      </c>
      <c r="I57" s="488" t="e">
        <f>+(E34*G34+E35*G35+E36*G36+E37*G37+E38*G38+E39*G39+E40*G40+E41*G41+E42*G42+E43*G43+E46*G46+E47*G47+E48*G48+E49*G49+E50*G50+E51*G51+E52*G52+E53*G53+E54*G54+E55*G55)/E57</f>
        <v>#DIV/0!</v>
      </c>
      <c r="J57" s="468">
        <f>+J44+J56</f>
        <v>0</v>
      </c>
      <c r="K57" s="473">
        <f>+K44+K56</f>
        <v>0</v>
      </c>
      <c r="L57" s="474">
        <f>+L44+L56</f>
        <v>0</v>
      </c>
      <c r="M57" s="475">
        <f>+M44+M56</f>
        <v>0</v>
      </c>
      <c r="N57" s="489">
        <f>+MAX(N34:N43,N46:N55)</f>
        <v>0</v>
      </c>
      <c r="O57" s="490">
        <f>+MIN(O34:O43,O46:O55)</f>
        <v>0</v>
      </c>
      <c r="P57" s="491"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434"/>
      <c r="F59" s="449"/>
      <c r="G59" s="1121" t="s">
        <v>482</v>
      </c>
      <c r="H59" s="1121"/>
      <c r="I59" s="1121"/>
      <c r="J59" s="434"/>
      <c r="K59" s="449"/>
      <c r="L59" s="1121" t="s">
        <v>482</v>
      </c>
      <c r="M59" s="1121"/>
      <c r="N59" s="1121"/>
      <c r="O59" s="1122"/>
    </row>
    <row r="60" spans="1:17">
      <c r="A60" s="1111" t="s">
        <v>612</v>
      </c>
      <c r="B60" s="1112"/>
      <c r="C60" s="1112"/>
      <c r="D60" s="1112"/>
      <c r="E60" s="441"/>
      <c r="F60" s="450"/>
      <c r="G60" s="1123"/>
      <c r="H60" s="1123"/>
      <c r="I60" s="1123"/>
      <c r="J60" s="441"/>
      <c r="K60" s="450"/>
      <c r="L60" s="1123"/>
      <c r="M60" s="1123"/>
      <c r="N60" s="1123"/>
      <c r="O60" s="1124"/>
      <c r="Q60" s="422"/>
    </row>
    <row r="61" spans="1:17">
      <c r="A61" s="1111" t="s">
        <v>613</v>
      </c>
      <c r="B61" s="1112"/>
      <c r="C61" s="1112"/>
      <c r="D61" s="1112"/>
      <c r="E61" s="441"/>
      <c r="F61" s="450"/>
      <c r="G61" s="1123"/>
      <c r="H61" s="1123"/>
      <c r="I61" s="1123"/>
      <c r="J61" s="441"/>
      <c r="K61" s="450"/>
      <c r="L61" s="1123"/>
      <c r="M61" s="1123"/>
      <c r="N61" s="1123"/>
      <c r="O61" s="1124"/>
      <c r="Q61" s="422"/>
    </row>
    <row r="62" spans="1:17">
      <c r="A62" s="1111" t="s">
        <v>796</v>
      </c>
      <c r="B62" s="1112"/>
      <c r="C62" s="1112"/>
      <c r="D62" s="1112"/>
      <c r="E62" s="441"/>
      <c r="F62" s="450"/>
      <c r="G62" s="1123"/>
      <c r="H62" s="1123"/>
      <c r="I62" s="1123"/>
      <c r="J62" s="441"/>
      <c r="K62" s="450"/>
      <c r="L62" s="1123"/>
      <c r="M62" s="1123"/>
      <c r="N62" s="1123"/>
      <c r="O62" s="1124"/>
      <c r="Q62" s="422"/>
    </row>
    <row r="63" spans="1:17">
      <c r="A63" s="1111" t="s">
        <v>504</v>
      </c>
      <c r="B63" s="1112"/>
      <c r="C63" s="1112"/>
      <c r="D63" s="1112"/>
      <c r="E63" s="441"/>
      <c r="F63" s="450"/>
      <c r="G63" s="1123"/>
      <c r="H63" s="1123"/>
      <c r="I63" s="1123"/>
      <c r="J63" s="441"/>
      <c r="K63" s="450"/>
      <c r="L63" s="1123"/>
      <c r="M63" s="1123"/>
      <c r="N63" s="1123"/>
      <c r="O63" s="1124"/>
    </row>
    <row r="64" spans="1:17">
      <c r="A64" s="1111" t="s">
        <v>614</v>
      </c>
      <c r="B64" s="1112"/>
      <c r="C64" s="1112"/>
      <c r="D64" s="1112"/>
      <c r="E64" s="441"/>
      <c r="F64" s="450"/>
      <c r="G64" s="1123"/>
      <c r="H64" s="1123"/>
      <c r="I64" s="1123"/>
      <c r="J64" s="441"/>
      <c r="K64" s="450"/>
      <c r="L64" s="1123"/>
      <c r="M64" s="1123"/>
      <c r="N64" s="1123"/>
      <c r="O64" s="1124"/>
    </row>
    <row r="65" spans="1:15" ht="15.75" thickBot="1">
      <c r="A65" s="1127" t="s">
        <v>505</v>
      </c>
      <c r="B65" s="1128"/>
      <c r="C65" s="1128"/>
      <c r="D65" s="1128"/>
      <c r="E65" s="451"/>
      <c r="F65" s="452"/>
      <c r="G65" s="1123"/>
      <c r="H65" s="1123"/>
      <c r="I65" s="1123"/>
      <c r="J65" s="451"/>
      <c r="K65" s="452"/>
      <c r="L65" s="1123"/>
      <c r="M65" s="1123"/>
      <c r="N65" s="1123"/>
      <c r="O65" s="1124"/>
    </row>
    <row r="66" spans="1:15" ht="15.75" thickBot="1">
      <c r="A66" s="1110" t="s">
        <v>468</v>
      </c>
      <c r="B66" s="999"/>
      <c r="C66" s="999"/>
      <c r="D66" s="999"/>
      <c r="E66" s="505">
        <f>+SUM(E59:E65)</f>
        <v>0</v>
      </c>
      <c r="F66" s="506">
        <f>+SUM(F59:F65)</f>
        <v>0</v>
      </c>
      <c r="G66" s="1125"/>
      <c r="H66" s="1125"/>
      <c r="I66" s="1125"/>
      <c r="J66" s="505">
        <f>+SUM(J59:J65)</f>
        <v>0</v>
      </c>
      <c r="K66" s="506">
        <f>+SUM(K59:K65)</f>
        <v>0</v>
      </c>
      <c r="L66" s="1125"/>
      <c r="M66" s="1125"/>
      <c r="N66" s="1125"/>
      <c r="O66" s="1126"/>
    </row>
    <row r="68" spans="1:15">
      <c r="A68" s="507"/>
      <c r="B68" s="507"/>
      <c r="C68" s="508"/>
      <c r="D68" s="509"/>
      <c r="E68" s="1098" t="s">
        <v>637</v>
      </c>
      <c r="F68" s="1109"/>
      <c r="G68" s="1109"/>
      <c r="H68" s="1109"/>
      <c r="I68" s="1109"/>
      <c r="J68" s="1109"/>
      <c r="K68" s="1109"/>
      <c r="L68" s="1109"/>
      <c r="M68" s="1109"/>
      <c r="N68" s="1109"/>
      <c r="O68" s="1109"/>
    </row>
    <row r="69" spans="1:15">
      <c r="A69" s="1119" t="s">
        <v>549</v>
      </c>
      <c r="B69" s="1043"/>
      <c r="C69" s="1043"/>
      <c r="D69" s="1043"/>
      <c r="E69" s="1043"/>
      <c r="F69" s="1043"/>
      <c r="G69" s="1043"/>
      <c r="H69" s="1043"/>
      <c r="I69" s="1043"/>
      <c r="J69" s="1043"/>
      <c r="K69" s="1043"/>
      <c r="L69" s="1043"/>
      <c r="M69" s="1043"/>
      <c r="N69" s="1043"/>
      <c r="O69" s="1043"/>
    </row>
    <row r="70" spans="1:15">
      <c r="A70" s="1119" t="s">
        <v>550</v>
      </c>
      <c r="B70" s="1043"/>
      <c r="C70" s="1043"/>
      <c r="D70" s="1043"/>
      <c r="E70" s="1043"/>
      <c r="F70" s="1043"/>
      <c r="G70" s="1043"/>
      <c r="H70" s="1043"/>
      <c r="I70" s="1043"/>
      <c r="J70" s="1043"/>
      <c r="K70" s="1043"/>
      <c r="L70" s="1043"/>
      <c r="M70" s="1043"/>
      <c r="N70" s="1043"/>
      <c r="O70" s="1043"/>
    </row>
    <row r="71" spans="1:15">
      <c r="A71" s="1120" t="s">
        <v>551</v>
      </c>
      <c r="B71" s="1043"/>
      <c r="C71" s="1043"/>
      <c r="D71" s="1043"/>
      <c r="E71" s="1043"/>
      <c r="F71" s="1043"/>
      <c r="G71" s="1043"/>
      <c r="H71" s="1043"/>
      <c r="I71" s="1043"/>
      <c r="J71" s="1043"/>
      <c r="K71" s="1043"/>
      <c r="L71" s="1043"/>
      <c r="M71" s="1043"/>
      <c r="N71" s="1043"/>
      <c r="O71" s="1043"/>
    </row>
    <row r="72" spans="1:15">
      <c r="A72" s="1120" t="s">
        <v>552</v>
      </c>
      <c r="B72" s="1043"/>
      <c r="C72" s="1043"/>
      <c r="D72" s="1043"/>
      <c r="E72" s="1043"/>
      <c r="F72" s="1043"/>
      <c r="G72" s="1043"/>
      <c r="H72" s="1043"/>
      <c r="I72" s="1043"/>
      <c r="J72" s="1043"/>
      <c r="K72" s="1043"/>
      <c r="L72" s="1043"/>
      <c r="M72" s="1043"/>
      <c r="N72" s="1043"/>
      <c r="O72" s="1043"/>
    </row>
    <row r="73" spans="1:15">
      <c r="A73" s="1120" t="s">
        <v>553</v>
      </c>
      <c r="B73" s="1043"/>
      <c r="C73" s="1043"/>
      <c r="D73" s="1043"/>
      <c r="E73" s="1043"/>
      <c r="F73" s="1043"/>
      <c r="G73" s="1043"/>
      <c r="H73" s="1043"/>
      <c r="I73" s="1043"/>
      <c r="J73" s="1043"/>
      <c r="K73" s="1043"/>
      <c r="L73" s="1043"/>
      <c r="M73" s="1043"/>
      <c r="N73" s="1043"/>
      <c r="O73" s="1043"/>
    </row>
    <row r="74" spans="1:15">
      <c r="A74" s="1118" t="s">
        <v>778</v>
      </c>
      <c r="B74" s="1118"/>
      <c r="C74" s="1118"/>
      <c r="D74" s="1118"/>
      <c r="E74" s="1118"/>
      <c r="F74" s="1118"/>
      <c r="G74" s="1118"/>
      <c r="H74" s="1118"/>
      <c r="I74" s="1118"/>
      <c r="J74" s="1118"/>
      <c r="K74" s="1118"/>
      <c r="L74" s="1118"/>
      <c r="M74" s="1118"/>
      <c r="N74" s="1118"/>
      <c r="O74" s="1118"/>
    </row>
    <row r="76" spans="1:15">
      <c r="A76" s="984" t="s">
        <v>232</v>
      </c>
      <c r="B76" s="984"/>
      <c r="C76" s="984"/>
      <c r="D76" s="984"/>
      <c r="E76" s="984"/>
      <c r="F76" s="984"/>
      <c r="G76" s="984"/>
      <c r="H76" s="984"/>
      <c r="I76" s="984"/>
      <c r="J76" s="984"/>
      <c r="K76" s="984"/>
      <c r="L76" s="984"/>
      <c r="M76" s="984"/>
      <c r="N76" s="984"/>
      <c r="O76" s="984"/>
    </row>
    <row r="77" spans="1:15">
      <c r="A77" s="1066" t="s">
        <v>233</v>
      </c>
      <c r="B77" s="1066"/>
      <c r="C77" s="1066"/>
      <c r="D77" s="1066"/>
      <c r="E77" s="1066"/>
      <c r="F77" s="1066"/>
      <c r="G77" s="1066"/>
      <c r="H77" s="1066"/>
      <c r="I77" s="1066"/>
      <c r="J77" s="1066"/>
      <c r="K77" s="1066"/>
      <c r="L77" s="1066"/>
      <c r="M77" s="1066"/>
      <c r="N77" s="1066"/>
      <c r="O77" s="1066"/>
    </row>
    <row r="78" spans="1:15">
      <c r="E78" s="240"/>
      <c r="H78" s="137"/>
    </row>
    <row r="79" spans="1:15">
      <c r="F79" s="235" t="s">
        <v>234</v>
      </c>
      <c r="H79" s="137" t="str">
        <f>+STATISTICS!C94</f>
        <v>/Нэр/</v>
      </c>
    </row>
    <row r="80" spans="1:15">
      <c r="F80" s="236"/>
      <c r="H80" s="137"/>
    </row>
    <row r="81" spans="6:8">
      <c r="F81" s="235" t="s">
        <v>236</v>
      </c>
      <c r="H81" s="137" t="str">
        <f>+STATISTICS!C96</f>
        <v>/Нэр/</v>
      </c>
    </row>
    <row r="82" spans="6:8">
      <c r="H82" s="137"/>
    </row>
    <row r="83" spans="6:8">
      <c r="H83" s="137"/>
    </row>
  </sheetData>
  <sheetProtection algorithmName="SHA-512" hashValue="E4DVo7z8O8qQYqglNyxGS26Or9W2N3a5VrLU3DQhXbdK4oMcujYl0qFW6FRPrNRLCXlkeMneWq7ZcB1ukOvFLg==" saltValue="z5Y4DylnamYBGQKJthFtxA==" spinCount="100000" sheet="1" objects="1" scenarios="1" formatCells="0" formatColumns="0" formatRows="0" insertColumns="0" insertRows="0" insertHyperlinks="0" deleteColumns="0" deleteRows="0" sort="0" autoFilter="0" pivotTables="0"/>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1" customWidth="1"/>
    <col min="2" max="2" width="9.85546875" style="81" customWidth="1"/>
    <col min="3" max="3" width="32.28515625" style="81" bestFit="1" customWidth="1"/>
    <col min="4" max="9" width="11.5703125" style="81" customWidth="1"/>
    <col min="10" max="11" width="9.140625" style="81"/>
    <col min="12" max="16384" width="9.140625" style="63"/>
  </cols>
  <sheetData>
    <row r="2" spans="1:12">
      <c r="A2" s="984" t="s">
        <v>506</v>
      </c>
      <c r="B2" s="984"/>
      <c r="C2" s="984"/>
      <c r="D2" s="984"/>
      <c r="E2" s="984"/>
      <c r="F2" s="984"/>
      <c r="G2" s="984"/>
      <c r="H2" s="984"/>
      <c r="I2" s="984"/>
      <c r="J2" s="521"/>
      <c r="K2" s="521"/>
      <c r="L2" s="510"/>
    </row>
    <row r="3" spans="1:12">
      <c r="A3" s="1070" t="str">
        <f>+STATISTICS!A4</f>
        <v>ХАДГАЛАМЖ, ЗЭЭЛИЙН ХОРШООНЫ НЭР</v>
      </c>
      <c r="B3" s="1070"/>
      <c r="C3" s="1070"/>
      <c r="D3" s="1070"/>
      <c r="E3" s="1070"/>
      <c r="F3" s="1070"/>
      <c r="G3" s="1070"/>
      <c r="H3" s="1070"/>
      <c r="I3" s="1070"/>
      <c r="J3" s="522"/>
      <c r="K3" s="522"/>
      <c r="L3" s="511"/>
    </row>
    <row r="4" spans="1:12">
      <c r="A4" s="984" t="s">
        <v>4</v>
      </c>
      <c r="B4" s="984"/>
      <c r="C4" s="984"/>
      <c r="D4" s="984"/>
      <c r="E4" s="984"/>
      <c r="F4" s="984"/>
      <c r="G4" s="984"/>
      <c r="H4" s="984"/>
      <c r="I4" s="984"/>
      <c r="J4" s="521"/>
      <c r="K4" s="521"/>
      <c r="L4" s="510"/>
    </row>
    <row r="6" spans="1:12" ht="15.75" thickBot="1">
      <c r="A6" s="390" t="str">
        <f>+STATISTICS!A7</f>
        <v>Огноо</v>
      </c>
      <c r="B6" s="137"/>
      <c r="C6" s="137"/>
      <c r="D6" s="137"/>
      <c r="E6" s="137"/>
      <c r="F6" s="137"/>
      <c r="G6" s="137"/>
      <c r="H6" s="137"/>
      <c r="I6" s="454" t="s">
        <v>5</v>
      </c>
      <c r="J6" s="137"/>
    </row>
    <row r="7" spans="1:12" ht="51">
      <c r="A7" s="1143" t="s">
        <v>507</v>
      </c>
      <c r="B7" s="1144"/>
      <c r="C7" s="1145"/>
      <c r="D7" s="523" t="s">
        <v>510</v>
      </c>
      <c r="E7" s="524" t="s">
        <v>511</v>
      </c>
      <c r="F7" s="524" t="s">
        <v>512</v>
      </c>
      <c r="G7" s="524" t="s">
        <v>513</v>
      </c>
      <c r="H7" s="524" t="s">
        <v>514</v>
      </c>
      <c r="I7" s="525" t="s">
        <v>509</v>
      </c>
      <c r="J7" s="137"/>
    </row>
    <row r="8" spans="1:12">
      <c r="A8" s="1129" t="s">
        <v>516</v>
      </c>
      <c r="B8" s="1130"/>
      <c r="C8" s="526" t="s">
        <v>517</v>
      </c>
      <c r="D8" s="512"/>
      <c r="E8" s="513"/>
      <c r="F8" s="513"/>
      <c r="G8" s="513"/>
      <c r="H8" s="513"/>
      <c r="I8" s="527">
        <f t="shared" ref="I8:I16" si="0">SUM(D8:H8)</f>
        <v>0</v>
      </c>
      <c r="J8" s="137"/>
    </row>
    <row r="9" spans="1:12">
      <c r="A9" s="1134"/>
      <c r="B9" s="1135"/>
      <c r="C9" s="526" t="s">
        <v>518</v>
      </c>
      <c r="D9" s="512"/>
      <c r="E9" s="513"/>
      <c r="F9" s="513"/>
      <c r="G9" s="513"/>
      <c r="H9" s="513"/>
      <c r="I9" s="527">
        <f t="shared" si="0"/>
        <v>0</v>
      </c>
      <c r="J9" s="137"/>
    </row>
    <row r="10" spans="1:12">
      <c r="A10" s="1136" t="s">
        <v>519</v>
      </c>
      <c r="B10" s="1149" t="s">
        <v>520</v>
      </c>
      <c r="C10" s="1140"/>
      <c r="D10" s="514"/>
      <c r="E10" s="515"/>
      <c r="F10" s="515"/>
      <c r="G10" s="515"/>
      <c r="H10" s="515"/>
      <c r="I10" s="528">
        <f t="shared" si="0"/>
        <v>0</v>
      </c>
      <c r="J10" s="137"/>
    </row>
    <row r="11" spans="1:12">
      <c r="A11" s="1137"/>
      <c r="B11" s="1150" t="s">
        <v>521</v>
      </c>
      <c r="C11" s="526" t="s">
        <v>522</v>
      </c>
      <c r="D11" s="514"/>
      <c r="E11" s="515"/>
      <c r="F11" s="515"/>
      <c r="G11" s="515"/>
      <c r="H11" s="515"/>
      <c r="I11" s="528">
        <f t="shared" si="0"/>
        <v>0</v>
      </c>
      <c r="J11" s="137"/>
    </row>
    <row r="12" spans="1:12">
      <c r="A12" s="1137"/>
      <c r="B12" s="1147"/>
      <c r="C12" s="526" t="s">
        <v>419</v>
      </c>
      <c r="D12" s="514"/>
      <c r="E12" s="515"/>
      <c r="F12" s="515"/>
      <c r="G12" s="515"/>
      <c r="H12" s="515"/>
      <c r="I12" s="528">
        <f t="shared" si="0"/>
        <v>0</v>
      </c>
      <c r="J12" s="137"/>
    </row>
    <row r="13" spans="1:12">
      <c r="A13" s="1137"/>
      <c r="B13" s="1148"/>
      <c r="C13" s="526" t="s">
        <v>523</v>
      </c>
      <c r="D13" s="514"/>
      <c r="E13" s="515"/>
      <c r="F13" s="515"/>
      <c r="G13" s="515"/>
      <c r="H13" s="515"/>
      <c r="I13" s="528">
        <f t="shared" si="0"/>
        <v>0</v>
      </c>
      <c r="J13" s="137"/>
    </row>
    <row r="14" spans="1:12">
      <c r="A14" s="1138"/>
      <c r="B14" s="1149" t="s">
        <v>524</v>
      </c>
      <c r="C14" s="1140"/>
      <c r="D14" s="516"/>
      <c r="E14" s="517"/>
      <c r="F14" s="517"/>
      <c r="G14" s="517"/>
      <c r="H14" s="517"/>
      <c r="I14" s="528">
        <f t="shared" si="0"/>
        <v>0</v>
      </c>
      <c r="J14" s="137"/>
    </row>
    <row r="15" spans="1:12">
      <c r="A15" s="1133" t="s">
        <v>525</v>
      </c>
      <c r="B15" s="1130"/>
      <c r="C15" s="526" t="s">
        <v>526</v>
      </c>
      <c r="D15" s="512"/>
      <c r="E15" s="513"/>
      <c r="F15" s="513"/>
      <c r="G15" s="513"/>
      <c r="H15" s="513"/>
      <c r="I15" s="527">
        <f t="shared" si="0"/>
        <v>0</v>
      </c>
      <c r="J15" s="137"/>
    </row>
    <row r="16" spans="1:12">
      <c r="A16" s="1134"/>
      <c r="B16" s="1135"/>
      <c r="C16" s="526" t="s">
        <v>527</v>
      </c>
      <c r="D16" s="512"/>
      <c r="E16" s="513"/>
      <c r="F16" s="513"/>
      <c r="G16" s="513"/>
      <c r="H16" s="513"/>
      <c r="I16" s="527">
        <f t="shared" si="0"/>
        <v>0</v>
      </c>
      <c r="J16" s="137"/>
    </row>
    <row r="17" spans="1:11">
      <c r="A17" s="1136" t="s">
        <v>528</v>
      </c>
      <c r="B17" s="1139" t="s">
        <v>529</v>
      </c>
      <c r="C17" s="1140"/>
      <c r="D17" s="518"/>
      <c r="E17" s="442"/>
      <c r="F17" s="442"/>
      <c r="G17" s="442"/>
      <c r="H17" s="442"/>
      <c r="I17" s="529">
        <f>+MAX(D17:H17)</f>
        <v>0</v>
      </c>
      <c r="J17" s="137"/>
    </row>
    <row r="18" spans="1:11">
      <c r="A18" s="1137"/>
      <c r="B18" s="1139" t="s">
        <v>530</v>
      </c>
      <c r="C18" s="1140"/>
      <c r="D18" s="518"/>
      <c r="E18" s="442"/>
      <c r="F18" s="442"/>
      <c r="G18" s="442"/>
      <c r="H18" s="442"/>
      <c r="I18" s="529">
        <f>+MIN(D18:H18)</f>
        <v>0</v>
      </c>
      <c r="J18" s="137"/>
    </row>
    <row r="19" spans="1:11">
      <c r="A19" s="1137"/>
      <c r="B19" s="1141" t="s">
        <v>531</v>
      </c>
      <c r="C19" s="530" t="s">
        <v>532</v>
      </c>
      <c r="D19" s="518"/>
      <c r="E19" s="518"/>
      <c r="F19" s="518"/>
      <c r="G19" s="518"/>
      <c r="H19" s="518"/>
      <c r="I19" s="531">
        <f>SUM(D19:H19)</f>
        <v>0</v>
      </c>
      <c r="K19" s="532"/>
    </row>
    <row r="20" spans="1:11">
      <c r="A20" s="1138"/>
      <c r="B20" s="1142"/>
      <c r="C20" s="530" t="s">
        <v>533</v>
      </c>
      <c r="D20" s="518"/>
      <c r="E20" s="518"/>
      <c r="F20" s="518"/>
      <c r="G20" s="518"/>
      <c r="H20" s="518"/>
      <c r="I20" s="531">
        <f>SUM(D20:H20)</f>
        <v>0</v>
      </c>
      <c r="J20" s="137"/>
    </row>
    <row r="21" spans="1:11">
      <c r="A21" s="1129" t="s">
        <v>534</v>
      </c>
      <c r="B21" s="1130"/>
      <c r="C21" s="526" t="s">
        <v>535</v>
      </c>
      <c r="D21" s="514"/>
      <c r="E21" s="515"/>
      <c r="F21" s="515"/>
      <c r="G21" s="515"/>
      <c r="H21" s="515"/>
      <c r="I21" s="528">
        <f t="shared" ref="I21:I30" si="1">SUM(D21:H21)</f>
        <v>0</v>
      </c>
      <c r="J21" s="137"/>
    </row>
    <row r="22" spans="1:11">
      <c r="A22" s="1134"/>
      <c r="B22" s="1135"/>
      <c r="C22" s="526" t="s">
        <v>536</v>
      </c>
      <c r="D22" s="514"/>
      <c r="E22" s="515"/>
      <c r="F22" s="515"/>
      <c r="G22" s="515"/>
      <c r="H22" s="515"/>
      <c r="I22" s="528">
        <f t="shared" si="1"/>
        <v>0</v>
      </c>
      <c r="J22" s="137"/>
    </row>
    <row r="23" spans="1:11">
      <c r="A23" s="1136" t="s">
        <v>537</v>
      </c>
      <c r="B23" s="1139" t="s">
        <v>538</v>
      </c>
      <c r="C23" s="1140"/>
      <c r="D23" s="514"/>
      <c r="E23" s="515"/>
      <c r="F23" s="515"/>
      <c r="G23" s="515"/>
      <c r="H23" s="515"/>
      <c r="I23" s="528">
        <f t="shared" si="1"/>
        <v>0</v>
      </c>
      <c r="J23" s="137"/>
    </row>
    <row r="24" spans="1:11">
      <c r="A24" s="1137"/>
      <c r="B24" s="1139" t="s">
        <v>539</v>
      </c>
      <c r="C24" s="1140"/>
      <c r="D24" s="514"/>
      <c r="E24" s="515"/>
      <c r="F24" s="515"/>
      <c r="G24" s="515"/>
      <c r="H24" s="515"/>
      <c r="I24" s="528">
        <f t="shared" si="1"/>
        <v>0</v>
      </c>
      <c r="J24" s="137"/>
    </row>
    <row r="25" spans="1:11">
      <c r="A25" s="1137"/>
      <c r="B25" s="1146" t="s">
        <v>540</v>
      </c>
      <c r="C25" s="526" t="s">
        <v>541</v>
      </c>
      <c r="D25" s="514"/>
      <c r="E25" s="515"/>
      <c r="F25" s="515"/>
      <c r="G25" s="515"/>
      <c r="H25" s="515"/>
      <c r="I25" s="528">
        <f t="shared" si="1"/>
        <v>0</v>
      </c>
      <c r="J25" s="137"/>
    </row>
    <row r="26" spans="1:11">
      <c r="A26" s="1137"/>
      <c r="B26" s="1147"/>
      <c r="C26" s="526" t="s">
        <v>542</v>
      </c>
      <c r="D26" s="514"/>
      <c r="E26" s="515"/>
      <c r="F26" s="515"/>
      <c r="G26" s="515"/>
      <c r="H26" s="515"/>
      <c r="I26" s="528">
        <f t="shared" si="1"/>
        <v>0</v>
      </c>
      <c r="J26" s="137"/>
    </row>
    <row r="27" spans="1:11">
      <c r="A27" s="1137"/>
      <c r="B27" s="1147"/>
      <c r="C27" s="526" t="s">
        <v>543</v>
      </c>
      <c r="D27" s="514"/>
      <c r="E27" s="515"/>
      <c r="F27" s="515"/>
      <c r="G27" s="515"/>
      <c r="H27" s="515"/>
      <c r="I27" s="528">
        <f t="shared" si="1"/>
        <v>0</v>
      </c>
      <c r="J27" s="137"/>
    </row>
    <row r="28" spans="1:11">
      <c r="A28" s="1138"/>
      <c r="B28" s="1148"/>
      <c r="C28" s="526" t="s">
        <v>544</v>
      </c>
      <c r="D28" s="514"/>
      <c r="E28" s="515"/>
      <c r="F28" s="515"/>
      <c r="G28" s="515"/>
      <c r="H28" s="515"/>
      <c r="I28" s="528">
        <f t="shared" si="1"/>
        <v>0</v>
      </c>
      <c r="J28" s="137"/>
    </row>
    <row r="29" spans="1:11" ht="22.5" customHeight="1">
      <c r="A29" s="1129" t="s">
        <v>545</v>
      </c>
      <c r="B29" s="1130"/>
      <c r="C29" s="526" t="s">
        <v>546</v>
      </c>
      <c r="D29" s="514"/>
      <c r="E29" s="515"/>
      <c r="F29" s="515"/>
      <c r="G29" s="515"/>
      <c r="H29" s="515"/>
      <c r="I29" s="528">
        <f t="shared" si="1"/>
        <v>0</v>
      </c>
      <c r="J29" s="137"/>
    </row>
    <row r="30" spans="1:11" ht="22.5" customHeight="1" thickBot="1">
      <c r="A30" s="1131"/>
      <c r="B30" s="1132"/>
      <c r="C30" s="533" t="s">
        <v>547</v>
      </c>
      <c r="D30" s="519"/>
      <c r="E30" s="520"/>
      <c r="F30" s="520"/>
      <c r="G30" s="520"/>
      <c r="H30" s="520"/>
      <c r="I30" s="534">
        <f t="shared" si="1"/>
        <v>0</v>
      </c>
      <c r="J30" s="137"/>
    </row>
    <row r="33" spans="1:9">
      <c r="A33" s="984" t="s">
        <v>232</v>
      </c>
      <c r="B33" s="984"/>
      <c r="C33" s="984"/>
      <c r="D33" s="984"/>
      <c r="E33" s="984"/>
      <c r="F33" s="984"/>
      <c r="G33" s="984"/>
      <c r="H33" s="984"/>
      <c r="I33" s="984"/>
    </row>
    <row r="34" spans="1:9">
      <c r="A34" s="1066" t="s">
        <v>233</v>
      </c>
      <c r="B34" s="1066"/>
      <c r="C34" s="1066"/>
      <c r="D34" s="1066"/>
      <c r="E34" s="1066"/>
      <c r="F34" s="1066"/>
      <c r="G34" s="1066"/>
      <c r="H34" s="1066"/>
      <c r="I34" s="1066"/>
    </row>
    <row r="35" spans="1:9">
      <c r="C35" s="240"/>
    </row>
    <row r="36" spans="1:9">
      <c r="C36" s="235" t="s">
        <v>234</v>
      </c>
      <c r="E36" s="137" t="str">
        <f>+STATISTICS!C94</f>
        <v>/Нэр/</v>
      </c>
    </row>
    <row r="37" spans="1:9">
      <c r="C37" s="236"/>
      <c r="E37" s="137"/>
    </row>
    <row r="38" spans="1:9">
      <c r="C38" s="235" t="s">
        <v>236</v>
      </c>
      <c r="E38" s="137" t="str">
        <f>+STATISTICS!C96</f>
        <v>/Нэр/</v>
      </c>
    </row>
    <row r="39" spans="1:9">
      <c r="E39" s="137"/>
    </row>
    <row r="40" spans="1:9">
      <c r="E40" s="137"/>
    </row>
    <row r="41" spans="1:9">
      <c r="E41" s="137"/>
    </row>
    <row r="42" spans="1:9">
      <c r="E42" s="137"/>
    </row>
    <row r="43" spans="1:9">
      <c r="E43" s="137"/>
    </row>
    <row r="44" spans="1:9">
      <c r="E44" s="137"/>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abSelected="1" topLeftCell="A4" zoomScale="85" zoomScaleNormal="85" workbookViewId="0">
      <selection activeCell="K28" sqref="K28"/>
    </sheetView>
  </sheetViews>
  <sheetFormatPr defaultRowHeight="12.75"/>
  <cols>
    <col min="1" max="1" width="3.140625" style="542" customWidth="1"/>
    <col min="2" max="2" width="17.5703125" style="542" customWidth="1"/>
    <col min="3" max="3" width="22.85546875" style="542" customWidth="1"/>
    <col min="4" max="4" width="17.7109375" style="542" customWidth="1"/>
    <col min="5" max="5" width="34.140625" style="542" customWidth="1"/>
    <col min="6" max="6" width="13.85546875" style="542" customWidth="1"/>
    <col min="7" max="7" width="19.140625" style="542" customWidth="1"/>
    <col min="8" max="10" width="13.85546875" style="542" customWidth="1"/>
    <col min="11" max="12" width="18.5703125" style="542" customWidth="1"/>
    <col min="13" max="13" width="25.28515625" style="542" customWidth="1"/>
    <col min="14" max="15" width="18.5703125" style="542" customWidth="1"/>
    <col min="16" max="16" width="9.140625" style="542"/>
    <col min="17" max="16384" width="9.140625" style="535"/>
  </cols>
  <sheetData>
    <row r="1" spans="1:29" s="389" customFormat="1" ht="15" customHeight="1">
      <c r="A1" s="311"/>
      <c r="B1" s="311"/>
      <c r="C1" s="311"/>
      <c r="D1" s="311"/>
      <c r="E1" s="311"/>
      <c r="F1" s="311"/>
      <c r="G1" s="311"/>
      <c r="H1" s="311"/>
      <c r="I1" s="258"/>
      <c r="J1" s="15"/>
      <c r="K1" s="15"/>
      <c r="L1" s="1021" t="s">
        <v>749</v>
      </c>
      <c r="M1" s="1021"/>
      <c r="N1" s="1021"/>
      <c r="O1" s="1021"/>
      <c r="P1" s="453"/>
      <c r="Q1" s="429"/>
      <c r="R1" s="256"/>
      <c r="S1" s="256"/>
      <c r="T1" s="256"/>
      <c r="U1" s="256"/>
      <c r="V1" s="256"/>
      <c r="W1" s="256"/>
      <c r="X1" s="256"/>
      <c r="Y1" s="256"/>
      <c r="Z1" s="256"/>
      <c r="AA1" s="256"/>
      <c r="AB1" s="256"/>
      <c r="AC1" s="256"/>
    </row>
    <row r="2" spans="1:29" s="389" customFormat="1" ht="15" customHeight="1">
      <c r="A2" s="311"/>
      <c r="B2" s="311"/>
      <c r="C2" s="311"/>
      <c r="D2" s="311"/>
      <c r="E2" s="311"/>
      <c r="F2" s="311"/>
      <c r="G2" s="311"/>
      <c r="H2" s="311"/>
      <c r="I2" s="258"/>
      <c r="J2" s="15"/>
      <c r="K2" s="15"/>
      <c r="L2" s="1021" t="s">
        <v>752</v>
      </c>
      <c r="M2" s="1021"/>
      <c r="N2" s="1021"/>
      <c r="O2" s="1021"/>
      <c r="P2" s="453"/>
      <c r="Q2" s="429"/>
      <c r="R2" s="256"/>
      <c r="S2" s="256"/>
      <c r="T2" s="256"/>
      <c r="U2" s="256"/>
      <c r="V2" s="256"/>
      <c r="W2" s="256"/>
      <c r="X2" s="256"/>
      <c r="Y2" s="256"/>
      <c r="Z2" s="256"/>
      <c r="AA2" s="256"/>
      <c r="AB2" s="256"/>
      <c r="AC2" s="256"/>
    </row>
    <row r="3" spans="1:29" s="389" customFormat="1" ht="10.5" customHeight="1">
      <c r="A3" s="905"/>
      <c r="B3" s="905"/>
      <c r="C3" s="905"/>
      <c r="D3" s="905"/>
      <c r="E3" s="905"/>
      <c r="F3" s="905"/>
      <c r="G3" s="905"/>
      <c r="H3" s="905"/>
      <c r="I3" s="258"/>
      <c r="J3" s="904"/>
      <c r="K3" s="904"/>
      <c r="L3" s="903"/>
      <c r="M3" s="903"/>
      <c r="N3" s="903"/>
      <c r="O3" s="903"/>
      <c r="P3" s="453"/>
      <c r="Q3" s="429"/>
      <c r="R3" s="256"/>
      <c r="S3" s="256"/>
      <c r="T3" s="256"/>
      <c r="U3" s="256"/>
      <c r="V3" s="256"/>
      <c r="W3" s="256"/>
      <c r="X3" s="256"/>
      <c r="Y3" s="256"/>
      <c r="Z3" s="256"/>
      <c r="AA3" s="256"/>
      <c r="AB3" s="256"/>
      <c r="AC3" s="256"/>
    </row>
    <row r="4" spans="1:29" s="389" customFormat="1" ht="9" customHeight="1">
      <c r="A4" s="311"/>
      <c r="B4" s="311"/>
      <c r="C4" s="311"/>
      <c r="D4" s="311"/>
      <c r="E4" s="311"/>
      <c r="F4" s="311"/>
      <c r="G4" s="311"/>
      <c r="H4" s="311"/>
      <c r="I4" s="311"/>
      <c r="J4" s="311"/>
      <c r="K4" s="311"/>
      <c r="L4" s="311"/>
      <c r="M4" s="311"/>
      <c r="N4" s="311"/>
      <c r="O4" s="538"/>
      <c r="P4" s="539"/>
      <c r="Q4" s="256"/>
      <c r="R4" s="256"/>
      <c r="S4" s="256"/>
      <c r="T4" s="256"/>
      <c r="U4" s="256"/>
      <c r="V4" s="256"/>
      <c r="W4" s="256"/>
      <c r="X4" s="256"/>
      <c r="Y4" s="256"/>
      <c r="Z4" s="256"/>
      <c r="AA4" s="256"/>
      <c r="AB4" s="256"/>
      <c r="AC4" s="256"/>
    </row>
    <row r="5" spans="1:29" s="389" customFormat="1" ht="12.75" customHeight="1">
      <c r="A5" s="1010" t="s">
        <v>548</v>
      </c>
      <c r="B5" s="1151"/>
      <c r="C5" s="1151"/>
      <c r="D5" s="1151"/>
      <c r="E5" s="1151"/>
      <c r="F5" s="1151"/>
      <c r="G5" s="1151"/>
      <c r="H5" s="1151"/>
      <c r="I5" s="1151"/>
      <c r="J5" s="1151"/>
      <c r="K5" s="1151"/>
      <c r="L5" s="1151"/>
      <c r="M5" s="1151"/>
      <c r="N5" s="1151"/>
      <c r="O5" s="1151"/>
      <c r="P5" s="540"/>
      <c r="Q5" s="256"/>
      <c r="R5" s="256"/>
      <c r="S5" s="256"/>
      <c r="T5" s="256"/>
      <c r="U5" s="256"/>
      <c r="V5" s="256"/>
      <c r="W5" s="256"/>
      <c r="X5" s="256"/>
      <c r="Y5" s="256"/>
      <c r="Z5" s="256"/>
      <c r="AA5" s="256"/>
      <c r="AB5" s="256"/>
      <c r="AC5" s="256"/>
    </row>
    <row r="6" spans="1:29" s="389" customFormat="1" ht="12.75" customHeight="1">
      <c r="A6" s="1032" t="str">
        <f>+STATISTICS!A4</f>
        <v>ХАДГАЛАМЖ, ЗЭЭЛИЙН ХОРШООНЫ НЭР</v>
      </c>
      <c r="B6" s="1151"/>
      <c r="C6" s="1151"/>
      <c r="D6" s="1151"/>
      <c r="E6" s="1151"/>
      <c r="F6" s="1151"/>
      <c r="G6" s="1151"/>
      <c r="H6" s="1151"/>
      <c r="I6" s="1151"/>
      <c r="J6" s="1151"/>
      <c r="K6" s="1151"/>
      <c r="L6" s="1151"/>
      <c r="M6" s="1151"/>
      <c r="N6" s="1151"/>
      <c r="O6" s="1151"/>
      <c r="P6" s="541"/>
      <c r="Q6" s="256"/>
      <c r="R6" s="256"/>
      <c r="S6" s="256"/>
      <c r="T6" s="256"/>
      <c r="U6" s="256"/>
      <c r="V6" s="256"/>
      <c r="W6" s="256"/>
      <c r="X6" s="256"/>
      <c r="Y6" s="256"/>
      <c r="Z6" s="256"/>
      <c r="AA6" s="256"/>
      <c r="AB6" s="256"/>
      <c r="AC6" s="256"/>
    </row>
    <row r="7" spans="1:29" s="389" customFormat="1" ht="12.75" customHeight="1">
      <c r="A7" s="1010" t="s">
        <v>4</v>
      </c>
      <c r="B7" s="1151"/>
      <c r="C7" s="1151"/>
      <c r="D7" s="1151"/>
      <c r="E7" s="1151"/>
      <c r="F7" s="1151"/>
      <c r="G7" s="1151"/>
      <c r="H7" s="1151"/>
      <c r="I7" s="1151"/>
      <c r="J7" s="1151"/>
      <c r="K7" s="1151"/>
      <c r="L7" s="1151"/>
      <c r="M7" s="1151"/>
      <c r="N7" s="1151"/>
      <c r="O7" s="1151"/>
      <c r="P7" s="540"/>
      <c r="Q7" s="256"/>
      <c r="R7" s="256"/>
      <c r="S7" s="256"/>
      <c r="T7" s="256"/>
      <c r="U7" s="256"/>
      <c r="V7" s="256"/>
      <c r="W7" s="256"/>
      <c r="X7" s="256"/>
      <c r="Y7" s="256"/>
      <c r="Z7" s="256"/>
      <c r="AA7" s="256"/>
      <c r="AB7" s="256"/>
      <c r="AC7" s="256"/>
    </row>
    <row r="8" spans="1:29" s="389" customFormat="1" ht="12.75" customHeight="1">
      <c r="A8" s="902"/>
      <c r="B8" s="904"/>
      <c r="C8" s="904"/>
      <c r="D8" s="904"/>
      <c r="E8" s="904"/>
      <c r="F8" s="904"/>
      <c r="G8" s="904"/>
      <c r="H8" s="904"/>
      <c r="I8" s="904"/>
      <c r="J8" s="904"/>
      <c r="K8" s="904"/>
      <c r="L8" s="904"/>
      <c r="M8" s="904"/>
      <c r="N8" s="904"/>
      <c r="O8" s="904"/>
      <c r="P8" s="540"/>
      <c r="Q8" s="256"/>
      <c r="R8" s="256"/>
      <c r="S8" s="256"/>
      <c r="T8" s="256"/>
      <c r="U8" s="256"/>
      <c r="V8" s="256"/>
      <c r="W8" s="256"/>
      <c r="X8" s="256"/>
      <c r="Y8" s="256"/>
      <c r="Z8" s="256"/>
      <c r="AA8" s="256"/>
      <c r="AB8" s="256"/>
      <c r="AC8" s="256"/>
    </row>
    <row r="10" spans="1:29" ht="13.5" thickBot="1">
      <c r="A10" s="1161" t="str">
        <f>+STATISTICS!A7</f>
        <v>Огноо</v>
      </c>
      <c r="B10" s="1161"/>
      <c r="O10" s="391" t="s">
        <v>5</v>
      </c>
    </row>
    <row r="11" spans="1:29" ht="17.25" customHeight="1">
      <c r="A11" s="1164" t="s">
        <v>237</v>
      </c>
      <c r="B11" s="1162" t="s">
        <v>569</v>
      </c>
      <c r="C11" s="1162"/>
      <c r="D11" s="1162"/>
      <c r="E11" s="1162" t="s">
        <v>555</v>
      </c>
      <c r="F11" s="1152" t="s">
        <v>571</v>
      </c>
      <c r="G11" s="1162" t="s">
        <v>556</v>
      </c>
      <c r="H11" s="1162" t="s">
        <v>557</v>
      </c>
      <c r="I11" s="1162" t="s">
        <v>558</v>
      </c>
      <c r="J11" s="1162" t="s">
        <v>559</v>
      </c>
      <c r="K11" s="1162" t="s">
        <v>560</v>
      </c>
      <c r="L11" s="1162" t="s">
        <v>561</v>
      </c>
      <c r="M11" s="1162" t="s">
        <v>562</v>
      </c>
      <c r="N11" s="1162" t="s">
        <v>563</v>
      </c>
      <c r="O11" s="1157" t="s">
        <v>564</v>
      </c>
    </row>
    <row r="12" spans="1:29" ht="32.25" customHeight="1" thickBot="1">
      <c r="A12" s="1165"/>
      <c r="B12" s="543" t="s">
        <v>568</v>
      </c>
      <c r="C12" s="544" t="s">
        <v>565</v>
      </c>
      <c r="D12" s="545" t="s">
        <v>570</v>
      </c>
      <c r="E12" s="1163"/>
      <c r="F12" s="1153"/>
      <c r="G12" s="1163"/>
      <c r="H12" s="1163"/>
      <c r="I12" s="1163"/>
      <c r="J12" s="1163"/>
      <c r="K12" s="1163"/>
      <c r="L12" s="1163"/>
      <c r="M12" s="1163"/>
      <c r="N12" s="1163"/>
      <c r="O12" s="1158"/>
    </row>
    <row r="13" spans="1:29">
      <c r="A13" s="546">
        <v>1</v>
      </c>
      <c r="B13" s="747"/>
      <c r="C13" s="955"/>
      <c r="D13" s="748"/>
      <c r="E13" s="751"/>
      <c r="F13" s="949"/>
      <c r="G13" s="752"/>
      <c r="H13" s="753"/>
      <c r="I13" s="753"/>
      <c r="J13" s="753"/>
      <c r="K13" s="754"/>
      <c r="L13" s="755"/>
      <c r="M13" s="755"/>
      <c r="N13" s="752"/>
      <c r="O13" s="893" t="e">
        <f>M13/BALANCESHEET!G35</f>
        <v>#DIV/0!</v>
      </c>
    </row>
    <row r="14" spans="1:29">
      <c r="A14" s="547">
        <v>2</v>
      </c>
      <c r="B14" s="749"/>
      <c r="C14" s="956"/>
      <c r="D14" s="750"/>
      <c r="E14" s="756"/>
      <c r="F14" s="950"/>
      <c r="G14" s="757"/>
      <c r="H14" s="758"/>
      <c r="I14" s="758"/>
      <c r="J14" s="758"/>
      <c r="K14" s="759"/>
      <c r="L14" s="760"/>
      <c r="M14" s="760"/>
      <c r="N14" s="757"/>
      <c r="O14" s="548" t="e">
        <f>+M14/BALANCESHEET!G35</f>
        <v>#DIV/0!</v>
      </c>
    </row>
    <row r="15" spans="1:29">
      <c r="A15" s="547">
        <v>3</v>
      </c>
      <c r="B15" s="749"/>
      <c r="C15" s="956"/>
      <c r="D15" s="750"/>
      <c r="E15" s="756"/>
      <c r="F15" s="950"/>
      <c r="G15" s="757"/>
      <c r="H15" s="758"/>
      <c r="I15" s="758"/>
      <c r="J15" s="758"/>
      <c r="K15" s="759"/>
      <c r="L15" s="760"/>
      <c r="M15" s="760"/>
      <c r="N15" s="757"/>
      <c r="O15" s="548" t="e">
        <f>+M15/BALANCESHEET!G35</f>
        <v>#DIV/0!</v>
      </c>
    </row>
    <row r="16" spans="1:29">
      <c r="A16" s="547">
        <v>4</v>
      </c>
      <c r="B16" s="749"/>
      <c r="C16" s="956"/>
      <c r="D16" s="750"/>
      <c r="E16" s="756"/>
      <c r="F16" s="950"/>
      <c r="G16" s="757"/>
      <c r="H16" s="758"/>
      <c r="I16" s="758"/>
      <c r="J16" s="758"/>
      <c r="K16" s="759"/>
      <c r="L16" s="760"/>
      <c r="M16" s="760"/>
      <c r="N16" s="757"/>
      <c r="O16" s="548" t="e">
        <f>+M16/BALANCESHEET!G35</f>
        <v>#DIV/0!</v>
      </c>
    </row>
    <row r="17" spans="1:15">
      <c r="A17" s="547">
        <v>5</v>
      </c>
      <c r="B17" s="749"/>
      <c r="C17" s="956"/>
      <c r="D17" s="750"/>
      <c r="E17" s="756"/>
      <c r="F17" s="950"/>
      <c r="G17" s="757"/>
      <c r="H17" s="758"/>
      <c r="I17" s="758"/>
      <c r="J17" s="758"/>
      <c r="K17" s="759"/>
      <c r="L17" s="760"/>
      <c r="M17" s="760"/>
      <c r="N17" s="757"/>
      <c r="O17" s="548" t="e">
        <f>+M17/BALANCESHEET!G35</f>
        <v>#DIV/0!</v>
      </c>
    </row>
    <row r="18" spans="1:15">
      <c r="A18" s="547">
        <v>6</v>
      </c>
      <c r="B18" s="749"/>
      <c r="C18" s="956"/>
      <c r="D18" s="750"/>
      <c r="E18" s="756"/>
      <c r="F18" s="950"/>
      <c r="G18" s="757"/>
      <c r="H18" s="758"/>
      <c r="I18" s="758"/>
      <c r="J18" s="758"/>
      <c r="K18" s="759"/>
      <c r="L18" s="760"/>
      <c r="M18" s="760"/>
      <c r="N18" s="757"/>
      <c r="O18" s="548" t="e">
        <f>+M18/BALANCESHEET!G35</f>
        <v>#DIV/0!</v>
      </c>
    </row>
    <row r="19" spans="1:15">
      <c r="A19" s="547">
        <v>7</v>
      </c>
      <c r="B19" s="749"/>
      <c r="C19" s="956"/>
      <c r="D19" s="750"/>
      <c r="E19" s="756"/>
      <c r="F19" s="950"/>
      <c r="G19" s="757"/>
      <c r="H19" s="758"/>
      <c r="I19" s="758"/>
      <c r="J19" s="758"/>
      <c r="K19" s="759"/>
      <c r="L19" s="760"/>
      <c r="M19" s="760"/>
      <c r="N19" s="757"/>
      <c r="O19" s="548" t="e">
        <f>+M19/BALANCESHEET!G35</f>
        <v>#DIV/0!</v>
      </c>
    </row>
    <row r="20" spans="1:15">
      <c r="A20" s="547">
        <v>8</v>
      </c>
      <c r="B20" s="749"/>
      <c r="C20" s="956"/>
      <c r="D20" s="750"/>
      <c r="E20" s="756"/>
      <c r="F20" s="950"/>
      <c r="G20" s="757"/>
      <c r="H20" s="758"/>
      <c r="I20" s="758"/>
      <c r="J20" s="758"/>
      <c r="K20" s="759"/>
      <c r="L20" s="760"/>
      <c r="M20" s="760"/>
      <c r="N20" s="757"/>
      <c r="O20" s="548" t="e">
        <f>+M20/BALANCESHEET!G35</f>
        <v>#DIV/0!</v>
      </c>
    </row>
    <row r="21" spans="1:15">
      <c r="A21" s="547">
        <v>9</v>
      </c>
      <c r="B21" s="749"/>
      <c r="C21" s="956"/>
      <c r="D21" s="750"/>
      <c r="E21" s="756"/>
      <c r="F21" s="950"/>
      <c r="G21" s="757"/>
      <c r="H21" s="758"/>
      <c r="I21" s="758"/>
      <c r="J21" s="758"/>
      <c r="K21" s="759"/>
      <c r="L21" s="760"/>
      <c r="M21" s="760"/>
      <c r="N21" s="757"/>
      <c r="O21" s="548" t="e">
        <f>+M21/BALANCESHEET!G35</f>
        <v>#DIV/0!</v>
      </c>
    </row>
    <row r="22" spans="1:15">
      <c r="A22" s="547">
        <v>10</v>
      </c>
      <c r="B22" s="749"/>
      <c r="C22" s="956"/>
      <c r="D22" s="750"/>
      <c r="E22" s="756"/>
      <c r="F22" s="950"/>
      <c r="G22" s="757"/>
      <c r="H22" s="758"/>
      <c r="I22" s="758"/>
      <c r="J22" s="758"/>
      <c r="K22" s="759"/>
      <c r="L22" s="760"/>
      <c r="M22" s="760"/>
      <c r="N22" s="757"/>
      <c r="O22" s="548" t="e">
        <f>+M22/BALANCESHEET!G35</f>
        <v>#DIV/0!</v>
      </c>
    </row>
    <row r="23" spans="1:15">
      <c r="A23" s="547">
        <v>11</v>
      </c>
      <c r="B23" s="749"/>
      <c r="C23" s="956"/>
      <c r="D23" s="750"/>
      <c r="E23" s="756"/>
      <c r="F23" s="950"/>
      <c r="G23" s="757"/>
      <c r="H23" s="758"/>
      <c r="I23" s="758"/>
      <c r="J23" s="758"/>
      <c r="K23" s="759"/>
      <c r="L23" s="760"/>
      <c r="M23" s="760"/>
      <c r="N23" s="757"/>
      <c r="O23" s="548" t="e">
        <f>+M23/BALANCESHEET!G35</f>
        <v>#DIV/0!</v>
      </c>
    </row>
    <row r="24" spans="1:15">
      <c r="A24" s="547">
        <v>12</v>
      </c>
      <c r="B24" s="749"/>
      <c r="C24" s="956"/>
      <c r="D24" s="750"/>
      <c r="E24" s="756"/>
      <c r="F24" s="950"/>
      <c r="G24" s="757"/>
      <c r="H24" s="758"/>
      <c r="I24" s="758"/>
      <c r="J24" s="758"/>
      <c r="K24" s="759"/>
      <c r="L24" s="760"/>
      <c r="M24" s="760"/>
      <c r="N24" s="757"/>
      <c r="O24" s="548" t="e">
        <f>+M24/BALANCESHEET!G35</f>
        <v>#DIV/0!</v>
      </c>
    </row>
    <row r="25" spans="1:15">
      <c r="A25" s="547">
        <v>13</v>
      </c>
      <c r="B25" s="749"/>
      <c r="C25" s="956"/>
      <c r="D25" s="750"/>
      <c r="E25" s="756"/>
      <c r="F25" s="950"/>
      <c r="G25" s="757"/>
      <c r="H25" s="758"/>
      <c r="I25" s="758"/>
      <c r="J25" s="758"/>
      <c r="K25" s="759"/>
      <c r="L25" s="760"/>
      <c r="M25" s="760"/>
      <c r="N25" s="757"/>
      <c r="O25" s="548" t="e">
        <f>+M25/BALANCESHEET!G35</f>
        <v>#DIV/0!</v>
      </c>
    </row>
    <row r="26" spans="1:15">
      <c r="A26" s="547">
        <v>14</v>
      </c>
      <c r="B26" s="749"/>
      <c r="C26" s="956"/>
      <c r="D26" s="750"/>
      <c r="E26" s="756"/>
      <c r="F26" s="950"/>
      <c r="G26" s="757"/>
      <c r="H26" s="758"/>
      <c r="I26" s="758"/>
      <c r="J26" s="758"/>
      <c r="K26" s="759"/>
      <c r="L26" s="760"/>
      <c r="M26" s="760"/>
      <c r="N26" s="757"/>
      <c r="O26" s="548" t="e">
        <f>+M26/BALANCESHEET!G35</f>
        <v>#DIV/0!</v>
      </c>
    </row>
    <row r="27" spans="1:15">
      <c r="A27" s="547">
        <v>15</v>
      </c>
      <c r="B27" s="749"/>
      <c r="C27" s="956"/>
      <c r="D27" s="750"/>
      <c r="E27" s="756"/>
      <c r="F27" s="950"/>
      <c r="G27" s="757"/>
      <c r="H27" s="758"/>
      <c r="I27" s="758"/>
      <c r="J27" s="758"/>
      <c r="K27" s="759"/>
      <c r="L27" s="760"/>
      <c r="M27" s="760"/>
      <c r="N27" s="757"/>
      <c r="O27" s="548" t="e">
        <f>+M27/BALANCESHEET!G35</f>
        <v>#DIV/0!</v>
      </c>
    </row>
    <row r="28" spans="1:15">
      <c r="A28" s="547">
        <v>16</v>
      </c>
      <c r="B28" s="749"/>
      <c r="C28" s="956"/>
      <c r="D28" s="750"/>
      <c r="E28" s="756"/>
      <c r="F28" s="950"/>
      <c r="G28" s="757"/>
      <c r="H28" s="758"/>
      <c r="I28" s="758"/>
      <c r="J28" s="758"/>
      <c r="K28" s="759"/>
      <c r="L28" s="760"/>
      <c r="M28" s="760"/>
      <c r="N28" s="757"/>
      <c r="O28" s="548" t="e">
        <f>+M28/BALANCESHEET!G35</f>
        <v>#DIV/0!</v>
      </c>
    </row>
    <row r="29" spans="1:15">
      <c r="A29" s="547">
        <v>17</v>
      </c>
      <c r="B29" s="749"/>
      <c r="C29" s="956"/>
      <c r="D29" s="750"/>
      <c r="E29" s="756"/>
      <c r="F29" s="950"/>
      <c r="G29" s="757"/>
      <c r="H29" s="758"/>
      <c r="I29" s="758"/>
      <c r="J29" s="758"/>
      <c r="K29" s="759"/>
      <c r="L29" s="760"/>
      <c r="M29" s="760"/>
      <c r="N29" s="757"/>
      <c r="O29" s="548" t="e">
        <f>+M29/BALANCESHEET!G35</f>
        <v>#DIV/0!</v>
      </c>
    </row>
    <row r="30" spans="1:15">
      <c r="A30" s="547">
        <v>18</v>
      </c>
      <c r="B30" s="749"/>
      <c r="C30" s="956"/>
      <c r="D30" s="750"/>
      <c r="E30" s="756"/>
      <c r="F30" s="950"/>
      <c r="G30" s="757"/>
      <c r="H30" s="758"/>
      <c r="I30" s="758"/>
      <c r="J30" s="758"/>
      <c r="K30" s="759"/>
      <c r="L30" s="760"/>
      <c r="M30" s="760"/>
      <c r="N30" s="757"/>
      <c r="O30" s="548" t="e">
        <f>+M30/BALANCESHEET!G35</f>
        <v>#DIV/0!</v>
      </c>
    </row>
    <row r="31" spans="1:15">
      <c r="A31" s="547">
        <v>19</v>
      </c>
      <c r="B31" s="749"/>
      <c r="C31" s="956"/>
      <c r="D31" s="750"/>
      <c r="E31" s="756"/>
      <c r="F31" s="950"/>
      <c r="G31" s="757"/>
      <c r="H31" s="758"/>
      <c r="I31" s="758"/>
      <c r="J31" s="758"/>
      <c r="K31" s="759"/>
      <c r="L31" s="760"/>
      <c r="M31" s="760"/>
      <c r="N31" s="757"/>
      <c r="O31" s="548" t="e">
        <f>+M31/BALANCESHEET!G35</f>
        <v>#DIV/0!</v>
      </c>
    </row>
    <row r="32" spans="1:15">
      <c r="A32" s="547">
        <v>20</v>
      </c>
      <c r="B32" s="749"/>
      <c r="C32" s="956"/>
      <c r="D32" s="750"/>
      <c r="E32" s="756"/>
      <c r="F32" s="950"/>
      <c r="G32" s="757"/>
      <c r="H32" s="758"/>
      <c r="I32" s="758"/>
      <c r="J32" s="758"/>
      <c r="K32" s="759"/>
      <c r="L32" s="760"/>
      <c r="M32" s="760"/>
      <c r="N32" s="757"/>
      <c r="O32" s="548" t="e">
        <f>+M32/BALANCESHEET!G35</f>
        <v>#DIV/0!</v>
      </c>
    </row>
    <row r="33" spans="1:15">
      <c r="A33" s="547">
        <v>21</v>
      </c>
      <c r="B33" s="749"/>
      <c r="C33" s="956"/>
      <c r="D33" s="750"/>
      <c r="E33" s="756"/>
      <c r="F33" s="950"/>
      <c r="G33" s="757"/>
      <c r="H33" s="758"/>
      <c r="I33" s="758"/>
      <c r="J33" s="758"/>
      <c r="K33" s="759"/>
      <c r="L33" s="760"/>
      <c r="M33" s="760"/>
      <c r="N33" s="757"/>
      <c r="O33" s="548" t="e">
        <f>+M33/BALANCESHEET!G35</f>
        <v>#DIV/0!</v>
      </c>
    </row>
    <row r="34" spans="1:15">
      <c r="A34" s="547">
        <v>22</v>
      </c>
      <c r="B34" s="749"/>
      <c r="C34" s="956"/>
      <c r="D34" s="750"/>
      <c r="E34" s="756"/>
      <c r="F34" s="950"/>
      <c r="G34" s="757"/>
      <c r="H34" s="758"/>
      <c r="I34" s="758"/>
      <c r="J34" s="758"/>
      <c r="K34" s="759"/>
      <c r="L34" s="760"/>
      <c r="M34" s="760"/>
      <c r="N34" s="757"/>
      <c r="O34" s="548" t="e">
        <f>+M34/BALANCESHEET!G35</f>
        <v>#DIV/0!</v>
      </c>
    </row>
    <row r="35" spans="1:15">
      <c r="A35" s="547">
        <v>23</v>
      </c>
      <c r="B35" s="749"/>
      <c r="C35" s="956"/>
      <c r="D35" s="750"/>
      <c r="E35" s="756"/>
      <c r="F35" s="950"/>
      <c r="G35" s="757"/>
      <c r="H35" s="758"/>
      <c r="I35" s="758"/>
      <c r="J35" s="758"/>
      <c r="K35" s="759"/>
      <c r="L35" s="760"/>
      <c r="M35" s="760"/>
      <c r="N35" s="757"/>
      <c r="O35" s="548" t="e">
        <f>+M35/BALANCESHEET!G35</f>
        <v>#DIV/0!</v>
      </c>
    </row>
    <row r="36" spans="1:15">
      <c r="A36" s="547">
        <v>24</v>
      </c>
      <c r="B36" s="749"/>
      <c r="C36" s="956"/>
      <c r="D36" s="750"/>
      <c r="E36" s="756"/>
      <c r="F36" s="950"/>
      <c r="G36" s="757"/>
      <c r="H36" s="758"/>
      <c r="I36" s="758"/>
      <c r="J36" s="758"/>
      <c r="K36" s="759"/>
      <c r="L36" s="760"/>
      <c r="M36" s="760"/>
      <c r="N36" s="757"/>
      <c r="O36" s="548" t="e">
        <f>+M36/BALANCESHEET!G35</f>
        <v>#DIV/0!</v>
      </c>
    </row>
    <row r="37" spans="1:15">
      <c r="A37" s="547">
        <v>25</v>
      </c>
      <c r="B37" s="749"/>
      <c r="C37" s="956"/>
      <c r="D37" s="750"/>
      <c r="E37" s="756"/>
      <c r="F37" s="950"/>
      <c r="G37" s="757"/>
      <c r="H37" s="758"/>
      <c r="I37" s="758"/>
      <c r="J37" s="758"/>
      <c r="K37" s="759"/>
      <c r="L37" s="760"/>
      <c r="M37" s="760"/>
      <c r="N37" s="757"/>
      <c r="O37" s="548" t="e">
        <f>+M37/BALANCESHEET!G35</f>
        <v>#DIV/0!</v>
      </c>
    </row>
    <row r="38" spans="1:15">
      <c r="A38" s="547">
        <v>26</v>
      </c>
      <c r="B38" s="749"/>
      <c r="C38" s="956"/>
      <c r="D38" s="750"/>
      <c r="E38" s="756"/>
      <c r="F38" s="950"/>
      <c r="G38" s="757"/>
      <c r="H38" s="758"/>
      <c r="I38" s="758"/>
      <c r="J38" s="758"/>
      <c r="K38" s="759"/>
      <c r="L38" s="760"/>
      <c r="M38" s="760"/>
      <c r="N38" s="757"/>
      <c r="O38" s="548" t="e">
        <f>+M38/BALANCESHEET!G35</f>
        <v>#DIV/0!</v>
      </c>
    </row>
    <row r="39" spans="1:15">
      <c r="A39" s="547">
        <v>27</v>
      </c>
      <c r="B39" s="749"/>
      <c r="C39" s="956"/>
      <c r="D39" s="750"/>
      <c r="E39" s="756"/>
      <c r="F39" s="950"/>
      <c r="G39" s="757"/>
      <c r="H39" s="758"/>
      <c r="I39" s="758"/>
      <c r="J39" s="758"/>
      <c r="K39" s="759"/>
      <c r="L39" s="760"/>
      <c r="M39" s="760"/>
      <c r="N39" s="757"/>
      <c r="O39" s="548" t="e">
        <f>+M39/BALANCESHEET!G35</f>
        <v>#DIV/0!</v>
      </c>
    </row>
    <row r="40" spans="1:15">
      <c r="A40" s="547">
        <v>28</v>
      </c>
      <c r="B40" s="749"/>
      <c r="C40" s="956"/>
      <c r="D40" s="750"/>
      <c r="E40" s="756"/>
      <c r="F40" s="950"/>
      <c r="G40" s="757"/>
      <c r="H40" s="758"/>
      <c r="I40" s="758"/>
      <c r="J40" s="758"/>
      <c r="K40" s="759"/>
      <c r="L40" s="760"/>
      <c r="M40" s="760"/>
      <c r="N40" s="757"/>
      <c r="O40" s="548" t="e">
        <f>+M40/BALANCESHEET!G35</f>
        <v>#DIV/0!</v>
      </c>
    </row>
    <row r="41" spans="1:15">
      <c r="A41" s="547">
        <v>29</v>
      </c>
      <c r="B41" s="749"/>
      <c r="C41" s="956"/>
      <c r="D41" s="750"/>
      <c r="E41" s="756"/>
      <c r="F41" s="950"/>
      <c r="G41" s="757"/>
      <c r="H41" s="758"/>
      <c r="I41" s="758"/>
      <c r="J41" s="758"/>
      <c r="K41" s="759"/>
      <c r="L41" s="760"/>
      <c r="M41" s="760"/>
      <c r="N41" s="757"/>
      <c r="O41" s="548" t="e">
        <f>+M41/BALANCESHEET!G35</f>
        <v>#DIV/0!</v>
      </c>
    </row>
    <row r="42" spans="1:15">
      <c r="A42" s="547">
        <v>30</v>
      </c>
      <c r="B42" s="749"/>
      <c r="C42" s="956"/>
      <c r="D42" s="750"/>
      <c r="E42" s="756"/>
      <c r="F42" s="950"/>
      <c r="G42" s="757"/>
      <c r="H42" s="758"/>
      <c r="I42" s="758"/>
      <c r="J42" s="758"/>
      <c r="K42" s="759"/>
      <c r="L42" s="760"/>
      <c r="M42" s="760"/>
      <c r="N42" s="757"/>
      <c r="O42" s="548" t="e">
        <f>+M42/BALANCESHEET!G35</f>
        <v>#DIV/0!</v>
      </c>
    </row>
    <row r="43" spans="1:15">
      <c r="A43" s="547">
        <v>31</v>
      </c>
      <c r="B43" s="749"/>
      <c r="C43" s="956"/>
      <c r="D43" s="750"/>
      <c r="E43" s="756"/>
      <c r="F43" s="950"/>
      <c r="G43" s="757"/>
      <c r="H43" s="758"/>
      <c r="I43" s="758"/>
      <c r="J43" s="758"/>
      <c r="K43" s="759"/>
      <c r="L43" s="760"/>
      <c r="M43" s="760"/>
      <c r="N43" s="757"/>
      <c r="O43" s="548" t="e">
        <f>+M43/BALANCESHEET!G35</f>
        <v>#DIV/0!</v>
      </c>
    </row>
    <row r="44" spans="1:15">
      <c r="A44" s="547">
        <v>32</v>
      </c>
      <c r="B44" s="749"/>
      <c r="C44" s="956"/>
      <c r="D44" s="750"/>
      <c r="E44" s="756"/>
      <c r="F44" s="950"/>
      <c r="G44" s="757"/>
      <c r="H44" s="758"/>
      <c r="I44" s="758"/>
      <c r="J44" s="758"/>
      <c r="K44" s="759"/>
      <c r="L44" s="760"/>
      <c r="M44" s="760"/>
      <c r="N44" s="757"/>
      <c r="O44" s="548" t="e">
        <f>+M44/BALANCESHEET!G35</f>
        <v>#DIV/0!</v>
      </c>
    </row>
    <row r="45" spans="1:15">
      <c r="A45" s="547">
        <v>33</v>
      </c>
      <c r="B45" s="749"/>
      <c r="C45" s="956"/>
      <c r="D45" s="750"/>
      <c r="E45" s="756"/>
      <c r="F45" s="950"/>
      <c r="G45" s="757"/>
      <c r="H45" s="758"/>
      <c r="I45" s="758"/>
      <c r="J45" s="758"/>
      <c r="K45" s="759"/>
      <c r="L45" s="760"/>
      <c r="M45" s="760"/>
      <c r="N45" s="757"/>
      <c r="O45" s="548" t="e">
        <f>+M45/BALANCESHEET!G35</f>
        <v>#DIV/0!</v>
      </c>
    </row>
    <row r="46" spans="1:15">
      <c r="A46" s="547">
        <v>34</v>
      </c>
      <c r="B46" s="749"/>
      <c r="C46" s="956"/>
      <c r="D46" s="750"/>
      <c r="E46" s="756"/>
      <c r="F46" s="950"/>
      <c r="G46" s="757"/>
      <c r="H46" s="758"/>
      <c r="I46" s="758"/>
      <c r="J46" s="758"/>
      <c r="K46" s="759"/>
      <c r="L46" s="760"/>
      <c r="M46" s="760"/>
      <c r="N46" s="757"/>
      <c r="O46" s="548" t="e">
        <f>+M46/BALANCESHEET!G35</f>
        <v>#DIV/0!</v>
      </c>
    </row>
    <row r="47" spans="1:15">
      <c r="A47" s="547">
        <v>35</v>
      </c>
      <c r="B47" s="749"/>
      <c r="C47" s="956"/>
      <c r="D47" s="750"/>
      <c r="E47" s="756"/>
      <c r="F47" s="950"/>
      <c r="G47" s="757"/>
      <c r="H47" s="758"/>
      <c r="I47" s="758"/>
      <c r="J47" s="758"/>
      <c r="K47" s="759"/>
      <c r="L47" s="760"/>
      <c r="M47" s="760"/>
      <c r="N47" s="757"/>
      <c r="O47" s="548" t="e">
        <f>+M47/BALANCESHEET!G35</f>
        <v>#DIV/0!</v>
      </c>
    </row>
    <row r="48" spans="1:15">
      <c r="A48" s="547">
        <v>36</v>
      </c>
      <c r="B48" s="749"/>
      <c r="C48" s="956"/>
      <c r="D48" s="750"/>
      <c r="E48" s="756"/>
      <c r="F48" s="950"/>
      <c r="G48" s="757"/>
      <c r="H48" s="758"/>
      <c r="I48" s="758"/>
      <c r="J48" s="758"/>
      <c r="K48" s="759"/>
      <c r="L48" s="760"/>
      <c r="M48" s="760"/>
      <c r="N48" s="757"/>
      <c r="O48" s="548" t="e">
        <f>+M48/BALANCESHEET!G35</f>
        <v>#DIV/0!</v>
      </c>
    </row>
    <row r="49" spans="1:15">
      <c r="A49" s="547">
        <v>37</v>
      </c>
      <c r="B49" s="749"/>
      <c r="C49" s="956"/>
      <c r="D49" s="750"/>
      <c r="E49" s="756"/>
      <c r="F49" s="950"/>
      <c r="G49" s="757"/>
      <c r="H49" s="758"/>
      <c r="I49" s="758"/>
      <c r="J49" s="758"/>
      <c r="K49" s="759"/>
      <c r="L49" s="760"/>
      <c r="M49" s="760"/>
      <c r="N49" s="757"/>
      <c r="O49" s="548" t="e">
        <f>+M49/BALANCESHEET!G35</f>
        <v>#DIV/0!</v>
      </c>
    </row>
    <row r="50" spans="1:15">
      <c r="A50" s="547">
        <v>38</v>
      </c>
      <c r="B50" s="749"/>
      <c r="C50" s="956"/>
      <c r="D50" s="750"/>
      <c r="E50" s="756"/>
      <c r="F50" s="950"/>
      <c r="G50" s="757"/>
      <c r="H50" s="758"/>
      <c r="I50" s="758"/>
      <c r="J50" s="758"/>
      <c r="K50" s="759"/>
      <c r="L50" s="760"/>
      <c r="M50" s="760"/>
      <c r="N50" s="757"/>
      <c r="O50" s="548" t="e">
        <f>+M50/BALANCESHEET!G35</f>
        <v>#DIV/0!</v>
      </c>
    </row>
    <row r="51" spans="1:15">
      <c r="A51" s="547">
        <v>39</v>
      </c>
      <c r="B51" s="749"/>
      <c r="C51" s="956"/>
      <c r="D51" s="750"/>
      <c r="E51" s="756"/>
      <c r="F51" s="950"/>
      <c r="G51" s="757"/>
      <c r="H51" s="758"/>
      <c r="I51" s="758"/>
      <c r="J51" s="758"/>
      <c r="K51" s="759"/>
      <c r="L51" s="760"/>
      <c r="M51" s="760"/>
      <c r="N51" s="757"/>
      <c r="O51" s="548" t="e">
        <f>+M51/BALANCESHEET!G35</f>
        <v>#DIV/0!</v>
      </c>
    </row>
    <row r="52" spans="1:15">
      <c r="A52" s="547">
        <v>40</v>
      </c>
      <c r="B52" s="749"/>
      <c r="C52" s="956"/>
      <c r="D52" s="750"/>
      <c r="E52" s="756"/>
      <c r="F52" s="950"/>
      <c r="G52" s="757"/>
      <c r="H52" s="758"/>
      <c r="I52" s="758"/>
      <c r="J52" s="758"/>
      <c r="K52" s="759"/>
      <c r="L52" s="760"/>
      <c r="M52" s="760"/>
      <c r="N52" s="757"/>
      <c r="O52" s="548" t="e">
        <f>+M52/BALANCESHEET!G35</f>
        <v>#DIV/0!</v>
      </c>
    </row>
    <row r="53" spans="1:15" ht="15" customHeight="1">
      <c r="A53" s="1154" t="s">
        <v>468</v>
      </c>
      <c r="B53" s="1155"/>
      <c r="C53" s="1155"/>
      <c r="D53" s="1156"/>
      <c r="E53" s="761">
        <f>SUM(E13:E52)</f>
        <v>0</v>
      </c>
      <c r="F53" s="762" t="e">
        <f>+AVERAGE(F13:F52)</f>
        <v>#DIV/0!</v>
      </c>
      <c r="G53" s="1154"/>
      <c r="H53" s="1155"/>
      <c r="I53" s="1155"/>
      <c r="J53" s="1155"/>
      <c r="K53" s="1156"/>
      <c r="L53" s="761">
        <f>SUM(L13:L52)</f>
        <v>0</v>
      </c>
      <c r="M53" s="761">
        <f>SUM(M13:M52)</f>
        <v>0</v>
      </c>
      <c r="N53" s="763"/>
      <c r="O53" s="549" t="e">
        <f>SUM(O13:O52)</f>
        <v>#DIV/0!</v>
      </c>
    </row>
    <row r="54" spans="1:15">
      <c r="A54" s="311"/>
      <c r="B54" s="311"/>
      <c r="C54" s="311"/>
      <c r="D54" s="311"/>
      <c r="E54" s="695"/>
      <c r="F54" s="695"/>
      <c r="G54" s="695"/>
      <c r="H54" s="695"/>
      <c r="I54" s="695"/>
      <c r="J54" s="695"/>
      <c r="K54" s="695"/>
      <c r="L54" s="695"/>
      <c r="M54" s="1159" t="s">
        <v>567</v>
      </c>
      <c r="N54" s="1160"/>
      <c r="O54" s="550" t="e">
        <f>MAX(O13:O52)</f>
        <v>#DIV/0!</v>
      </c>
    </row>
    <row r="57" spans="1:15">
      <c r="H57" s="237"/>
      <c r="O57" s="540" t="str">
        <f>IF(M53&lt;=BALANCESHEET!C18,"","Балансийн дүнтэй зөрүүтэй байна")</f>
        <v/>
      </c>
    </row>
    <row r="58" spans="1:15">
      <c r="D58" s="984" t="s">
        <v>232</v>
      </c>
      <c r="E58" s="984"/>
      <c r="F58" s="984"/>
      <c r="G58" s="984"/>
      <c r="H58" s="984"/>
      <c r="I58" s="984"/>
      <c r="J58" s="984"/>
      <c r="K58" s="984"/>
      <c r="L58" s="984"/>
      <c r="M58" s="984"/>
      <c r="N58" s="984"/>
      <c r="O58" s="984"/>
    </row>
    <row r="59" spans="1:15">
      <c r="D59" s="1042" t="s">
        <v>233</v>
      </c>
      <c r="E59" s="1042"/>
      <c r="F59" s="1042"/>
      <c r="G59" s="1042"/>
      <c r="H59" s="1042"/>
      <c r="I59" s="1042"/>
      <c r="J59" s="1042"/>
      <c r="K59" s="1042"/>
      <c r="L59" s="1042"/>
      <c r="M59" s="1042"/>
      <c r="N59" s="1042"/>
      <c r="O59" s="1042"/>
    </row>
    <row r="60" spans="1:15">
      <c r="H60" s="240"/>
    </row>
    <row r="61" spans="1:15">
      <c r="H61" s="235" t="s">
        <v>234</v>
      </c>
      <c r="K61" s="542" t="str">
        <f>+STATISTICS!C94</f>
        <v>/Нэр/</v>
      </c>
    </row>
    <row r="62" spans="1:15">
      <c r="H62" s="236"/>
    </row>
    <row r="63" spans="1:15">
      <c r="H63" s="235" t="s">
        <v>236</v>
      </c>
      <c r="K63" s="542" t="str">
        <f>+STATISTICS!C96</f>
        <v>/Нэр/</v>
      </c>
    </row>
    <row r="71" spans="2:7">
      <c r="B71" s="952" t="s">
        <v>427</v>
      </c>
      <c r="C71" s="952"/>
      <c r="D71" s="952"/>
      <c r="E71" s="952" t="s">
        <v>826</v>
      </c>
      <c r="F71" s="952" t="s">
        <v>827</v>
      </c>
      <c r="G71" s="952" t="s">
        <v>828</v>
      </c>
    </row>
    <row r="72" spans="2:7">
      <c r="B72" s="952" t="s">
        <v>829</v>
      </c>
      <c r="C72" s="952"/>
      <c r="D72" s="952"/>
      <c r="E72" s="952" t="s">
        <v>830</v>
      </c>
      <c r="F72" s="952" t="s">
        <v>831</v>
      </c>
      <c r="G72" s="952" t="s">
        <v>541</v>
      </c>
    </row>
    <row r="73" spans="2:7">
      <c r="B73" s="952" t="s">
        <v>429</v>
      </c>
      <c r="C73" s="952"/>
      <c r="D73" s="952"/>
      <c r="E73" s="952" t="s">
        <v>832</v>
      </c>
      <c r="F73" s="952" t="s">
        <v>833</v>
      </c>
      <c r="G73" s="952" t="s">
        <v>542</v>
      </c>
    </row>
    <row r="74" spans="2:7">
      <c r="B74" s="952" t="s">
        <v>430</v>
      </c>
      <c r="C74" s="952"/>
      <c r="D74" s="952"/>
      <c r="E74" s="952" t="s">
        <v>834</v>
      </c>
      <c r="F74" s="952" t="s">
        <v>835</v>
      </c>
      <c r="G74" s="952" t="s">
        <v>543</v>
      </c>
    </row>
    <row r="75" spans="2:7">
      <c r="B75" s="952" t="s">
        <v>431</v>
      </c>
      <c r="C75" s="952"/>
      <c r="D75" s="952"/>
      <c r="E75" s="952" t="s">
        <v>836</v>
      </c>
      <c r="F75" s="952" t="s">
        <v>837</v>
      </c>
      <c r="G75" s="952" t="s">
        <v>838</v>
      </c>
    </row>
    <row r="76" spans="2:7">
      <c r="B76" s="952" t="s">
        <v>432</v>
      </c>
      <c r="C76" s="952"/>
      <c r="D76" s="952"/>
      <c r="E76" s="952" t="s">
        <v>839</v>
      </c>
      <c r="F76" s="952" t="s">
        <v>840</v>
      </c>
      <c r="G76" s="952"/>
    </row>
    <row r="77" spans="2:7">
      <c r="B77" s="952" t="s">
        <v>433</v>
      </c>
      <c r="C77" s="952"/>
      <c r="D77" s="952"/>
      <c r="E77" s="952" t="s">
        <v>841</v>
      </c>
      <c r="F77" s="952" t="s">
        <v>842</v>
      </c>
      <c r="G77" s="952"/>
    </row>
    <row r="78" spans="2:7">
      <c r="B78" s="952" t="s">
        <v>434</v>
      </c>
      <c r="C78" s="952"/>
      <c r="D78" s="952"/>
      <c r="E78" s="952" t="s">
        <v>843</v>
      </c>
      <c r="F78" s="952"/>
      <c r="G78" s="952"/>
    </row>
    <row r="79" spans="2:7">
      <c r="B79" s="952" t="s">
        <v>435</v>
      </c>
      <c r="C79" s="952"/>
      <c r="D79" s="952"/>
      <c r="E79" s="952" t="s">
        <v>844</v>
      </c>
      <c r="F79" s="952"/>
      <c r="G79" s="952"/>
    </row>
    <row r="80" spans="2:7">
      <c r="B80" s="952" t="s">
        <v>436</v>
      </c>
      <c r="C80" s="952"/>
      <c r="D80" s="952"/>
      <c r="E80" s="952" t="s">
        <v>845</v>
      </c>
      <c r="F80" s="952"/>
      <c r="G80" s="952"/>
    </row>
    <row r="81" spans="2:7">
      <c r="B81" s="952" t="s">
        <v>437</v>
      </c>
      <c r="C81" s="952"/>
      <c r="D81" s="952"/>
      <c r="E81" s="952"/>
      <c r="F81" s="952"/>
      <c r="G81" s="952"/>
    </row>
    <row r="82" spans="2:7">
      <c r="B82" s="952" t="s">
        <v>438</v>
      </c>
      <c r="C82" s="952"/>
      <c r="D82" s="952"/>
      <c r="E82" s="952"/>
      <c r="F82" s="952"/>
      <c r="G82" s="952"/>
    </row>
    <row r="83" spans="2:7">
      <c r="B83" s="952" t="s">
        <v>439</v>
      </c>
      <c r="C83" s="952"/>
      <c r="D83" s="952"/>
      <c r="E83" s="952"/>
      <c r="F83" s="952"/>
      <c r="G83" s="952"/>
    </row>
    <row r="84" spans="2:7">
      <c r="B84" s="952" t="s">
        <v>440</v>
      </c>
      <c r="C84" s="952"/>
      <c r="D84" s="952"/>
      <c r="E84" s="952"/>
      <c r="F84" s="952"/>
      <c r="G84" s="952"/>
    </row>
    <row r="85" spans="2:7">
      <c r="B85" s="952" t="s">
        <v>441</v>
      </c>
      <c r="C85" s="952"/>
      <c r="D85" s="952"/>
      <c r="E85" s="952"/>
      <c r="F85" s="952"/>
      <c r="G85" s="952"/>
    </row>
    <row r="86" spans="2:7">
      <c r="B86" s="952" t="s">
        <v>442</v>
      </c>
      <c r="C86" s="952"/>
      <c r="D86" s="952"/>
      <c r="E86" s="952"/>
      <c r="F86" s="952"/>
      <c r="G86" s="952"/>
    </row>
    <row r="87" spans="2:7">
      <c r="B87" s="952" t="s">
        <v>443</v>
      </c>
      <c r="C87" s="952"/>
      <c r="D87" s="952"/>
      <c r="E87" s="952"/>
      <c r="F87" s="952"/>
      <c r="G87" s="952"/>
    </row>
    <row r="88" spans="2:7">
      <c r="B88" s="952" t="s">
        <v>444</v>
      </c>
      <c r="C88" s="952"/>
      <c r="D88" s="952"/>
      <c r="E88" s="952"/>
      <c r="F88" s="952"/>
      <c r="G88" s="952"/>
    </row>
    <row r="89" spans="2:7">
      <c r="B89" s="952" t="s">
        <v>445</v>
      </c>
      <c r="C89" s="952"/>
      <c r="D89" s="952"/>
      <c r="E89" s="952"/>
      <c r="F89" s="952"/>
      <c r="G89" s="952"/>
    </row>
  </sheetData>
  <sheetProtection algorithmName="SHA-512" hashValue="+d7T6CQSjfyUe8Z8gtfv3YsPAp+e32mYgb09yVqMDKfHtaSrkz4VkQ3nyBjJBmvpwWj4lRdsdpsM3ffIWrC7Qg==" saltValue="3V3ZtyR2iKihuBxkm3OYwA==" spinCount="100000" sheet="1" objects="1" scenarios="1" formatCells="0" formatColumns="0" formatRows="0" insertColumns="0" insertRows="0" insertHyperlinks="0" deleteColumns="0" deleteRows="0" sort="0" autoFilter="0" pivotTables="0"/>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HiTech</cp:lastModifiedBy>
  <dcterms:created xsi:type="dcterms:W3CDTF">2020-12-08T01:12:14Z</dcterms:created>
  <dcterms:modified xsi:type="dcterms:W3CDTF">2021-01-09T06:57:08Z</dcterms:modified>
</cp:coreProperties>
</file>