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Munkhjavkhlan\Downloads\"/>
    </mc:Choice>
  </mc:AlternateContent>
  <bookViews>
    <workbookView xWindow="0" yWindow="0" windowWidth="19200" windowHeight="6050" tabRatio="759" activeTab="1"/>
  </bookViews>
  <sheets>
    <sheet name="i.04101a" sheetId="1" r:id="rId1"/>
    <sheet name="i.04101" sheetId="3" r:id="rId2"/>
    <sheet name="i.04102a" sheetId="4" r:id="rId3"/>
    <sheet name="i.04102" sheetId="5" r:id="rId4"/>
    <sheet name="i.04103" sheetId="10" r:id="rId5"/>
    <sheet name="i.04104" sheetId="7" r:id="rId6"/>
    <sheet name="i.04105" sheetId="8" r:id="rId7"/>
    <sheet name="i.04106" sheetId="9" r:id="rId8"/>
    <sheet name="i.04107" sheetId="11" r:id="rId9"/>
    <sheet name="i.04108" sheetId="12" r:id="rId10"/>
    <sheet name="i.04109" sheetId="13" r:id="rId11"/>
    <sheet name="i.04110" sheetId="14" r:id="rId12"/>
    <sheet name="i.04111" sheetId="15" r:id="rId13"/>
    <sheet name="i.04112" sheetId="16" r:id="rId14"/>
    <sheet name="i.04113" sheetId="18" r:id="rId15"/>
    <sheet name="i.04114" sheetId="19" r:id="rId16"/>
    <sheet name="i.04115" sheetId="20" r:id="rId17"/>
    <sheet name="i.04116" sheetId="27" r:id="rId18"/>
    <sheet name="i.04117" sheetId="28" r:id="rId19"/>
    <sheet name="i.04118a" sheetId="29" r:id="rId20"/>
    <sheet name="i.04118b" sheetId="63" r:id="rId21"/>
    <sheet name="i.04144a" sheetId="30" r:id="rId22"/>
    <sheet name="i.04144" sheetId="31" r:id="rId23"/>
    <sheet name="i.04145" sheetId="32" r:id="rId24"/>
    <sheet name="i.04148" sheetId="60" r:id="rId25"/>
    <sheet name="i.04152" sheetId="21" r:id="rId26"/>
    <sheet name="i.04153" sheetId="59" r:id="rId27"/>
    <sheet name="i.04off1" sheetId="55" r:id="rId28"/>
    <sheet name="i.04off2" sheetId="56" r:id="rId29"/>
  </sheets>
  <calcPr calcId="152511"/>
</workbook>
</file>

<file path=xl/calcChain.xml><?xml version="1.0" encoding="utf-8"?>
<calcChain xmlns="http://schemas.openxmlformats.org/spreadsheetml/2006/main">
  <c r="J48" i="9" l="1"/>
  <c r="J50" i="9"/>
  <c r="H66" i="60"/>
  <c r="D45" i="3"/>
  <c r="C84" i="3"/>
  <c r="D6" i="3"/>
  <c r="I63" i="9"/>
  <c r="J65" i="9"/>
  <c r="F33" i="18"/>
  <c r="H30" i="13"/>
  <c r="E35" i="3"/>
  <c r="D39" i="4"/>
  <c r="H31" i="15"/>
  <c r="D36" i="4"/>
  <c r="D32" i="4"/>
  <c r="D7" i="4"/>
  <c r="E10" i="5"/>
  <c r="H34" i="16"/>
  <c r="E20" i="3"/>
  <c r="J14" i="29"/>
  <c r="J12" i="29"/>
  <c r="J13" i="29"/>
  <c r="J51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2" i="29"/>
  <c r="J53" i="29"/>
  <c r="J54" i="29"/>
  <c r="J55" i="29"/>
  <c r="J56" i="29"/>
  <c r="J57" i="29"/>
  <c r="J58" i="29"/>
  <c r="J59" i="29"/>
  <c r="J60" i="29"/>
  <c r="J61" i="29"/>
  <c r="J62" i="29"/>
  <c r="D24" i="60"/>
  <c r="D38" i="60"/>
  <c r="E52" i="60"/>
  <c r="D52" i="60"/>
  <c r="E24" i="60"/>
  <c r="E38" i="60"/>
  <c r="E67" i="60"/>
  <c r="E33" i="18"/>
  <c r="F65" i="60"/>
  <c r="F52" i="60"/>
  <c r="D20" i="3"/>
  <c r="D11" i="5"/>
  <c r="D20" i="5"/>
  <c r="L41" i="27"/>
  <c r="K23" i="31"/>
  <c r="C9" i="30"/>
  <c r="K32" i="16"/>
  <c r="L32" i="16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J57" i="63"/>
  <c r="J58" i="63"/>
  <c r="J59" i="63"/>
  <c r="J60" i="63"/>
  <c r="J61" i="63"/>
  <c r="J62" i="63"/>
  <c r="E12" i="63"/>
  <c r="G12" i="63"/>
  <c r="H12" i="63"/>
  <c r="I12" i="63"/>
  <c r="K12" i="63"/>
  <c r="C12" i="63"/>
  <c r="C12" i="29"/>
  <c r="K12" i="29"/>
  <c r="F42" i="3" s="1"/>
  <c r="G12" i="29"/>
  <c r="H12" i="29"/>
  <c r="I12" i="29"/>
  <c r="E12" i="29"/>
  <c r="F72" i="63"/>
  <c r="D72" i="63"/>
  <c r="B72" i="63"/>
  <c r="F70" i="63"/>
  <c r="D70" i="63"/>
  <c r="B70" i="63"/>
  <c r="F68" i="63"/>
  <c r="F12" i="63"/>
  <c r="D68" i="63"/>
  <c r="B68" i="63"/>
  <c r="B66" i="63"/>
  <c r="B64" i="63"/>
  <c r="J42" i="63"/>
  <c r="J41" i="63"/>
  <c r="J40" i="63"/>
  <c r="J39" i="63"/>
  <c r="J38" i="63"/>
  <c r="J37" i="63"/>
  <c r="J36" i="63"/>
  <c r="J35" i="63"/>
  <c r="J34" i="63"/>
  <c r="J33" i="63"/>
  <c r="J32" i="63"/>
  <c r="J31" i="63"/>
  <c r="J30" i="63"/>
  <c r="J29" i="63"/>
  <c r="J28" i="63"/>
  <c r="J27" i="63"/>
  <c r="J26" i="63"/>
  <c r="J25" i="63"/>
  <c r="J24" i="63"/>
  <c r="J23" i="63"/>
  <c r="J22" i="63"/>
  <c r="J21" i="63"/>
  <c r="J20" i="63"/>
  <c r="J19" i="63"/>
  <c r="J18" i="63"/>
  <c r="J17" i="63"/>
  <c r="J16" i="63"/>
  <c r="J15" i="63"/>
  <c r="J14" i="63"/>
  <c r="J13" i="63"/>
  <c r="I6" i="63"/>
  <c r="A6" i="63"/>
  <c r="G9" i="28"/>
  <c r="F9" i="28"/>
  <c r="D41" i="27"/>
  <c r="E41" i="27"/>
  <c r="F41" i="27"/>
  <c r="G41" i="27"/>
  <c r="H41" i="27"/>
  <c r="I41" i="27"/>
  <c r="J41" i="27"/>
  <c r="K41" i="27"/>
  <c r="M41" i="27"/>
  <c r="N41" i="27"/>
  <c r="N43" i="27"/>
  <c r="O41" i="27"/>
  <c r="O43" i="27"/>
  <c r="P41" i="27"/>
  <c r="Q41" i="27"/>
  <c r="Q43" i="27"/>
  <c r="R41" i="27"/>
  <c r="R43" i="27"/>
  <c r="S41" i="27"/>
  <c r="J28" i="20"/>
  <c r="K31" i="15"/>
  <c r="J31" i="15"/>
  <c r="I31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12" i="15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65" i="60"/>
  <c r="B64" i="60"/>
  <c r="B63" i="60"/>
  <c r="B62" i="60"/>
  <c r="B61" i="60"/>
  <c r="B60" i="60"/>
  <c r="B59" i="60"/>
  <c r="B58" i="60"/>
  <c r="B57" i="60"/>
  <c r="B56" i="60"/>
  <c r="B55" i="60"/>
  <c r="B54" i="60"/>
  <c r="B53" i="60"/>
  <c r="B51" i="60"/>
  <c r="B50" i="60"/>
  <c r="B49" i="60"/>
  <c r="B48" i="60"/>
  <c r="B47" i="60"/>
  <c r="B46" i="60"/>
  <c r="B45" i="60"/>
  <c r="B44" i="60"/>
  <c r="B43" i="60"/>
  <c r="B42" i="60"/>
  <c r="B41" i="60"/>
  <c r="B40" i="60"/>
  <c r="B39" i="60"/>
  <c r="B37" i="60"/>
  <c r="B36" i="60"/>
  <c r="B35" i="60"/>
  <c r="B34" i="60"/>
  <c r="B33" i="60"/>
  <c r="B32" i="60"/>
  <c r="B31" i="60"/>
  <c r="B30" i="60"/>
  <c r="B29" i="60"/>
  <c r="B28" i="60"/>
  <c r="B27" i="60"/>
  <c r="B26" i="60"/>
  <c r="B25" i="60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93" i="21"/>
  <c r="D93" i="21"/>
  <c r="F93" i="21"/>
  <c r="B95" i="21"/>
  <c r="D95" i="21"/>
  <c r="F95" i="21"/>
  <c r="B97" i="21"/>
  <c r="D97" i="21"/>
  <c r="F97" i="21"/>
  <c r="B91" i="21"/>
  <c r="E58" i="7"/>
  <c r="D58" i="7"/>
  <c r="E53" i="7"/>
  <c r="D53" i="7"/>
  <c r="D64" i="7"/>
  <c r="D37" i="7"/>
  <c r="E45" i="7"/>
  <c r="D45" i="7"/>
  <c r="E37" i="7"/>
  <c r="E51" i="7"/>
  <c r="E18" i="7"/>
  <c r="D18" i="7"/>
  <c r="D10" i="7"/>
  <c r="D35" i="7"/>
  <c r="F28" i="20"/>
  <c r="I28" i="20"/>
  <c r="D8" i="4"/>
  <c r="E28" i="20"/>
  <c r="N32" i="16"/>
  <c r="D31" i="4"/>
  <c r="O32" i="16"/>
  <c r="D9" i="4"/>
  <c r="P32" i="16"/>
  <c r="D10" i="4"/>
  <c r="R32" i="16"/>
  <c r="S32" i="16"/>
  <c r="T32" i="16"/>
  <c r="D35" i="4"/>
  <c r="W32" i="16"/>
  <c r="X32" i="16"/>
  <c r="D40" i="4"/>
  <c r="E32" i="16"/>
  <c r="D6" i="4"/>
  <c r="F32" i="16"/>
  <c r="G32" i="16"/>
  <c r="H32" i="16"/>
  <c r="I32" i="16"/>
  <c r="E11" i="5"/>
  <c r="I34" i="16"/>
  <c r="D32" i="16"/>
  <c r="F31" i="15"/>
  <c r="D29" i="4"/>
  <c r="G31" i="15"/>
  <c r="D134" i="1"/>
  <c r="E78" i="3"/>
  <c r="E31" i="15"/>
  <c r="C134" i="1"/>
  <c r="D78" i="3"/>
  <c r="F30" i="14"/>
  <c r="G30" i="14"/>
  <c r="E30" i="14"/>
  <c r="C138" i="1"/>
  <c r="F30" i="13"/>
  <c r="E13" i="11"/>
  <c r="G30" i="13"/>
  <c r="F13" i="11"/>
  <c r="E30" i="13"/>
  <c r="C137" i="1"/>
  <c r="F30" i="12"/>
  <c r="E12" i="11"/>
  <c r="G30" i="12"/>
  <c r="E30" i="12"/>
  <c r="C135" i="1"/>
  <c r="D80" i="3"/>
  <c r="K15" i="18"/>
  <c r="K13" i="18"/>
  <c r="H31" i="18"/>
  <c r="I31" i="18"/>
  <c r="P43" i="27"/>
  <c r="J31" i="18"/>
  <c r="L31" i="18"/>
  <c r="M31" i="18"/>
  <c r="N31" i="18"/>
  <c r="O31" i="18"/>
  <c r="G31" i="18"/>
  <c r="H11" i="12"/>
  <c r="C139" i="1"/>
  <c r="D83" i="3"/>
  <c r="C77" i="1"/>
  <c r="C76" i="1"/>
  <c r="C157" i="1"/>
  <c r="F66" i="21"/>
  <c r="D10" i="60"/>
  <c r="F10" i="60"/>
  <c r="C30" i="30"/>
  <c r="H9" i="20"/>
  <c r="J14" i="16"/>
  <c r="J15" i="16"/>
  <c r="M15" i="16"/>
  <c r="J16" i="16"/>
  <c r="M16" i="16"/>
  <c r="J17" i="16"/>
  <c r="M17" i="16"/>
  <c r="J18" i="16"/>
  <c r="M18" i="16"/>
  <c r="J19" i="16"/>
  <c r="M19" i="16"/>
  <c r="J20" i="16"/>
  <c r="M20" i="16"/>
  <c r="J21" i="16"/>
  <c r="M21" i="16"/>
  <c r="J22" i="16"/>
  <c r="M22" i="16"/>
  <c r="J23" i="16"/>
  <c r="M23" i="16"/>
  <c r="J24" i="16"/>
  <c r="M24" i="16"/>
  <c r="J25" i="16"/>
  <c r="M25" i="16"/>
  <c r="J26" i="16"/>
  <c r="M26" i="16"/>
  <c r="J27" i="16"/>
  <c r="M27" i="16"/>
  <c r="J28" i="16"/>
  <c r="M28" i="16"/>
  <c r="J29" i="16"/>
  <c r="M29" i="16"/>
  <c r="J30" i="16"/>
  <c r="M30" i="16"/>
  <c r="J31" i="16"/>
  <c r="M31" i="16"/>
  <c r="F15" i="8"/>
  <c r="E39" i="5"/>
  <c r="D36" i="5"/>
  <c r="D34" i="5"/>
  <c r="H12" i="14"/>
  <c r="F8" i="21"/>
  <c r="F45" i="60"/>
  <c r="E23" i="21"/>
  <c r="F23" i="21"/>
  <c r="K8" i="10"/>
  <c r="D13" i="11"/>
  <c r="B21" i="32"/>
  <c r="D23" i="59"/>
  <c r="B34" i="59"/>
  <c r="C34" i="59"/>
  <c r="F34" i="59"/>
  <c r="B77" i="60"/>
  <c r="C77" i="60"/>
  <c r="E77" i="60"/>
  <c r="A87" i="21"/>
  <c r="A78" i="21"/>
  <c r="A79" i="21"/>
  <c r="A80" i="21"/>
  <c r="A81" i="21"/>
  <c r="A82" i="21"/>
  <c r="A83" i="21"/>
  <c r="A84" i="21"/>
  <c r="A85" i="21"/>
  <c r="E76" i="21"/>
  <c r="F76" i="21"/>
  <c r="D9" i="21"/>
  <c r="D23" i="21"/>
  <c r="D37" i="21"/>
  <c r="E37" i="21"/>
  <c r="F37" i="21"/>
  <c r="D51" i="21"/>
  <c r="F51" i="21"/>
  <c r="E51" i="21"/>
  <c r="D65" i="21"/>
  <c r="F65" i="21"/>
  <c r="E65" i="21"/>
  <c r="F75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A65" i="21"/>
  <c r="A75" i="21"/>
  <c r="F74" i="21"/>
  <c r="F73" i="21"/>
  <c r="F72" i="21"/>
  <c r="F71" i="21"/>
  <c r="F70" i="21"/>
  <c r="F69" i="21"/>
  <c r="F68" i="21"/>
  <c r="F67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A23" i="21"/>
  <c r="B11" i="21"/>
  <c r="B22" i="21"/>
  <c r="B16" i="21"/>
  <c r="B14" i="21"/>
  <c r="B10" i="21"/>
  <c r="B13" i="21"/>
  <c r="B18" i="21"/>
  <c r="B17" i="21"/>
  <c r="B20" i="21"/>
  <c r="B15" i="21"/>
  <c r="B21" i="21"/>
  <c r="B12" i="21"/>
  <c r="B19" i="21"/>
  <c r="F9" i="60"/>
  <c r="E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9" i="60"/>
  <c r="F40" i="60"/>
  <c r="F41" i="60"/>
  <c r="F42" i="60"/>
  <c r="F43" i="60"/>
  <c r="F44" i="60"/>
  <c r="F46" i="60"/>
  <c r="F47" i="60"/>
  <c r="F48" i="60"/>
  <c r="F49" i="60"/>
  <c r="F50" i="60"/>
  <c r="F51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B71" i="60"/>
  <c r="B73" i="60"/>
  <c r="C73" i="60"/>
  <c r="E73" i="60"/>
  <c r="B75" i="60"/>
  <c r="C75" i="60"/>
  <c r="E75" i="60"/>
  <c r="B69" i="60"/>
  <c r="A24" i="60"/>
  <c r="B12" i="60"/>
  <c r="B23" i="60"/>
  <c r="B17" i="60"/>
  <c r="B15" i="60"/>
  <c r="B11" i="60"/>
  <c r="B14" i="60"/>
  <c r="B19" i="60"/>
  <c r="B18" i="60"/>
  <c r="B21" i="60"/>
  <c r="B16" i="60"/>
  <c r="B22" i="60"/>
  <c r="B13" i="60"/>
  <c r="B20" i="60"/>
  <c r="F5" i="60"/>
  <c r="A5" i="60"/>
  <c r="B28" i="59"/>
  <c r="B30" i="59"/>
  <c r="C30" i="59"/>
  <c r="F30" i="59"/>
  <c r="B32" i="59"/>
  <c r="C32" i="59"/>
  <c r="F32" i="59"/>
  <c r="B26" i="59"/>
  <c r="J7" i="59"/>
  <c r="A7" i="59"/>
  <c r="A13" i="59"/>
  <c r="A14" i="59"/>
  <c r="A15" i="59"/>
  <c r="A16" i="59"/>
  <c r="A17" i="59"/>
  <c r="A18" i="59"/>
  <c r="A19" i="59"/>
  <c r="A20" i="59"/>
  <c r="A21" i="59"/>
  <c r="A22" i="59"/>
  <c r="M23" i="59"/>
  <c r="L23" i="59"/>
  <c r="K23" i="59"/>
  <c r="J23" i="59"/>
  <c r="I23" i="59"/>
  <c r="H23" i="59"/>
  <c r="G23" i="59"/>
  <c r="F23" i="59"/>
  <c r="E23" i="59"/>
  <c r="B19" i="20"/>
  <c r="B20" i="20"/>
  <c r="B21" i="20"/>
  <c r="B22" i="20"/>
  <c r="B23" i="20"/>
  <c r="B24" i="20"/>
  <c r="B25" i="20"/>
  <c r="B26" i="20"/>
  <c r="B10" i="20"/>
  <c r="B11" i="20"/>
  <c r="B12" i="20"/>
  <c r="B13" i="20"/>
  <c r="B14" i="20"/>
  <c r="B15" i="20"/>
  <c r="B16" i="20"/>
  <c r="B17" i="20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B22" i="18"/>
  <c r="B23" i="18"/>
  <c r="B24" i="18"/>
  <c r="B25" i="18"/>
  <c r="B26" i="18"/>
  <c r="B27" i="18"/>
  <c r="B28" i="18"/>
  <c r="B29" i="18"/>
  <c r="B13" i="18"/>
  <c r="B14" i="18"/>
  <c r="B15" i="18"/>
  <c r="B16" i="18"/>
  <c r="B17" i="18"/>
  <c r="B18" i="18"/>
  <c r="B19" i="18"/>
  <c r="B20" i="18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K12" i="11"/>
  <c r="G7" i="11"/>
  <c r="J19" i="11"/>
  <c r="H30" i="15"/>
  <c r="H29" i="15"/>
  <c r="H28" i="15"/>
  <c r="H27" i="15"/>
  <c r="H26" i="15"/>
  <c r="H25" i="15"/>
  <c r="H24" i="15"/>
  <c r="H23" i="15"/>
  <c r="H22" i="15"/>
  <c r="B22" i="15"/>
  <c r="B23" i="15"/>
  <c r="B24" i="15"/>
  <c r="B25" i="15"/>
  <c r="B26" i="15"/>
  <c r="B27" i="15"/>
  <c r="B28" i="15"/>
  <c r="B29" i="15"/>
  <c r="B30" i="15"/>
  <c r="H21" i="15"/>
  <c r="H20" i="15"/>
  <c r="H19" i="15"/>
  <c r="H18" i="15"/>
  <c r="H17" i="15"/>
  <c r="H16" i="15"/>
  <c r="H15" i="15"/>
  <c r="H14" i="15"/>
  <c r="H13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B13" i="15"/>
  <c r="B14" i="15"/>
  <c r="B15" i="15"/>
  <c r="B16" i="15"/>
  <c r="B17" i="15"/>
  <c r="B18" i="15"/>
  <c r="B19" i="15"/>
  <c r="B20" i="15"/>
  <c r="H12" i="15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14" i="14"/>
  <c r="H13" i="14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B21" i="14"/>
  <c r="B22" i="14"/>
  <c r="B23" i="14"/>
  <c r="B24" i="14"/>
  <c r="B25" i="14"/>
  <c r="B26" i="14"/>
  <c r="B27" i="14"/>
  <c r="B28" i="14"/>
  <c r="B29" i="14"/>
  <c r="B12" i="14"/>
  <c r="B13" i="14"/>
  <c r="B14" i="14"/>
  <c r="B15" i="14"/>
  <c r="B16" i="14"/>
  <c r="B17" i="14"/>
  <c r="B18" i="14"/>
  <c r="B19" i="14"/>
  <c r="B12" i="13"/>
  <c r="C40" i="13"/>
  <c r="B21" i="13"/>
  <c r="B22" i="13"/>
  <c r="B23" i="13"/>
  <c r="B24" i="13"/>
  <c r="B25" i="13"/>
  <c r="B26" i="13"/>
  <c r="B27" i="13"/>
  <c r="B28" i="13"/>
  <c r="B29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H29" i="12"/>
  <c r="H28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14" i="12"/>
  <c r="H13" i="12"/>
  <c r="H12" i="12"/>
  <c r="H11" i="13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B21" i="12"/>
  <c r="B22" i="12"/>
  <c r="B12" i="12"/>
  <c r="B13" i="12"/>
  <c r="B14" i="12"/>
  <c r="B15" i="12"/>
  <c r="B16" i="12"/>
  <c r="B17" i="12"/>
  <c r="B18" i="12"/>
  <c r="B19" i="12"/>
  <c r="A17" i="55"/>
  <c r="A18" i="55"/>
  <c r="A19" i="55"/>
  <c r="A20" i="55"/>
  <c r="A21" i="55"/>
  <c r="A22" i="55"/>
  <c r="A25" i="55"/>
  <c r="A26" i="55"/>
  <c r="A27" i="55"/>
  <c r="A28" i="55"/>
  <c r="A29" i="55"/>
  <c r="A30" i="55"/>
  <c r="A31" i="55"/>
  <c r="A34" i="55"/>
  <c r="A35" i="55"/>
  <c r="A36" i="55"/>
  <c r="A39" i="55"/>
  <c r="A40" i="55"/>
  <c r="A12" i="55"/>
  <c r="A13" i="55"/>
  <c r="A14" i="55"/>
  <c r="A13" i="56"/>
  <c r="A14" i="56"/>
  <c r="A15" i="56"/>
  <c r="A16" i="56"/>
  <c r="A17" i="56"/>
  <c r="A18" i="56"/>
  <c r="A19" i="56"/>
  <c r="A20" i="56"/>
  <c r="A21" i="56"/>
  <c r="A22" i="56"/>
  <c r="A23" i="56"/>
  <c r="A24" i="56"/>
  <c r="C3" i="55"/>
  <c r="E44" i="3"/>
  <c r="E34" i="3"/>
  <c r="E36" i="3"/>
  <c r="E38" i="3"/>
  <c r="E37" i="3"/>
  <c r="E12" i="3"/>
  <c r="E13" i="3"/>
  <c r="E16" i="3"/>
  <c r="E14" i="3"/>
  <c r="E15" i="3"/>
  <c r="D14" i="3"/>
  <c r="D12" i="3"/>
  <c r="D16" i="3"/>
  <c r="D13" i="3"/>
  <c r="D15" i="3"/>
  <c r="E87" i="3"/>
  <c r="E88" i="3"/>
  <c r="E89" i="3"/>
  <c r="E90" i="3"/>
  <c r="E91" i="3"/>
  <c r="E92" i="3"/>
  <c r="E93" i="3"/>
  <c r="E94" i="3"/>
  <c r="E73" i="3"/>
  <c r="F4" i="21"/>
  <c r="B28" i="32"/>
  <c r="C28" i="32"/>
  <c r="E28" i="32"/>
  <c r="B30" i="32"/>
  <c r="C30" i="32"/>
  <c r="E30" i="32"/>
  <c r="B32" i="32"/>
  <c r="C32" i="32"/>
  <c r="E32" i="32"/>
  <c r="B26" i="32"/>
  <c r="I25" i="32"/>
  <c r="H25" i="32"/>
  <c r="G25" i="32"/>
  <c r="F25" i="32"/>
  <c r="F24" i="32"/>
  <c r="G24" i="32"/>
  <c r="H24" i="32"/>
  <c r="I24" i="32"/>
  <c r="B24" i="32"/>
  <c r="B61" i="31"/>
  <c r="B63" i="31"/>
  <c r="C63" i="31"/>
  <c r="E63" i="31"/>
  <c r="B65" i="31"/>
  <c r="C65" i="31"/>
  <c r="E65" i="31"/>
  <c r="B67" i="31"/>
  <c r="C67" i="31"/>
  <c r="E67" i="31"/>
  <c r="B59" i="31"/>
  <c r="B355" i="30"/>
  <c r="B357" i="30"/>
  <c r="C357" i="30"/>
  <c r="E357" i="30"/>
  <c r="B359" i="30"/>
  <c r="C359" i="30"/>
  <c r="E359" i="30"/>
  <c r="B361" i="30"/>
  <c r="C361" i="30"/>
  <c r="E361" i="30"/>
  <c r="B353" i="30"/>
  <c r="B66" i="29"/>
  <c r="B68" i="29"/>
  <c r="D68" i="29"/>
  <c r="F68" i="29"/>
  <c r="B70" i="29"/>
  <c r="D70" i="29"/>
  <c r="F70" i="29"/>
  <c r="B72" i="29"/>
  <c r="D72" i="29"/>
  <c r="F72" i="29"/>
  <c r="B64" i="29"/>
  <c r="B71" i="28"/>
  <c r="D71" i="28"/>
  <c r="E71" i="28"/>
  <c r="B69" i="28"/>
  <c r="D69" i="28"/>
  <c r="E69" i="28"/>
  <c r="B65" i="28"/>
  <c r="B67" i="28"/>
  <c r="D67" i="28"/>
  <c r="E67" i="28"/>
  <c r="B63" i="28"/>
  <c r="E48" i="27"/>
  <c r="G48" i="27"/>
  <c r="E50" i="27"/>
  <c r="G50" i="27"/>
  <c r="E52" i="27"/>
  <c r="G52" i="27"/>
  <c r="B52" i="27"/>
  <c r="B46" i="27"/>
  <c r="B48" i="27"/>
  <c r="B50" i="27"/>
  <c r="B44" i="27"/>
  <c r="C33" i="20"/>
  <c r="C35" i="20"/>
  <c r="D35" i="20"/>
  <c r="F35" i="20"/>
  <c r="C37" i="20"/>
  <c r="D37" i="20"/>
  <c r="F37" i="20"/>
  <c r="C39" i="20"/>
  <c r="D39" i="20"/>
  <c r="F39" i="20"/>
  <c r="C31" i="20"/>
  <c r="H27" i="20"/>
  <c r="G27" i="20"/>
  <c r="B34" i="19"/>
  <c r="C34" i="19"/>
  <c r="E34" i="19"/>
  <c r="E30" i="19"/>
  <c r="E32" i="19"/>
  <c r="B28" i="19"/>
  <c r="B30" i="19"/>
  <c r="C30" i="19"/>
  <c r="B32" i="19"/>
  <c r="C32" i="19"/>
  <c r="B26" i="19"/>
  <c r="D37" i="18"/>
  <c r="I37" i="18"/>
  <c r="D39" i="18"/>
  <c r="I39" i="18"/>
  <c r="D41" i="18"/>
  <c r="I41" i="18"/>
  <c r="C41" i="18"/>
  <c r="C35" i="18"/>
  <c r="C37" i="18"/>
  <c r="C39" i="18"/>
  <c r="C33" i="18"/>
  <c r="V31" i="16"/>
  <c r="Q31" i="16"/>
  <c r="U31" i="16"/>
  <c r="Q13" i="16"/>
  <c r="Q15" i="16"/>
  <c r="U15" i="16"/>
  <c r="Q17" i="16"/>
  <c r="U17" i="16"/>
  <c r="Q18" i="16"/>
  <c r="U18" i="16"/>
  <c r="Q19" i="16"/>
  <c r="U19" i="16"/>
  <c r="Q20" i="16"/>
  <c r="U20" i="16"/>
  <c r="Q21" i="16"/>
  <c r="U21" i="16"/>
  <c r="Q22" i="16"/>
  <c r="U22" i="16"/>
  <c r="Q23" i="16"/>
  <c r="U23" i="16"/>
  <c r="Q24" i="16"/>
  <c r="U24" i="16"/>
  <c r="Q25" i="16"/>
  <c r="U25" i="16"/>
  <c r="Q26" i="16"/>
  <c r="U26" i="16"/>
  <c r="Q27" i="16"/>
  <c r="U27" i="16"/>
  <c r="Q28" i="16"/>
  <c r="U28" i="16"/>
  <c r="Q29" i="16"/>
  <c r="U29" i="16"/>
  <c r="Q30" i="16"/>
  <c r="U30" i="16"/>
  <c r="J13" i="16"/>
  <c r="M13" i="16"/>
  <c r="W34" i="16"/>
  <c r="X34" i="16"/>
  <c r="G39" i="16"/>
  <c r="J39" i="16"/>
  <c r="G41" i="16"/>
  <c r="J41" i="16"/>
  <c r="G43" i="16"/>
  <c r="J43" i="16"/>
  <c r="B37" i="16"/>
  <c r="B39" i="16"/>
  <c r="B41" i="16"/>
  <c r="B43" i="16"/>
  <c r="B35" i="16"/>
  <c r="D71" i="9"/>
  <c r="F71" i="9"/>
  <c r="D73" i="9"/>
  <c r="F73" i="9"/>
  <c r="D75" i="9"/>
  <c r="F75" i="9"/>
  <c r="B69" i="9"/>
  <c r="B71" i="9"/>
  <c r="B73" i="9"/>
  <c r="B75" i="9"/>
  <c r="B67" i="9"/>
  <c r="F41" i="8"/>
  <c r="F42" i="8"/>
  <c r="F90" i="8"/>
  <c r="F98" i="8"/>
  <c r="F93" i="8"/>
  <c r="C105" i="8"/>
  <c r="E105" i="8"/>
  <c r="C107" i="8"/>
  <c r="E107" i="8"/>
  <c r="C109" i="8"/>
  <c r="E109" i="8"/>
  <c r="B109" i="8"/>
  <c r="B103" i="8"/>
  <c r="B105" i="8"/>
  <c r="B107" i="8"/>
  <c r="B101" i="8"/>
  <c r="C75" i="7"/>
  <c r="E75" i="7"/>
  <c r="C77" i="7"/>
  <c r="E77" i="7"/>
  <c r="C79" i="7"/>
  <c r="E79" i="7"/>
  <c r="B73" i="7"/>
  <c r="B75" i="7"/>
  <c r="B77" i="7"/>
  <c r="B79" i="7"/>
  <c r="B71" i="7"/>
  <c r="B34" i="10"/>
  <c r="E34" i="10"/>
  <c r="G34" i="10"/>
  <c r="B28" i="10"/>
  <c r="B30" i="10"/>
  <c r="E30" i="10"/>
  <c r="G30" i="10"/>
  <c r="B32" i="10"/>
  <c r="E32" i="10"/>
  <c r="G32" i="10"/>
  <c r="B26" i="10"/>
  <c r="C53" i="5"/>
  <c r="E53" i="5"/>
  <c r="C55" i="5"/>
  <c r="E55" i="5"/>
  <c r="C57" i="5"/>
  <c r="E57" i="5"/>
  <c r="B51" i="5"/>
  <c r="B53" i="5"/>
  <c r="B55" i="5"/>
  <c r="B57" i="5"/>
  <c r="B49" i="5"/>
  <c r="D39" i="5"/>
  <c r="E35" i="5"/>
  <c r="D35" i="5"/>
  <c r="E28" i="5"/>
  <c r="E29" i="5"/>
  <c r="E30" i="5"/>
  <c r="E37" i="5"/>
  <c r="E31" i="5"/>
  <c r="E32" i="5"/>
  <c r="E33" i="5"/>
  <c r="E34" i="5"/>
  <c r="E36" i="5"/>
  <c r="D33" i="5"/>
  <c r="D32" i="5"/>
  <c r="D31" i="5"/>
  <c r="D30" i="5"/>
  <c r="D29" i="5"/>
  <c r="D28" i="5"/>
  <c r="E24" i="5"/>
  <c r="E25" i="5"/>
  <c r="E26" i="5"/>
  <c r="D26" i="5"/>
  <c r="D25" i="5"/>
  <c r="D24" i="5"/>
  <c r="E21" i="5"/>
  <c r="E22" i="5"/>
  <c r="T34" i="16"/>
  <c r="D22" i="5"/>
  <c r="D21" i="5"/>
  <c r="E16" i="5"/>
  <c r="N33" i="16"/>
  <c r="E17" i="5"/>
  <c r="O33" i="16"/>
  <c r="E18" i="5"/>
  <c r="P34" i="16"/>
  <c r="D18" i="5"/>
  <c r="D17" i="5"/>
  <c r="D16" i="5"/>
  <c r="D19" i="5"/>
  <c r="D23" i="5"/>
  <c r="E13" i="5"/>
  <c r="K33" i="16"/>
  <c r="E14" i="5"/>
  <c r="L34" i="16"/>
  <c r="D14" i="5"/>
  <c r="D13" i="5"/>
  <c r="E9" i="5"/>
  <c r="D10" i="5"/>
  <c r="D9" i="5"/>
  <c r="D12" i="5"/>
  <c r="D15" i="5"/>
  <c r="D5" i="4"/>
  <c r="C5" i="4"/>
  <c r="D103" i="4"/>
  <c r="B103" i="4"/>
  <c r="A103" i="4"/>
  <c r="D99" i="4"/>
  <c r="D101" i="4"/>
  <c r="B99" i="4"/>
  <c r="B101" i="4"/>
  <c r="A101" i="4"/>
  <c r="A99" i="4"/>
  <c r="A97" i="4"/>
  <c r="A95" i="4"/>
  <c r="D94" i="3"/>
  <c r="D93" i="3"/>
  <c r="D92" i="3"/>
  <c r="D91" i="3"/>
  <c r="D90" i="3"/>
  <c r="D89" i="3"/>
  <c r="D88" i="3"/>
  <c r="D87" i="3"/>
  <c r="E74" i="3"/>
  <c r="D74" i="3"/>
  <c r="D73" i="3"/>
  <c r="D72" i="3"/>
  <c r="D71" i="3"/>
  <c r="D70" i="3"/>
  <c r="D69" i="3"/>
  <c r="D68" i="3"/>
  <c r="D67" i="3"/>
  <c r="D66" i="3"/>
  <c r="D65" i="3"/>
  <c r="D64" i="3"/>
  <c r="E56" i="3"/>
  <c r="E57" i="3"/>
  <c r="E58" i="3"/>
  <c r="E59" i="3"/>
  <c r="E60" i="3"/>
  <c r="E61" i="3"/>
  <c r="D61" i="3"/>
  <c r="D60" i="3"/>
  <c r="D59" i="3"/>
  <c r="D58" i="3"/>
  <c r="D57" i="3"/>
  <c r="D56" i="3"/>
  <c r="E52" i="3"/>
  <c r="E53" i="3"/>
  <c r="D53" i="3"/>
  <c r="D52" i="3"/>
  <c r="D51" i="3"/>
  <c r="D23" i="3"/>
  <c r="D24" i="3"/>
  <c r="E45" i="3"/>
  <c r="E46" i="3"/>
  <c r="D46" i="3"/>
  <c r="D44" i="3"/>
  <c r="E40" i="3"/>
  <c r="E42" i="3"/>
  <c r="D42" i="3"/>
  <c r="D35" i="3"/>
  <c r="D38" i="3"/>
  <c r="D37" i="3"/>
  <c r="D36" i="3"/>
  <c r="D34" i="3"/>
  <c r="E26" i="3"/>
  <c r="E27" i="3"/>
  <c r="E28" i="3"/>
  <c r="E29" i="3"/>
  <c r="E30" i="3"/>
  <c r="D30" i="3"/>
  <c r="D31" i="3"/>
  <c r="D29" i="3"/>
  <c r="D28" i="3"/>
  <c r="D26" i="3"/>
  <c r="D19" i="3"/>
  <c r="D18" i="3"/>
  <c r="A7" i="14"/>
  <c r="A7" i="15"/>
  <c r="B99" i="3"/>
  <c r="C101" i="3"/>
  <c r="E101" i="3"/>
  <c r="C103" i="3"/>
  <c r="E103" i="3"/>
  <c r="C105" i="3"/>
  <c r="E105" i="3"/>
  <c r="B101" i="3"/>
  <c r="B103" i="3"/>
  <c r="B105" i="3"/>
  <c r="D165" i="1"/>
  <c r="D167" i="1"/>
  <c r="D169" i="1"/>
  <c r="B165" i="1"/>
  <c r="B167" i="1"/>
  <c r="B169" i="1"/>
  <c r="A167" i="1"/>
  <c r="A169" i="1"/>
  <c r="A165" i="1"/>
  <c r="A163" i="1"/>
  <c r="A161" i="1"/>
  <c r="E31" i="11"/>
  <c r="C31" i="11"/>
  <c r="B31" i="11"/>
  <c r="F37" i="15"/>
  <c r="F39" i="15"/>
  <c r="F41" i="15"/>
  <c r="C41" i="15"/>
  <c r="B27" i="11"/>
  <c r="C27" i="11"/>
  <c r="E27" i="11"/>
  <c r="B29" i="11"/>
  <c r="C29" i="11"/>
  <c r="E29" i="11"/>
  <c r="B25" i="11"/>
  <c r="D37" i="15"/>
  <c r="D39" i="15"/>
  <c r="D41" i="15"/>
  <c r="C35" i="15"/>
  <c r="C37" i="15"/>
  <c r="C39" i="15"/>
  <c r="C33" i="15"/>
  <c r="C38" i="13"/>
  <c r="F36" i="14"/>
  <c r="D36" i="14"/>
  <c r="D38" i="14"/>
  <c r="F38" i="14"/>
  <c r="D40" i="14"/>
  <c r="F40" i="14"/>
  <c r="C38" i="14"/>
  <c r="C40" i="14"/>
  <c r="C36" i="14"/>
  <c r="F38" i="13"/>
  <c r="F40" i="13"/>
  <c r="D38" i="13"/>
  <c r="D40" i="13"/>
  <c r="D36" i="13"/>
  <c r="F36" i="13"/>
  <c r="C36" i="13"/>
  <c r="C34" i="13"/>
  <c r="C34" i="14"/>
  <c r="D10" i="8"/>
  <c r="C5" i="56"/>
  <c r="C5" i="55"/>
  <c r="C3" i="56"/>
  <c r="A3" i="56"/>
  <c r="A3" i="55"/>
  <c r="A4" i="21"/>
  <c r="C5" i="32"/>
  <c r="A5" i="32"/>
  <c r="H5" i="31"/>
  <c r="A5" i="31"/>
  <c r="D5" i="30"/>
  <c r="A5" i="30"/>
  <c r="I6" i="29"/>
  <c r="A6" i="29"/>
  <c r="E5" i="28"/>
  <c r="A5" i="28"/>
  <c r="O5" i="27"/>
  <c r="A5" i="27"/>
  <c r="H5" i="20"/>
  <c r="A5" i="20"/>
  <c r="C7" i="19"/>
  <c r="A7" i="19"/>
  <c r="H7" i="18"/>
  <c r="A7" i="18"/>
  <c r="U7" i="16"/>
  <c r="A7" i="16"/>
  <c r="G5" i="9"/>
  <c r="A5" i="9"/>
  <c r="D5" i="8"/>
  <c r="A5" i="8"/>
  <c r="C5" i="7"/>
  <c r="A5" i="7"/>
  <c r="J3" i="10"/>
  <c r="A3" i="10"/>
  <c r="D4" i="5"/>
  <c r="A4" i="5"/>
  <c r="C3" i="4"/>
  <c r="A3" i="4"/>
  <c r="A6" i="3"/>
  <c r="C5" i="1"/>
  <c r="A5" i="1"/>
  <c r="A7" i="11"/>
  <c r="K7" i="15"/>
  <c r="F7" i="14"/>
  <c r="F7" i="13"/>
  <c r="A7" i="13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E7" i="7"/>
  <c r="D7" i="7"/>
  <c r="E6" i="5"/>
  <c r="D6" i="5"/>
  <c r="E8" i="3"/>
  <c r="D8" i="3"/>
  <c r="C14" i="32"/>
  <c r="C11" i="32"/>
  <c r="D11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K30" i="18"/>
  <c r="K14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12" i="18"/>
  <c r="A13" i="9"/>
  <c r="A14" i="9"/>
  <c r="A15" i="9"/>
  <c r="A16" i="9"/>
  <c r="A27" i="9"/>
  <c r="A28" i="9"/>
  <c r="A29" i="9"/>
  <c r="A30" i="9"/>
  <c r="A31" i="9"/>
  <c r="A32" i="9"/>
  <c r="A33" i="9"/>
  <c r="A34" i="9"/>
  <c r="K10" i="10"/>
  <c r="K11" i="10"/>
  <c r="K12" i="10"/>
  <c r="K13" i="10"/>
  <c r="K14" i="10"/>
  <c r="K16" i="10"/>
  <c r="K19" i="10"/>
  <c r="K20" i="10"/>
  <c r="K21" i="10"/>
  <c r="K22" i="10"/>
  <c r="K7" i="10"/>
  <c r="C8" i="55"/>
  <c r="D232" i="30"/>
  <c r="D233" i="30"/>
  <c r="E233" i="30"/>
  <c r="D234" i="30"/>
  <c r="E234" i="30"/>
  <c r="D235" i="30"/>
  <c r="E235" i="30"/>
  <c r="D236" i="30"/>
  <c r="D237" i="30"/>
  <c r="E237" i="30"/>
  <c r="D238" i="30"/>
  <c r="E238" i="30"/>
  <c r="D239" i="30"/>
  <c r="E239" i="30"/>
  <c r="D240" i="30"/>
  <c r="E240" i="30"/>
  <c r="D241" i="30"/>
  <c r="E241" i="30"/>
  <c r="D242" i="30"/>
  <c r="E242" i="30"/>
  <c r="D244" i="30"/>
  <c r="E244" i="30"/>
  <c r="D245" i="30"/>
  <c r="D246" i="30"/>
  <c r="D247" i="30"/>
  <c r="E247" i="30"/>
  <c r="D248" i="30"/>
  <c r="E248" i="30"/>
  <c r="D249" i="30"/>
  <c r="E249" i="30"/>
  <c r="D250" i="30"/>
  <c r="E250" i="30"/>
  <c r="D251" i="30"/>
  <c r="E251" i="30"/>
  <c r="D252" i="30"/>
  <c r="E252" i="30"/>
  <c r="D253" i="30"/>
  <c r="E253" i="30"/>
  <c r="D254" i="30"/>
  <c r="D102" i="30"/>
  <c r="E102" i="30"/>
  <c r="H19" i="31"/>
  <c r="B12" i="8"/>
  <c r="B23" i="8"/>
  <c r="B17" i="8"/>
  <c r="B15" i="8"/>
  <c r="B11" i="8"/>
  <c r="B14" i="8"/>
  <c r="B19" i="8"/>
  <c r="B18" i="8"/>
  <c r="B21" i="8"/>
  <c r="B16" i="8"/>
  <c r="B22" i="8"/>
  <c r="B13" i="8"/>
  <c r="B20" i="8"/>
  <c r="C22" i="32"/>
  <c r="B22" i="32"/>
  <c r="C21" i="32"/>
  <c r="C20" i="32"/>
  <c r="B20" i="32"/>
  <c r="C19" i="32"/>
  <c r="B19" i="32"/>
  <c r="C18" i="32"/>
  <c r="B18" i="32"/>
  <c r="C17" i="32"/>
  <c r="B17" i="32"/>
  <c r="E16" i="32"/>
  <c r="B16" i="32"/>
  <c r="E15" i="32"/>
  <c r="E14" i="32"/>
  <c r="B15" i="32"/>
  <c r="B14" i="32"/>
  <c r="E13" i="32"/>
  <c r="E11" i="32"/>
  <c r="B13" i="32"/>
  <c r="E12" i="32"/>
  <c r="B12" i="32"/>
  <c r="B11" i="32"/>
  <c r="C10" i="32"/>
  <c r="B10" i="32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K35" i="31"/>
  <c r="H35" i="31"/>
  <c r="G35" i="31"/>
  <c r="E35" i="31"/>
  <c r="D35" i="31"/>
  <c r="K34" i="31"/>
  <c r="H34" i="31"/>
  <c r="G34" i="31"/>
  <c r="E34" i="31"/>
  <c r="D34" i="31"/>
  <c r="K33" i="31"/>
  <c r="H33" i="31"/>
  <c r="G33" i="31"/>
  <c r="E33" i="31"/>
  <c r="D33" i="31"/>
  <c r="K32" i="31"/>
  <c r="H32" i="31"/>
  <c r="G32" i="31"/>
  <c r="E32" i="31"/>
  <c r="D32" i="31"/>
  <c r="B31" i="31"/>
  <c r="K30" i="31"/>
  <c r="H30" i="31"/>
  <c r="G30" i="31"/>
  <c r="E30" i="31"/>
  <c r="D30" i="31"/>
  <c r="K29" i="31"/>
  <c r="H29" i="31"/>
  <c r="G29" i="31"/>
  <c r="E29" i="31"/>
  <c r="D29" i="31"/>
  <c r="K28" i="31"/>
  <c r="H28" i="31"/>
  <c r="G28" i="31"/>
  <c r="E28" i="31"/>
  <c r="D28" i="31"/>
  <c r="K27" i="31"/>
  <c r="H27" i="31"/>
  <c r="G27" i="31"/>
  <c r="E27" i="31"/>
  <c r="D27" i="31"/>
  <c r="B26" i="31"/>
  <c r="K25" i="31"/>
  <c r="K24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351" i="30"/>
  <c r="B350" i="30"/>
  <c r="B349" i="30"/>
  <c r="C338" i="30"/>
  <c r="B338" i="30"/>
  <c r="B337" i="30"/>
  <c r="C326" i="30"/>
  <c r="B326" i="30"/>
  <c r="B325" i="30"/>
  <c r="C314" i="30"/>
  <c r="B314" i="30"/>
  <c r="B313" i="30"/>
  <c r="C302" i="30"/>
  <c r="B302" i="30"/>
  <c r="B301" i="30"/>
  <c r="C295" i="30"/>
  <c r="B295" i="30"/>
  <c r="B294" i="30"/>
  <c r="C288" i="30"/>
  <c r="B288" i="30"/>
  <c r="B287" i="30"/>
  <c r="C281" i="30"/>
  <c r="B281" i="30"/>
  <c r="B280" i="30"/>
  <c r="C274" i="30"/>
  <c r="B274" i="30"/>
  <c r="B273" i="30"/>
  <c r="C267" i="30"/>
  <c r="B267" i="30"/>
  <c r="B266" i="30"/>
  <c r="C255" i="30"/>
  <c r="B255" i="30"/>
  <c r="B254" i="30"/>
  <c r="C243" i="30"/>
  <c r="B243" i="30"/>
  <c r="B242" i="30"/>
  <c r="E236" i="30"/>
  <c r="E232" i="30"/>
  <c r="C231" i="30"/>
  <c r="B231" i="30"/>
  <c r="B230" i="30"/>
  <c r="C219" i="30"/>
  <c r="B219" i="30"/>
  <c r="B218" i="30"/>
  <c r="C207" i="30"/>
  <c r="B207" i="30"/>
  <c r="B206" i="30"/>
  <c r="C195" i="30"/>
  <c r="B195" i="30"/>
  <c r="B194" i="30"/>
  <c r="C183" i="30"/>
  <c r="B183" i="30"/>
  <c r="B182" i="30"/>
  <c r="C171" i="30"/>
  <c r="B171" i="30"/>
  <c r="B170" i="30"/>
  <c r="C159" i="30"/>
  <c r="B159" i="30"/>
  <c r="B158" i="30"/>
  <c r="C147" i="30"/>
  <c r="B147" i="30"/>
  <c r="B146" i="30"/>
  <c r="C135" i="30"/>
  <c r="B135" i="30"/>
  <c r="B134" i="30"/>
  <c r="C123" i="30"/>
  <c r="B123" i="30"/>
  <c r="B122" i="30"/>
  <c r="C111" i="30"/>
  <c r="B111" i="30"/>
  <c r="B110" i="30"/>
  <c r="C104" i="30"/>
  <c r="B104" i="30"/>
  <c r="B103" i="30"/>
  <c r="B102" i="30"/>
  <c r="B101" i="30"/>
  <c r="C90" i="30"/>
  <c r="B90" i="30"/>
  <c r="B89" i="30"/>
  <c r="C83" i="30"/>
  <c r="B83" i="30"/>
  <c r="B82" i="30"/>
  <c r="C76" i="30"/>
  <c r="B76" i="30"/>
  <c r="B75" i="30"/>
  <c r="C69" i="30"/>
  <c r="B69" i="30"/>
  <c r="B68" i="30"/>
  <c r="C62" i="30"/>
  <c r="B62" i="30"/>
  <c r="B61" i="30"/>
  <c r="C55" i="30"/>
  <c r="B55" i="30"/>
  <c r="B54" i="30"/>
  <c r="B53" i="30"/>
  <c r="C42" i="30"/>
  <c r="B42" i="30"/>
  <c r="B41" i="30"/>
  <c r="B30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B10" i="30"/>
  <c r="B9" i="30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9" i="20"/>
  <c r="D24" i="19"/>
  <c r="A13" i="19"/>
  <c r="A14" i="19"/>
  <c r="A15" i="19"/>
  <c r="A16" i="19"/>
  <c r="A17" i="19"/>
  <c r="A18" i="19"/>
  <c r="A19" i="19"/>
  <c r="A20" i="19"/>
  <c r="A21" i="19"/>
  <c r="A22" i="19"/>
  <c r="A23" i="19"/>
  <c r="V15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13" i="16"/>
  <c r="E17" i="11"/>
  <c r="F17" i="11"/>
  <c r="D17" i="11"/>
  <c r="G17" i="11"/>
  <c r="E14" i="11"/>
  <c r="F14" i="11"/>
  <c r="D14" i="11"/>
  <c r="H11" i="14"/>
  <c r="E16" i="11"/>
  <c r="F16" i="11"/>
  <c r="D16" i="11"/>
  <c r="G16" i="11"/>
  <c r="E15" i="11"/>
  <c r="F15" i="11"/>
  <c r="D15" i="11"/>
  <c r="C13" i="11"/>
  <c r="C14" i="11"/>
  <c r="C15" i="11"/>
  <c r="C16" i="11"/>
  <c r="C17" i="11"/>
  <c r="C18" i="11"/>
  <c r="C19" i="11"/>
  <c r="K13" i="11"/>
  <c r="K14" i="11"/>
  <c r="K15" i="11"/>
  <c r="K16" i="11"/>
  <c r="K17" i="11"/>
  <c r="K18" i="11"/>
  <c r="G18" i="11"/>
  <c r="D139" i="1"/>
  <c r="E83" i="3"/>
  <c r="H19" i="11"/>
  <c r="I19" i="11"/>
  <c r="F9" i="8"/>
  <c r="I54" i="9"/>
  <c r="I55" i="9"/>
  <c r="I56" i="9"/>
  <c r="I57" i="9"/>
  <c r="I58" i="9"/>
  <c r="I59" i="9"/>
  <c r="I60" i="9"/>
  <c r="I61" i="9"/>
  <c r="I62" i="9"/>
  <c r="I53" i="9"/>
  <c r="E63" i="9"/>
  <c r="E65" i="9"/>
  <c r="F63" i="9"/>
  <c r="F65" i="9"/>
  <c r="G63" i="9"/>
  <c r="G65" i="9"/>
  <c r="H63" i="9"/>
  <c r="H65" i="9"/>
  <c r="D63" i="9"/>
  <c r="D65" i="9"/>
  <c r="I47" i="9"/>
  <c r="D32" i="1"/>
  <c r="E19" i="3"/>
  <c r="I48" i="9"/>
  <c r="I46" i="9"/>
  <c r="D30" i="1"/>
  <c r="E18" i="3"/>
  <c r="F67" i="60"/>
  <c r="G21" i="60"/>
  <c r="E49" i="9"/>
  <c r="E51" i="9"/>
  <c r="F49" i="9"/>
  <c r="F51" i="9"/>
  <c r="G49" i="9"/>
  <c r="G51" i="9"/>
  <c r="H49" i="9"/>
  <c r="H51" i="9"/>
  <c r="D49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12" i="9"/>
  <c r="C13" i="9"/>
  <c r="C14" i="9"/>
  <c r="C15" i="9"/>
  <c r="C16" i="9"/>
  <c r="C17" i="9"/>
  <c r="C18" i="9"/>
  <c r="C19" i="9"/>
  <c r="I27" i="9"/>
  <c r="I28" i="9"/>
  <c r="I29" i="9"/>
  <c r="I30" i="9"/>
  <c r="I31" i="9"/>
  <c r="I32" i="9"/>
  <c r="I33" i="9"/>
  <c r="I34" i="9"/>
  <c r="I35" i="9"/>
  <c r="I26" i="9"/>
  <c r="E36" i="9"/>
  <c r="F36" i="9"/>
  <c r="F38" i="9"/>
  <c r="G36" i="9"/>
  <c r="G38" i="9"/>
  <c r="H36" i="9"/>
  <c r="H38" i="9"/>
  <c r="D36" i="9"/>
  <c r="D38" i="9"/>
  <c r="I13" i="9"/>
  <c r="I14" i="9"/>
  <c r="I15" i="9"/>
  <c r="I16" i="9"/>
  <c r="I12" i="9"/>
  <c r="E17" i="9"/>
  <c r="F17" i="9"/>
  <c r="G17" i="9"/>
  <c r="G19" i="9"/>
  <c r="H17" i="9"/>
  <c r="H19" i="9"/>
  <c r="D17" i="9"/>
  <c r="A54" i="9"/>
  <c r="A63" i="9"/>
  <c r="A47" i="9"/>
  <c r="A48" i="9"/>
  <c r="A49" i="9"/>
  <c r="A50" i="9"/>
  <c r="A51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F12" i="8"/>
  <c r="F13" i="8"/>
  <c r="F14" i="8"/>
  <c r="F16" i="8"/>
  <c r="F17" i="8"/>
  <c r="F18" i="8"/>
  <c r="F19" i="8"/>
  <c r="F20" i="8"/>
  <c r="F21" i="8"/>
  <c r="F22" i="8"/>
  <c r="F23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9" i="8"/>
  <c r="F40" i="8"/>
  <c r="F43" i="8"/>
  <c r="F44" i="8"/>
  <c r="F45" i="8"/>
  <c r="F46" i="8"/>
  <c r="F47" i="8"/>
  <c r="F48" i="8"/>
  <c r="F49" i="8"/>
  <c r="F50" i="8"/>
  <c r="F51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7" i="8"/>
  <c r="F68" i="8"/>
  <c r="F69" i="8"/>
  <c r="F70" i="8"/>
  <c r="F71" i="8"/>
  <c r="F72" i="8"/>
  <c r="F73" i="8"/>
  <c r="F74" i="8"/>
  <c r="F75" i="8"/>
  <c r="F76" i="8"/>
  <c r="F77" i="8"/>
  <c r="F78" i="8"/>
  <c r="F80" i="8"/>
  <c r="F81" i="8"/>
  <c r="F82" i="8"/>
  <c r="F83" i="8"/>
  <c r="F84" i="8"/>
  <c r="F85" i="8"/>
  <c r="F86" i="8"/>
  <c r="F87" i="8"/>
  <c r="F88" i="8"/>
  <c r="F89" i="8"/>
  <c r="F11" i="8"/>
  <c r="E10" i="8"/>
  <c r="E24" i="8"/>
  <c r="E38" i="8"/>
  <c r="E52" i="8"/>
  <c r="E66" i="8"/>
  <c r="E79" i="8"/>
  <c r="E90" i="8"/>
  <c r="E93" i="8"/>
  <c r="D93" i="8"/>
  <c r="D90" i="8"/>
  <c r="D79" i="8"/>
  <c r="F79" i="8"/>
  <c r="D66" i="8"/>
  <c r="F66" i="8"/>
  <c r="D52" i="8"/>
  <c r="F52" i="8"/>
  <c r="D38" i="8"/>
  <c r="D24" i="8"/>
  <c r="F24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A24" i="8"/>
  <c r="D19" i="9"/>
  <c r="A90" i="8"/>
  <c r="A66" i="8"/>
  <c r="A76" i="8"/>
  <c r="E10" i="7"/>
  <c r="E35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8" i="7"/>
  <c r="C59" i="7"/>
  <c r="C60" i="7"/>
  <c r="C61" i="7"/>
  <c r="C62" i="7"/>
  <c r="C64" i="7"/>
  <c r="C65" i="7"/>
  <c r="C66" i="7"/>
  <c r="C67" i="7"/>
  <c r="D9" i="10"/>
  <c r="E9" i="10"/>
  <c r="E15" i="10"/>
  <c r="E17" i="10"/>
  <c r="E23" i="10"/>
  <c r="F9" i="10"/>
  <c r="F15" i="10"/>
  <c r="F17" i="10"/>
  <c r="F23" i="10"/>
  <c r="G9" i="10"/>
  <c r="G15" i="10"/>
  <c r="G17" i="10"/>
  <c r="G23" i="10"/>
  <c r="H9" i="10"/>
  <c r="H15" i="10"/>
  <c r="H17" i="10"/>
  <c r="H23" i="10"/>
  <c r="I9" i="10"/>
  <c r="I15" i="10"/>
  <c r="I17" i="10"/>
  <c r="I23" i="10"/>
  <c r="J9" i="10"/>
  <c r="J15" i="10"/>
  <c r="J17" i="10"/>
  <c r="C9" i="10"/>
  <c r="C15" i="10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E51" i="3"/>
  <c r="E54" i="3"/>
  <c r="E64" i="3"/>
  <c r="E75" i="3"/>
  <c r="E65" i="3"/>
  <c r="E66" i="3"/>
  <c r="E67" i="3"/>
  <c r="E68" i="3"/>
  <c r="E69" i="3"/>
  <c r="E70" i="3"/>
  <c r="E71" i="3"/>
  <c r="E72" i="3"/>
  <c r="E76" i="3"/>
  <c r="E77" i="3"/>
  <c r="D77" i="3"/>
  <c r="D76" i="3"/>
  <c r="D40" i="3"/>
  <c r="D27" i="3"/>
  <c r="C85" i="3"/>
  <c r="C86" i="3"/>
  <c r="C87" i="3"/>
  <c r="C88" i="3"/>
  <c r="C89" i="3"/>
  <c r="C90" i="3"/>
  <c r="C91" i="3"/>
  <c r="C92" i="3"/>
  <c r="C93" i="3"/>
  <c r="C94" i="3"/>
  <c r="C95" i="3"/>
  <c r="C96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13" i="3"/>
  <c r="C11" i="3"/>
  <c r="I37" i="9"/>
  <c r="D74" i="1"/>
  <c r="E38" i="9"/>
  <c r="I50" i="9"/>
  <c r="I64" i="9"/>
  <c r="D41" i="1"/>
  <c r="E23" i="3"/>
  <c r="E24" i="3"/>
  <c r="E19" i="9"/>
  <c r="I18" i="9"/>
  <c r="G19" i="31"/>
  <c r="E246" i="30"/>
  <c r="C29" i="55"/>
  <c r="A64" i="9"/>
  <c r="A65" i="9"/>
  <c r="B23" i="12"/>
  <c r="B24" i="12"/>
  <c r="B25" i="12"/>
  <c r="B26" i="12"/>
  <c r="B27" i="12"/>
  <c r="B28" i="12"/>
  <c r="B13" i="13"/>
  <c r="B14" i="13"/>
  <c r="B15" i="13"/>
  <c r="B16" i="13"/>
  <c r="B17" i="13"/>
  <c r="B18" i="13"/>
  <c r="B19" i="13"/>
  <c r="H30" i="14"/>
  <c r="D138" i="1"/>
  <c r="G43" i="27"/>
  <c r="F87" i="21"/>
  <c r="G42" i="27"/>
  <c r="X33" i="16"/>
  <c r="P33" i="16"/>
  <c r="F36" i="21"/>
  <c r="F86" i="21"/>
  <c r="F35" i="21"/>
  <c r="F85" i="21"/>
  <c r="F34" i="21"/>
  <c r="F84" i="21"/>
  <c r="F33" i="21"/>
  <c r="F83" i="21"/>
  <c r="F32" i="21"/>
  <c r="F82" i="21"/>
  <c r="F31" i="21"/>
  <c r="F81" i="21"/>
  <c r="F30" i="21"/>
  <c r="F80" i="21"/>
  <c r="F79" i="21"/>
  <c r="F29" i="21"/>
  <c r="F78" i="21"/>
  <c r="F28" i="21"/>
  <c r="F77" i="21"/>
  <c r="F27" i="21"/>
  <c r="F26" i="21"/>
  <c r="F25" i="21"/>
  <c r="F24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E9" i="21"/>
  <c r="F9" i="21"/>
  <c r="N34" i="16"/>
  <c r="E95" i="3"/>
  <c r="C17" i="56"/>
  <c r="L33" i="16"/>
  <c r="W33" i="16"/>
  <c r="D51" i="9"/>
  <c r="I51" i="9"/>
  <c r="I36" i="9"/>
  <c r="D73" i="1"/>
  <c r="E31" i="3"/>
  <c r="E32" i="3"/>
  <c r="E10" i="32"/>
  <c r="C31" i="55"/>
  <c r="H42" i="27"/>
  <c r="J42" i="27"/>
  <c r="E33" i="16"/>
  <c r="J43" i="27"/>
  <c r="H43" i="27"/>
  <c r="D12" i="11"/>
  <c r="D19" i="11"/>
  <c r="G14" i="11"/>
  <c r="D82" i="3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D88" i="21"/>
  <c r="F24" i="60"/>
  <c r="F38" i="60"/>
  <c r="D67" i="60"/>
  <c r="F10" i="8"/>
  <c r="C351" i="30"/>
  <c r="D231" i="30"/>
  <c r="E231" i="30"/>
  <c r="F12" i="29"/>
  <c r="D12" i="29"/>
  <c r="E9" i="28"/>
  <c r="H44" i="31"/>
  <c r="I49" i="9"/>
  <c r="C7" i="56"/>
  <c r="D75" i="3"/>
  <c r="E43" i="27"/>
  <c r="E42" i="27"/>
  <c r="D76" i="1"/>
  <c r="D157" i="1"/>
  <c r="K19" i="11"/>
  <c r="D77" i="1"/>
  <c r="D41" i="3"/>
  <c r="D43" i="3"/>
  <c r="G15" i="11"/>
  <c r="F12" i="11"/>
  <c r="F19" i="11"/>
  <c r="C158" i="1"/>
  <c r="D81" i="3"/>
  <c r="D84" i="3"/>
  <c r="G13" i="11"/>
  <c r="E19" i="11"/>
  <c r="D137" i="1"/>
  <c r="E81" i="3"/>
  <c r="E99" i="8"/>
  <c r="I38" i="9"/>
  <c r="K9" i="10"/>
  <c r="D15" i="10"/>
  <c r="D99" i="8"/>
  <c r="F38" i="8"/>
  <c r="C10" i="56"/>
  <c r="E64" i="7"/>
  <c r="E65" i="7"/>
  <c r="J12" i="63"/>
  <c r="E245" i="30"/>
  <c r="A55" i="9"/>
  <c r="A56" i="9"/>
  <c r="A57" i="9"/>
  <c r="A58" i="9"/>
  <c r="A59" i="9"/>
  <c r="A60" i="9"/>
  <c r="A61" i="9"/>
  <c r="A62" i="9"/>
  <c r="F19" i="9"/>
  <c r="D32" i="3"/>
  <c r="V32" i="16"/>
  <c r="V34" i="16"/>
  <c r="U13" i="16"/>
  <c r="U32" i="16"/>
  <c r="Q32" i="16"/>
  <c r="J32" i="16"/>
  <c r="D51" i="7"/>
  <c r="D21" i="3"/>
  <c r="D47" i="3"/>
  <c r="C9" i="55"/>
  <c r="E62" i="3"/>
  <c r="M14" i="16"/>
  <c r="M32" i="16"/>
  <c r="D17" i="10"/>
  <c r="D23" i="10"/>
  <c r="D25" i="10"/>
  <c r="D24" i="10"/>
  <c r="S34" i="16"/>
  <c r="S33" i="16"/>
  <c r="C160" i="1"/>
  <c r="C159" i="1"/>
  <c r="G44" i="31"/>
  <c r="K31" i="18"/>
  <c r="E254" i="30"/>
  <c r="D243" i="30"/>
  <c r="G28" i="20"/>
  <c r="G30" i="20"/>
  <c r="D12" i="63"/>
  <c r="I17" i="9"/>
  <c r="D62" i="3"/>
  <c r="D95" i="3"/>
  <c r="H28" i="20"/>
  <c r="H30" i="20"/>
  <c r="D27" i="5"/>
  <c r="D37" i="5"/>
  <c r="D38" i="5"/>
  <c r="D40" i="5"/>
  <c r="D42" i="5"/>
  <c r="D46" i="5"/>
  <c r="D54" i="3"/>
  <c r="D85" i="3"/>
  <c r="D96" i="3"/>
  <c r="E34" i="16"/>
  <c r="I65" i="9"/>
  <c r="H30" i="12"/>
  <c r="D135" i="1"/>
  <c r="E80" i="3"/>
  <c r="E243" i="30"/>
  <c r="H45" i="31"/>
  <c r="G45" i="31"/>
  <c r="F43" i="27"/>
  <c r="F42" i="27"/>
  <c r="K34" i="16"/>
  <c r="F99" i="8"/>
  <c r="G53" i="8"/>
  <c r="G71" i="8"/>
  <c r="G39" i="8"/>
  <c r="G68" i="8"/>
  <c r="G86" i="8"/>
  <c r="G77" i="8"/>
  <c r="F100" i="8"/>
  <c r="G42" i="8"/>
  <c r="G35" i="8"/>
  <c r="G24" i="8"/>
  <c r="G73" i="8"/>
  <c r="G76" i="8"/>
  <c r="G48" i="8"/>
  <c r="G18" i="8"/>
  <c r="G82" i="8"/>
  <c r="G47" i="8"/>
  <c r="G12" i="8"/>
  <c r="G41" i="8"/>
  <c r="G66" i="8"/>
  <c r="G96" i="8"/>
  <c r="G99" i="8"/>
  <c r="G54" i="8"/>
  <c r="G30" i="8"/>
  <c r="G79" i="8"/>
  <c r="G27" i="8"/>
  <c r="G46" i="8"/>
  <c r="G34" i="8"/>
  <c r="G20" i="8"/>
  <c r="G91" i="8"/>
  <c r="G9" i="8"/>
  <c r="G97" i="8"/>
  <c r="G55" i="8"/>
  <c r="G85" i="8"/>
  <c r="G23" i="8"/>
  <c r="G72" i="8"/>
  <c r="G10" i="8"/>
  <c r="G67" i="8"/>
  <c r="G78" i="8"/>
  <c r="G29" i="8"/>
  <c r="G36" i="8"/>
  <c r="G50" i="8"/>
  <c r="G25" i="8"/>
  <c r="G37" i="8"/>
  <c r="G81" i="8"/>
  <c r="G15" i="8"/>
  <c r="G83" i="8"/>
  <c r="G84" i="8"/>
  <c r="G16" i="8"/>
  <c r="G31" i="8"/>
  <c r="G26" i="8"/>
  <c r="G14" i="8"/>
  <c r="G33" i="8"/>
  <c r="G44" i="8"/>
  <c r="G59" i="8"/>
  <c r="G87" i="8"/>
  <c r="G63" i="8"/>
  <c r="G28" i="8"/>
  <c r="G52" i="8"/>
  <c r="G75" i="8"/>
  <c r="G94" i="8"/>
  <c r="G32" i="8"/>
  <c r="G11" i="8"/>
  <c r="G89" i="8"/>
  <c r="G57" i="8"/>
  <c r="G17" i="8"/>
  <c r="G98" i="8"/>
  <c r="G13" i="8"/>
  <c r="G74" i="8"/>
  <c r="G80" i="8"/>
  <c r="G92" i="8"/>
  <c r="G61" i="8"/>
  <c r="G58" i="8"/>
  <c r="G62" i="8"/>
  <c r="G51" i="8"/>
  <c r="G69" i="8"/>
  <c r="G40" i="8"/>
  <c r="G21" i="8"/>
  <c r="G60" i="8"/>
  <c r="G90" i="8"/>
  <c r="G65" i="8"/>
  <c r="G45" i="8"/>
  <c r="G49" i="8"/>
  <c r="G22" i="8"/>
  <c r="G64" i="8"/>
  <c r="G70" i="8"/>
  <c r="G56" i="8"/>
  <c r="G43" i="8"/>
  <c r="G19" i="8"/>
  <c r="G95" i="8"/>
  <c r="G88" i="8"/>
  <c r="G38" i="8"/>
  <c r="D100" i="8"/>
  <c r="G93" i="8"/>
  <c r="Q33" i="16"/>
  <c r="O34" i="16"/>
  <c r="E19" i="5"/>
  <c r="Q34" i="16"/>
  <c r="T33" i="16"/>
  <c r="G39" i="60"/>
  <c r="G17" i="60"/>
  <c r="G15" i="60"/>
  <c r="F68" i="60"/>
  <c r="G40" i="60"/>
  <c r="G16" i="60"/>
  <c r="G37" i="60"/>
  <c r="G67" i="60"/>
  <c r="G49" i="60"/>
  <c r="G53" i="60"/>
  <c r="G9" i="60"/>
  <c r="H9" i="60"/>
  <c r="G33" i="60"/>
  <c r="G56" i="60"/>
  <c r="G23" i="60"/>
  <c r="G42" i="60"/>
  <c r="G29" i="60"/>
  <c r="G18" i="60"/>
  <c r="G62" i="60"/>
  <c r="G44" i="60"/>
  <c r="G48" i="60"/>
  <c r="G25" i="60"/>
  <c r="G10" i="60"/>
  <c r="G46" i="60"/>
  <c r="G14" i="60"/>
  <c r="G64" i="60"/>
  <c r="G28" i="60"/>
  <c r="G61" i="60"/>
  <c r="G51" i="60"/>
  <c r="G54" i="60"/>
  <c r="G30" i="60"/>
  <c r="G20" i="60"/>
  <c r="E21" i="3"/>
  <c r="C39" i="55"/>
  <c r="J38" i="9"/>
  <c r="F25" i="10"/>
  <c r="F24" i="10"/>
  <c r="D158" i="1"/>
  <c r="D160" i="1"/>
  <c r="E82" i="3"/>
  <c r="E84" i="3"/>
  <c r="I24" i="10"/>
  <c r="I25" i="10"/>
  <c r="E25" i="10"/>
  <c r="E24" i="10"/>
  <c r="F88" i="21"/>
  <c r="G9" i="21"/>
  <c r="G26" i="21"/>
  <c r="H24" i="10"/>
  <c r="H25" i="10"/>
  <c r="K15" i="10"/>
  <c r="C17" i="10"/>
  <c r="G24" i="10"/>
  <c r="G25" i="10"/>
  <c r="G12" i="11"/>
  <c r="G19" i="11"/>
  <c r="E41" i="3"/>
  <c r="E43" i="3"/>
  <c r="E88" i="21"/>
  <c r="I19" i="9"/>
  <c r="E20" i="5"/>
  <c r="D65" i="7"/>
  <c r="D67" i="7"/>
  <c r="H33" i="16"/>
  <c r="L31" i="15"/>
  <c r="S43" i="27"/>
  <c r="D34" i="4"/>
  <c r="J51" i="9"/>
  <c r="R34" i="16"/>
  <c r="E23" i="5"/>
  <c r="D159" i="1"/>
  <c r="G85" i="21"/>
  <c r="G37" i="21"/>
  <c r="G62" i="21"/>
  <c r="G41" i="21"/>
  <c r="G68" i="21"/>
  <c r="H68" i="21"/>
  <c r="G71" i="21"/>
  <c r="H71" i="21"/>
  <c r="G74" i="21"/>
  <c r="G38" i="21"/>
  <c r="G67" i="21"/>
  <c r="H67" i="21"/>
  <c r="G30" i="21"/>
  <c r="G46" i="21"/>
  <c r="F89" i="21"/>
  <c r="G69" i="21"/>
  <c r="H69" i="21"/>
  <c r="G59" i="21"/>
  <c r="G43" i="21"/>
  <c r="G13" i="21"/>
  <c r="G16" i="21"/>
  <c r="G66" i="21"/>
  <c r="G21" i="21"/>
  <c r="G32" i="21"/>
  <c r="G76" i="21"/>
  <c r="H76" i="21"/>
  <c r="G15" i="21"/>
  <c r="G31" i="21"/>
  <c r="G58" i="21"/>
  <c r="G72" i="21"/>
  <c r="H72" i="21"/>
  <c r="G86" i="21"/>
  <c r="G56" i="21"/>
  <c r="G60" i="21"/>
  <c r="G49" i="21"/>
  <c r="G44" i="21"/>
  <c r="G33" i="21"/>
  <c r="G27" i="21"/>
  <c r="G11" i="21"/>
  <c r="G12" i="21"/>
  <c r="G45" i="21"/>
  <c r="G50" i="21"/>
  <c r="G36" i="21"/>
  <c r="G52" i="21"/>
  <c r="G10" i="21"/>
  <c r="G64" i="21"/>
  <c r="G17" i="21"/>
  <c r="G57" i="21"/>
  <c r="G23" i="21"/>
  <c r="G53" i="21"/>
  <c r="G79" i="21"/>
  <c r="G40" i="21"/>
  <c r="G61" i="21"/>
  <c r="G25" i="21"/>
  <c r="G51" i="21"/>
  <c r="H51" i="21"/>
  <c r="G65" i="21"/>
  <c r="G28" i="21"/>
  <c r="G39" i="21"/>
  <c r="G75" i="21"/>
  <c r="H75" i="21"/>
  <c r="G14" i="21"/>
  <c r="G54" i="21"/>
  <c r="G34" i="21"/>
  <c r="G20" i="21"/>
  <c r="G73" i="21"/>
  <c r="H73" i="21"/>
  <c r="G70" i="21"/>
  <c r="H70" i="21"/>
  <c r="G47" i="21"/>
  <c r="G55" i="21"/>
  <c r="G29" i="21"/>
  <c r="G77" i="21"/>
  <c r="G87" i="21"/>
  <c r="H87" i="21"/>
  <c r="G42" i="21"/>
  <c r="G48" i="21"/>
  <c r="G22" i="21"/>
  <c r="G88" i="21"/>
  <c r="G24" i="21"/>
  <c r="G78" i="21"/>
  <c r="G80" i="21"/>
  <c r="G82" i="21"/>
  <c r="G18" i="21"/>
  <c r="G63" i="21"/>
  <c r="G81" i="21"/>
  <c r="G84" i="21"/>
  <c r="G8" i="21"/>
  <c r="H8" i="21"/>
  <c r="G83" i="21"/>
  <c r="G19" i="21"/>
  <c r="G35" i="21"/>
  <c r="R33" i="16"/>
  <c r="D68" i="7"/>
  <c r="E66" i="7"/>
  <c r="E67" i="7"/>
  <c r="D69" i="7"/>
  <c r="C12" i="55"/>
  <c r="E47" i="3"/>
  <c r="C38" i="55"/>
  <c r="K17" i="10"/>
  <c r="C23" i="10"/>
  <c r="C13" i="55"/>
  <c r="E85" i="3"/>
  <c r="C30" i="55"/>
  <c r="C22" i="56"/>
  <c r="E68" i="7"/>
  <c r="E69" i="7"/>
  <c r="C25" i="10"/>
  <c r="C24" i="10"/>
  <c r="U33" i="16"/>
  <c r="U34" i="16"/>
  <c r="E96" i="3"/>
  <c r="C19" i="56"/>
  <c r="C21" i="56"/>
  <c r="E21" i="32"/>
  <c r="D31" i="31"/>
  <c r="E31" i="31"/>
  <c r="D17" i="30"/>
  <c r="E17" i="30"/>
  <c r="D108" i="30"/>
  <c r="E108" i="30"/>
  <c r="D167" i="30"/>
  <c r="E167" i="30"/>
  <c r="D11" i="31"/>
  <c r="D194" i="30"/>
  <c r="E194" i="30"/>
  <c r="D198" i="30"/>
  <c r="E198" i="30"/>
  <c r="D308" i="30"/>
  <c r="E308" i="30"/>
  <c r="D58" i="30"/>
  <c r="E58" i="30"/>
  <c r="D197" i="30"/>
  <c r="E197" i="30"/>
  <c r="D328" i="30"/>
  <c r="E328" i="30"/>
  <c r="D53" i="31"/>
  <c r="D347" i="30"/>
  <c r="E347" i="30"/>
  <c r="D136" i="30"/>
  <c r="D320" i="30"/>
  <c r="E320" i="30"/>
  <c r="D339" i="30"/>
  <c r="D105" i="30"/>
  <c r="D191" i="30"/>
  <c r="E191" i="30"/>
  <c r="D125" i="30"/>
  <c r="E125" i="30"/>
  <c r="D174" i="30"/>
  <c r="E174" i="30"/>
  <c r="D284" i="30"/>
  <c r="E284" i="30"/>
  <c r="D103" i="30"/>
  <c r="D128" i="30"/>
  <c r="E128" i="30"/>
  <c r="D297" i="30"/>
  <c r="E297" i="30"/>
  <c r="D179" i="30"/>
  <c r="E179" i="30"/>
  <c r="D26" i="31"/>
  <c r="E26" i="31"/>
  <c r="D180" i="30"/>
  <c r="E180" i="30"/>
  <c r="D210" i="30"/>
  <c r="E210" i="30"/>
  <c r="D27" i="30"/>
  <c r="E27" i="30"/>
  <c r="D257" i="30"/>
  <c r="E257" i="30"/>
  <c r="D60" i="30"/>
  <c r="E60" i="30"/>
  <c r="D169" i="30"/>
  <c r="E169" i="30"/>
  <c r="D39" i="30"/>
  <c r="E39" i="30"/>
  <c r="D44" i="30"/>
  <c r="E44" i="30"/>
  <c r="D299" i="30"/>
  <c r="E299" i="30"/>
  <c r="D20" i="30"/>
  <c r="E20" i="30"/>
  <c r="D285" i="30"/>
  <c r="E285" i="30"/>
  <c r="D80" i="30"/>
  <c r="E80" i="30"/>
  <c r="D200" i="30"/>
  <c r="E200" i="30"/>
  <c r="D266" i="30"/>
  <c r="E266" i="30"/>
  <c r="D309" i="30"/>
  <c r="E309" i="30"/>
  <c r="D310" i="30"/>
  <c r="E310" i="30"/>
  <c r="D304" i="30"/>
  <c r="E304" i="30"/>
  <c r="D134" i="30"/>
  <c r="E134" i="30"/>
  <c r="D290" i="30"/>
  <c r="E290" i="30"/>
  <c r="D204" i="30"/>
  <c r="E204" i="30"/>
  <c r="D142" i="30"/>
  <c r="E142" i="30"/>
  <c r="D143" i="30"/>
  <c r="E143" i="30"/>
  <c r="D138" i="30"/>
  <c r="E138" i="30"/>
  <c r="D277" i="30"/>
  <c r="E277" i="30"/>
  <c r="D220" i="30"/>
  <c r="D177" i="30"/>
  <c r="E177" i="30"/>
  <c r="D264" i="30"/>
  <c r="E264" i="30"/>
  <c r="D305" i="30"/>
  <c r="E305" i="30"/>
  <c r="D341" i="30"/>
  <c r="E341" i="30"/>
  <c r="D289" i="30"/>
  <c r="D278" i="30"/>
  <c r="E278" i="30"/>
  <c r="D38" i="30"/>
  <c r="E38" i="30"/>
  <c r="D330" i="30"/>
  <c r="E330" i="30"/>
  <c r="D271" i="30"/>
  <c r="E271" i="30"/>
  <c r="D124" i="30"/>
  <c r="D172" i="30"/>
  <c r="D291" i="30"/>
  <c r="E291" i="30"/>
  <c r="D214" i="30"/>
  <c r="E214" i="30"/>
  <c r="D54" i="30"/>
  <c r="D345" i="30"/>
  <c r="E345" i="30"/>
  <c r="D48" i="30"/>
  <c r="E48" i="30"/>
  <c r="D150" i="30"/>
  <c r="E150" i="30"/>
  <c r="D26" i="30"/>
  <c r="E26" i="30"/>
  <c r="D13" i="31"/>
  <c r="D151" i="30"/>
  <c r="E151" i="30"/>
  <c r="E18" i="32"/>
  <c r="D116" i="30"/>
  <c r="E116" i="30"/>
  <c r="D14" i="31"/>
  <c r="D343" i="30"/>
  <c r="E343" i="30"/>
  <c r="D178" i="30"/>
  <c r="E178" i="30"/>
  <c r="D211" i="30"/>
  <c r="E211" i="30"/>
  <c r="D63" i="30"/>
  <c r="D48" i="31"/>
  <c r="D130" i="30"/>
  <c r="E130" i="30"/>
  <c r="D282" i="30"/>
  <c r="D89" i="30"/>
  <c r="E89" i="30"/>
  <c r="D279" i="30"/>
  <c r="E279" i="30"/>
  <c r="D54" i="31"/>
  <c r="D206" i="30"/>
  <c r="E206" i="30"/>
  <c r="D222" i="30"/>
  <c r="E222" i="30"/>
  <c r="D294" i="30"/>
  <c r="E294" i="30"/>
  <c r="D49" i="31"/>
  <c r="D201" i="30"/>
  <c r="E201" i="30"/>
  <c r="D45" i="31"/>
  <c r="D61" i="30"/>
  <c r="E61" i="30"/>
  <c r="D226" i="30"/>
  <c r="E226" i="30"/>
  <c r="D97" i="30"/>
  <c r="E97" i="30"/>
  <c r="D31" i="30"/>
  <c r="D292" i="30"/>
  <c r="E292" i="30"/>
  <c r="D293" i="30"/>
  <c r="E293" i="30"/>
  <c r="D306" i="30"/>
  <c r="E306" i="30"/>
  <c r="D315" i="30"/>
  <c r="D98" i="30"/>
  <c r="E98" i="30"/>
  <c r="D152" i="30"/>
  <c r="E152" i="30"/>
  <c r="D24" i="30"/>
  <c r="E24" i="30"/>
  <c r="D280" i="30"/>
  <c r="E280" i="30"/>
  <c r="D59" i="30"/>
  <c r="E59" i="30"/>
  <c r="D42" i="27"/>
  <c r="D41" i="31"/>
  <c r="D298" i="30"/>
  <c r="E298" i="30"/>
  <c r="D17" i="31"/>
  <c r="D225" i="30"/>
  <c r="E225" i="30"/>
  <c r="D112" i="30"/>
  <c r="D307" i="30"/>
  <c r="E307" i="30"/>
  <c r="D51" i="31"/>
  <c r="D187" i="30"/>
  <c r="E187" i="30"/>
  <c r="D91" i="30"/>
  <c r="D322" i="30"/>
  <c r="E322" i="30"/>
  <c r="D324" i="30"/>
  <c r="E324" i="30"/>
  <c r="D140" i="30"/>
  <c r="E140" i="30"/>
  <c r="D16" i="30"/>
  <c r="E16" i="30"/>
  <c r="D260" i="30"/>
  <c r="E260" i="30"/>
  <c r="D145" i="30"/>
  <c r="E145" i="30"/>
  <c r="D350" i="30"/>
  <c r="D50" i="31"/>
  <c r="D49" i="30"/>
  <c r="E49" i="30"/>
  <c r="D329" i="30"/>
  <c r="E329" i="30"/>
  <c r="D12" i="31"/>
  <c r="D9" i="31"/>
  <c r="D203" i="30"/>
  <c r="E203" i="30"/>
  <c r="D346" i="30"/>
  <c r="E346" i="30"/>
  <c r="D15" i="31"/>
  <c r="D133" i="30"/>
  <c r="E133" i="30"/>
  <c r="D168" i="30"/>
  <c r="E168" i="30"/>
  <c r="D349" i="30"/>
  <c r="E349" i="30"/>
  <c r="D22" i="30"/>
  <c r="E22" i="30"/>
  <c r="D139" i="30"/>
  <c r="E139" i="30"/>
  <c r="D137" i="30"/>
  <c r="E137" i="30"/>
  <c r="D334" i="30"/>
  <c r="E334" i="30"/>
  <c r="D157" i="30"/>
  <c r="E157" i="30"/>
  <c r="D230" i="30"/>
  <c r="E230" i="30"/>
  <c r="D28" i="30"/>
  <c r="E28" i="30"/>
  <c r="D57" i="30"/>
  <c r="E57" i="30"/>
  <c r="D10" i="31"/>
  <c r="D11" i="30"/>
  <c r="E11" i="30"/>
  <c r="D56" i="31"/>
  <c r="D148" i="30"/>
  <c r="D73" i="30"/>
  <c r="E73" i="30"/>
  <c r="D43" i="31"/>
  <c r="D270" i="30"/>
  <c r="E270" i="30"/>
  <c r="D319" i="30"/>
  <c r="E319" i="30"/>
  <c r="D53" i="30"/>
  <c r="E53" i="30"/>
  <c r="D265" i="30"/>
  <c r="E265" i="30"/>
  <c r="D227" i="30"/>
  <c r="E227" i="30"/>
  <c r="D164" i="30"/>
  <c r="E164" i="30"/>
  <c r="D173" i="30"/>
  <c r="E173" i="30"/>
  <c r="D33" i="30"/>
  <c r="E33" i="30"/>
  <c r="D316" i="30"/>
  <c r="E316" i="30"/>
  <c r="D283" i="30"/>
  <c r="E283" i="30"/>
  <c r="D10" i="30"/>
  <c r="D208" i="30"/>
  <c r="D40" i="30"/>
  <c r="E40" i="30"/>
  <c r="D65" i="30"/>
  <c r="E65" i="30"/>
  <c r="D182" i="30"/>
  <c r="E182" i="30"/>
  <c r="D14" i="30"/>
  <c r="E14" i="30"/>
  <c r="D286" i="30"/>
  <c r="E286" i="30"/>
  <c r="D212" i="30"/>
  <c r="E212" i="30"/>
  <c r="D333" i="30"/>
  <c r="E333" i="30"/>
  <c r="D276" i="30"/>
  <c r="E276" i="30"/>
  <c r="D37" i="31"/>
  <c r="D262" i="30"/>
  <c r="E262" i="30"/>
  <c r="D85" i="30"/>
  <c r="E85" i="30"/>
  <c r="D336" i="30"/>
  <c r="E336" i="30"/>
  <c r="D175" i="30"/>
  <c r="E175" i="30"/>
  <c r="D162" i="30"/>
  <c r="E162" i="30"/>
  <c r="D20" i="31"/>
  <c r="D122" i="30"/>
  <c r="E122" i="30"/>
  <c r="D154" i="30"/>
  <c r="E154" i="30"/>
  <c r="D121" i="30"/>
  <c r="E121" i="30"/>
  <c r="D218" i="30"/>
  <c r="E218" i="30"/>
  <c r="D166" i="30"/>
  <c r="E166" i="30"/>
  <c r="D170" i="30"/>
  <c r="E170" i="30"/>
  <c r="D46" i="31"/>
  <c r="D82" i="30"/>
  <c r="E82" i="30"/>
  <c r="D224" i="30"/>
  <c r="E224" i="30"/>
  <c r="D192" i="30"/>
  <c r="E192" i="30"/>
  <c r="D21" i="30"/>
  <c r="E21" i="30"/>
  <c r="D259" i="30"/>
  <c r="E259" i="30"/>
  <c r="D70" i="30"/>
  <c r="D18" i="30"/>
  <c r="E18" i="30"/>
  <c r="D301" i="30"/>
  <c r="E301" i="30"/>
  <c r="D287" i="30"/>
  <c r="E287" i="30"/>
  <c r="D16" i="31"/>
  <c r="D106" i="30"/>
  <c r="E106" i="30"/>
  <c r="D109" i="30"/>
  <c r="E109" i="30"/>
  <c r="D42" i="31"/>
  <c r="D43" i="27"/>
  <c r="D273" i="30"/>
  <c r="E273" i="30"/>
  <c r="D217" i="30"/>
  <c r="E217" i="30"/>
  <c r="D68" i="30"/>
  <c r="E68" i="30"/>
  <c r="D25" i="30"/>
  <c r="E25" i="30"/>
  <c r="D300" i="30"/>
  <c r="E300" i="30"/>
  <c r="D216" i="30"/>
  <c r="E216" i="30"/>
  <c r="D75" i="30"/>
  <c r="E75" i="30"/>
  <c r="D340" i="30"/>
  <c r="E340" i="30"/>
  <c r="D153" i="30"/>
  <c r="E153" i="30"/>
  <c r="D342" i="30"/>
  <c r="E342" i="30"/>
  <c r="D155" i="30"/>
  <c r="E155" i="30"/>
  <c r="D107" i="30"/>
  <c r="E107" i="30"/>
  <c r="D74" i="30"/>
  <c r="E74" i="30"/>
  <c r="D50" i="30"/>
  <c r="E50" i="30"/>
  <c r="D52" i="31"/>
  <c r="D263" i="30"/>
  <c r="E263" i="30"/>
  <c r="D19" i="30"/>
  <c r="E19" i="30"/>
  <c r="D161" i="30"/>
  <c r="E161" i="30"/>
  <c r="D331" i="30"/>
  <c r="E331" i="30"/>
  <c r="D110" i="30"/>
  <c r="E110" i="30"/>
  <c r="D47" i="30"/>
  <c r="E47" i="30"/>
  <c r="D35" i="30"/>
  <c r="E35" i="30"/>
  <c r="D317" i="30"/>
  <c r="E317" i="30"/>
  <c r="D132" i="30"/>
  <c r="E132" i="30"/>
  <c r="D84" i="30"/>
  <c r="D47" i="31"/>
  <c r="D40" i="31"/>
  <c r="D202" i="30"/>
  <c r="E202" i="30"/>
  <c r="D344" i="30"/>
  <c r="E344" i="30"/>
  <c r="D88" i="30"/>
  <c r="E88" i="30"/>
  <c r="D86" i="30"/>
  <c r="E86" i="30"/>
  <c r="D29" i="30"/>
  <c r="E29" i="30"/>
  <c r="D261" i="30"/>
  <c r="E261" i="30"/>
  <c r="D258" i="30"/>
  <c r="E258" i="30"/>
  <c r="D228" i="30"/>
  <c r="E228" i="30"/>
  <c r="D36" i="30"/>
  <c r="E36" i="30"/>
  <c r="D38" i="31"/>
  <c r="D158" i="30"/>
  <c r="E158" i="30"/>
  <c r="D332" i="30"/>
  <c r="E332" i="30"/>
  <c r="D114" i="30"/>
  <c r="E114" i="30"/>
  <c r="D93" i="30"/>
  <c r="E93" i="30"/>
  <c r="D79" i="30"/>
  <c r="E79" i="30"/>
  <c r="D176" i="30"/>
  <c r="E176" i="30"/>
  <c r="D55" i="31"/>
  <c r="D348" i="30"/>
  <c r="E348" i="30"/>
  <c r="D119" i="30"/>
  <c r="E119" i="30"/>
  <c r="D51" i="30"/>
  <c r="E51" i="30"/>
  <c r="D113" i="30"/>
  <c r="E113" i="30"/>
  <c r="D127" i="30"/>
  <c r="E127" i="30"/>
  <c r="D189" i="30"/>
  <c r="E189" i="30"/>
  <c r="D95" i="30"/>
  <c r="E95" i="30"/>
  <c r="D117" i="30"/>
  <c r="E117" i="30"/>
  <c r="D94" i="30"/>
  <c r="E94" i="30"/>
  <c r="D71" i="30"/>
  <c r="E71" i="30"/>
  <c r="D163" i="30"/>
  <c r="E163" i="30"/>
  <c r="D99" i="30"/>
  <c r="E99" i="30"/>
  <c r="D215" i="30"/>
  <c r="E215" i="30"/>
  <c r="D318" i="30"/>
  <c r="E318" i="30"/>
  <c r="D66" i="30"/>
  <c r="E66" i="30"/>
  <c r="D156" i="30"/>
  <c r="E156" i="30"/>
  <c r="D96" i="30"/>
  <c r="E96" i="30"/>
  <c r="D184" i="30"/>
  <c r="D37" i="30"/>
  <c r="E37" i="30"/>
  <c r="D36" i="31"/>
  <c r="D46" i="30"/>
  <c r="E46" i="30"/>
  <c r="D313" i="30"/>
  <c r="E313" i="30"/>
  <c r="D92" i="30"/>
  <c r="E92" i="30"/>
  <c r="D131" i="30"/>
  <c r="E131" i="30"/>
  <c r="D43" i="30"/>
  <c r="D311" i="30"/>
  <c r="E311" i="30"/>
  <c r="D199" i="30"/>
  <c r="E199" i="30"/>
  <c r="D196" i="30"/>
  <c r="D67" i="30"/>
  <c r="E67" i="30"/>
  <c r="D15" i="30"/>
  <c r="E15" i="30"/>
  <c r="D118" i="30"/>
  <c r="E118" i="30"/>
  <c r="D120" i="30"/>
  <c r="E120" i="30"/>
  <c r="D34" i="30"/>
  <c r="E34" i="30"/>
  <c r="D13" i="30"/>
  <c r="E13" i="30"/>
  <c r="D165" i="30"/>
  <c r="E165" i="30"/>
  <c r="D321" i="30"/>
  <c r="E321" i="30"/>
  <c r="D296" i="30"/>
  <c r="D229" i="30"/>
  <c r="E229" i="30"/>
  <c r="D78" i="30"/>
  <c r="E78" i="30"/>
  <c r="D327" i="30"/>
  <c r="D149" i="30"/>
  <c r="E149" i="30"/>
  <c r="D272" i="30"/>
  <c r="E272" i="30"/>
  <c r="D303" i="30"/>
  <c r="D269" i="30"/>
  <c r="E269" i="30"/>
  <c r="D101" i="30"/>
  <c r="E101" i="30"/>
  <c r="D19" i="31"/>
  <c r="D141" i="30"/>
  <c r="E141" i="30"/>
  <c r="D32" i="30"/>
  <c r="E32" i="30"/>
  <c r="D12" i="30"/>
  <c r="E12" i="30"/>
  <c r="D221" i="30"/>
  <c r="E221" i="30"/>
  <c r="D186" i="30"/>
  <c r="E186" i="30"/>
  <c r="D72" i="30"/>
  <c r="E72" i="30"/>
  <c r="D205" i="30"/>
  <c r="E205" i="30"/>
  <c r="D190" i="30"/>
  <c r="E190" i="30"/>
  <c r="D64" i="30"/>
  <c r="E64" i="30"/>
  <c r="D256" i="30"/>
  <c r="D325" i="30"/>
  <c r="E325" i="30"/>
  <c r="D337" i="30"/>
  <c r="E337" i="30"/>
  <c r="D144" i="30"/>
  <c r="E144" i="30"/>
  <c r="D146" i="30"/>
  <c r="E146" i="30"/>
  <c r="D188" i="30"/>
  <c r="E188" i="30"/>
  <c r="D115" i="30"/>
  <c r="E115" i="30"/>
  <c r="D45" i="30"/>
  <c r="E45" i="30"/>
  <c r="D181" i="30"/>
  <c r="E181" i="30"/>
  <c r="D39" i="31"/>
  <c r="D160" i="30"/>
  <c r="D81" i="30"/>
  <c r="E81" i="30"/>
  <c r="D126" i="30"/>
  <c r="E126" i="30"/>
  <c r="D335" i="30"/>
  <c r="E335" i="30"/>
  <c r="D129" i="30"/>
  <c r="E129" i="30"/>
  <c r="D209" i="30"/>
  <c r="E209" i="30"/>
  <c r="D323" i="30"/>
  <c r="E323" i="30"/>
  <c r="D312" i="30"/>
  <c r="E312" i="30"/>
  <c r="D185" i="30"/>
  <c r="E185" i="30"/>
  <c r="C7" i="55"/>
  <c r="D18" i="31"/>
  <c r="D275" i="30"/>
  <c r="D41" i="30"/>
  <c r="E41" i="30"/>
  <c r="D87" i="30"/>
  <c r="E87" i="30"/>
  <c r="D213" i="30"/>
  <c r="E213" i="30"/>
  <c r="D223" i="30"/>
  <c r="E223" i="30"/>
  <c r="D23" i="30"/>
  <c r="E23" i="30"/>
  <c r="D52" i="30"/>
  <c r="E52" i="30"/>
  <c r="D100" i="30"/>
  <c r="E100" i="30"/>
  <c r="D21" i="31"/>
  <c r="E21" i="31"/>
  <c r="D44" i="31"/>
  <c r="D193" i="30"/>
  <c r="E193" i="30"/>
  <c r="D56" i="30"/>
  <c r="D268" i="30"/>
  <c r="D77" i="30"/>
  <c r="E256" i="30"/>
  <c r="D255" i="30"/>
  <c r="J16" i="31"/>
  <c r="E16" i="31"/>
  <c r="K16" i="31"/>
  <c r="E70" i="30"/>
  <c r="D69" i="30"/>
  <c r="E208" i="30"/>
  <c r="D207" i="30"/>
  <c r="E43" i="31"/>
  <c r="J43" i="31"/>
  <c r="D314" i="30"/>
  <c r="E315" i="30"/>
  <c r="D30" i="30"/>
  <c r="E31" i="30"/>
  <c r="J45" i="31"/>
  <c r="E45" i="31"/>
  <c r="E63" i="30"/>
  <c r="D62" i="30"/>
  <c r="J14" i="31"/>
  <c r="E14" i="31"/>
  <c r="J13" i="31"/>
  <c r="E13" i="31"/>
  <c r="E172" i="30"/>
  <c r="D171" i="30"/>
  <c r="G20" i="31"/>
  <c r="E103" i="30"/>
  <c r="H20" i="31"/>
  <c r="D135" i="30"/>
  <c r="E136" i="30"/>
  <c r="E327" i="30"/>
  <c r="D326" i="30"/>
  <c r="E196" i="30"/>
  <c r="D195" i="30"/>
  <c r="E303" i="30"/>
  <c r="D302" i="30"/>
  <c r="J40" i="31"/>
  <c r="E40" i="31"/>
  <c r="E52" i="31"/>
  <c r="J52" i="31"/>
  <c r="E42" i="31"/>
  <c r="J42" i="31"/>
  <c r="J20" i="31"/>
  <c r="E20" i="31"/>
  <c r="D9" i="30"/>
  <c r="G9" i="31"/>
  <c r="E10" i="30"/>
  <c r="E9" i="30"/>
  <c r="H9" i="31"/>
  <c r="J10" i="31"/>
  <c r="E10" i="31"/>
  <c r="E15" i="31"/>
  <c r="J15" i="31"/>
  <c r="E9" i="31"/>
  <c r="J9" i="31"/>
  <c r="D57" i="31"/>
  <c r="J50" i="31"/>
  <c r="E50" i="31"/>
  <c r="K50" i="31"/>
  <c r="E91" i="30"/>
  <c r="D90" i="30"/>
  <c r="E112" i="30"/>
  <c r="D111" i="30"/>
  <c r="E41" i="31"/>
  <c r="J41" i="31"/>
  <c r="E282" i="30"/>
  <c r="D281" i="30"/>
  <c r="E54" i="30"/>
  <c r="H12" i="31"/>
  <c r="G12" i="31"/>
  <c r="E124" i="30"/>
  <c r="D123" i="30"/>
  <c r="E105" i="30"/>
  <c r="D104" i="30"/>
  <c r="J11" i="31"/>
  <c r="E11" i="31"/>
  <c r="C11" i="55"/>
  <c r="C14" i="55"/>
  <c r="D55" i="30"/>
  <c r="E56" i="30"/>
  <c r="E44" i="31"/>
  <c r="J44" i="31"/>
  <c r="E160" i="30"/>
  <c r="D159" i="30"/>
  <c r="J19" i="31"/>
  <c r="E19" i="31"/>
  <c r="E184" i="30"/>
  <c r="D183" i="30"/>
  <c r="E47" i="31"/>
  <c r="J47" i="31"/>
  <c r="J46" i="31"/>
  <c r="E46" i="31"/>
  <c r="D147" i="30"/>
  <c r="E148" i="30"/>
  <c r="J12" i="31"/>
  <c r="E12" i="31"/>
  <c r="E350" i="30"/>
  <c r="H56" i="31"/>
  <c r="G56" i="31"/>
  <c r="E49" i="31"/>
  <c r="J49" i="31"/>
  <c r="E54" i="31"/>
  <c r="J54" i="31"/>
  <c r="E289" i="30"/>
  <c r="D288" i="30"/>
  <c r="E339" i="30"/>
  <c r="D338" i="30"/>
  <c r="E53" i="31"/>
  <c r="J53" i="31"/>
  <c r="J18" i="31"/>
  <c r="E18" i="31"/>
  <c r="E36" i="31"/>
  <c r="J36" i="31"/>
  <c r="E55" i="31"/>
  <c r="J55" i="31"/>
  <c r="E77" i="30"/>
  <c r="D76" i="30"/>
  <c r="E268" i="30"/>
  <c r="D267" i="30"/>
  <c r="D274" i="30"/>
  <c r="E275" i="30"/>
  <c r="J39" i="31"/>
  <c r="E39" i="31"/>
  <c r="E296" i="30"/>
  <c r="D295" i="30"/>
  <c r="E43" i="30"/>
  <c r="D42" i="30"/>
  <c r="J38" i="31"/>
  <c r="E38" i="31"/>
  <c r="E84" i="30"/>
  <c r="D83" i="30"/>
  <c r="J37" i="31"/>
  <c r="E37" i="31"/>
  <c r="E56" i="31"/>
  <c r="K56" i="31"/>
  <c r="J56" i="31"/>
  <c r="J51" i="31"/>
  <c r="E51" i="31"/>
  <c r="K51" i="31"/>
  <c r="E17" i="31"/>
  <c r="K17" i="31"/>
  <c r="J17" i="31"/>
  <c r="E48" i="31"/>
  <c r="J48" i="31"/>
  <c r="E220" i="30"/>
  <c r="D219" i="30"/>
  <c r="K12" i="31"/>
  <c r="K44" i="31"/>
  <c r="D351" i="30"/>
  <c r="E351" i="30"/>
  <c r="G13" i="31"/>
  <c r="E55" i="30"/>
  <c r="H13" i="31"/>
  <c r="K13" i="31"/>
  <c r="E195" i="30"/>
  <c r="H41" i="31"/>
  <c r="K41" i="31"/>
  <c r="G41" i="31"/>
  <c r="G39" i="31"/>
  <c r="E171" i="30"/>
  <c r="H39" i="31"/>
  <c r="K39" i="31"/>
  <c r="E207" i="30"/>
  <c r="H42" i="31"/>
  <c r="K42" i="31"/>
  <c r="G42" i="31"/>
  <c r="G51" i="31"/>
  <c r="E295" i="30"/>
  <c r="H51" i="31"/>
  <c r="G16" i="31"/>
  <c r="E76" i="30"/>
  <c r="H16" i="31"/>
  <c r="G50" i="31"/>
  <c r="E288" i="30"/>
  <c r="H50" i="31"/>
  <c r="G21" i="31"/>
  <c r="E104" i="30"/>
  <c r="H21" i="31"/>
  <c r="K21" i="31"/>
  <c r="E90" i="30"/>
  <c r="H18" i="31"/>
  <c r="K18" i="31"/>
  <c r="G18" i="31"/>
  <c r="G36" i="31"/>
  <c r="E135" i="30"/>
  <c r="H36" i="31"/>
  <c r="K36" i="31"/>
  <c r="K45" i="31"/>
  <c r="E314" i="30"/>
  <c r="H53" i="31"/>
  <c r="K53" i="31"/>
  <c r="G53" i="31"/>
  <c r="G48" i="31"/>
  <c r="E274" i="30"/>
  <c r="H48" i="31"/>
  <c r="K48" i="31"/>
  <c r="G37" i="31"/>
  <c r="E147" i="30"/>
  <c r="H37" i="31"/>
  <c r="K37" i="31"/>
  <c r="K19" i="31"/>
  <c r="K9" i="31"/>
  <c r="J57" i="31"/>
  <c r="K52" i="31"/>
  <c r="E302" i="30"/>
  <c r="H52" i="31"/>
  <c r="G52" i="31"/>
  <c r="G54" i="31"/>
  <c r="E326" i="30"/>
  <c r="H54" i="31"/>
  <c r="K54" i="31"/>
  <c r="E62" i="30"/>
  <c r="H14" i="31"/>
  <c r="K14" i="31"/>
  <c r="G14" i="31"/>
  <c r="G15" i="31"/>
  <c r="E69" i="30"/>
  <c r="H15" i="31"/>
  <c r="K15" i="31"/>
  <c r="E255" i="30"/>
  <c r="H46" i="31"/>
  <c r="K46" i="31"/>
  <c r="G46" i="31"/>
  <c r="G43" i="31"/>
  <c r="E219" i="30"/>
  <c r="H43" i="31"/>
  <c r="K43" i="31"/>
  <c r="E83" i="30"/>
  <c r="H17" i="31"/>
  <c r="G17" i="31"/>
  <c r="G11" i="31"/>
  <c r="E42" i="30"/>
  <c r="H11" i="31"/>
  <c r="K11" i="31"/>
  <c r="G47" i="31"/>
  <c r="E267" i="30"/>
  <c r="H47" i="31"/>
  <c r="K47" i="31"/>
  <c r="G55" i="31"/>
  <c r="E338" i="30"/>
  <c r="H55" i="31"/>
  <c r="K55" i="31"/>
  <c r="G40" i="31"/>
  <c r="E183" i="30"/>
  <c r="H40" i="31"/>
  <c r="K40" i="31"/>
  <c r="G38" i="31"/>
  <c r="E159" i="30"/>
  <c r="H38" i="31"/>
  <c r="K38" i="31"/>
  <c r="E123" i="30"/>
  <c r="H31" i="31"/>
  <c r="K31" i="31"/>
  <c r="G31" i="31"/>
  <c r="G49" i="31"/>
  <c r="E281" i="30"/>
  <c r="H49" i="31"/>
  <c r="K49" i="31"/>
  <c r="G26" i="31"/>
  <c r="E111" i="30"/>
  <c r="H26" i="31"/>
  <c r="K26" i="31"/>
  <c r="E57" i="31"/>
  <c r="K20" i="31"/>
  <c r="E30" i="30"/>
  <c r="H10" i="31"/>
  <c r="G10" i="31"/>
  <c r="G57" i="31"/>
  <c r="H57" i="31"/>
  <c r="K10" i="31"/>
  <c r="K57" i="31"/>
  <c r="E19" i="32"/>
  <c r="E20" i="32"/>
  <c r="E22" i="32"/>
  <c r="G43" i="60"/>
  <c r="G24" i="60"/>
  <c r="G52" i="60"/>
  <c r="G26" i="60"/>
  <c r="G47" i="60"/>
  <c r="G35" i="60"/>
  <c r="G36" i="60"/>
  <c r="F69" i="60"/>
  <c r="G13" i="60"/>
  <c r="G12" i="60"/>
  <c r="G19" i="60"/>
  <c r="G66" i="60"/>
  <c r="G11" i="60"/>
  <c r="G55" i="60"/>
  <c r="G41" i="60"/>
  <c r="G27" i="60"/>
  <c r="G60" i="60"/>
  <c r="G65" i="60"/>
  <c r="G63" i="60"/>
  <c r="G32" i="60"/>
  <c r="G31" i="60"/>
  <c r="G34" i="60"/>
  <c r="G59" i="60"/>
  <c r="G38" i="60"/>
  <c r="G22" i="60"/>
  <c r="G45" i="60"/>
  <c r="G50" i="60"/>
  <c r="G58" i="60"/>
  <c r="G57" i="60"/>
  <c r="I33" i="16"/>
  <c r="E12" i="5"/>
  <c r="E15" i="5"/>
  <c r="C15" i="56"/>
  <c r="C11" i="56"/>
  <c r="C8" i="56"/>
  <c r="C23" i="56"/>
  <c r="J34" i="16"/>
  <c r="J33" i="16"/>
  <c r="C20" i="55"/>
  <c r="C24" i="55"/>
  <c r="C25" i="55"/>
  <c r="C13" i="56"/>
  <c r="E27" i="5"/>
  <c r="M33" i="16"/>
  <c r="M34" i="16"/>
  <c r="C27" i="55"/>
  <c r="E38" i="5"/>
  <c r="C18" i="55"/>
  <c r="C12" i="56"/>
  <c r="C26" i="55"/>
  <c r="C14" i="56"/>
  <c r="E40" i="5"/>
  <c r="E42" i="5"/>
  <c r="C17" i="55"/>
  <c r="C40" i="55"/>
  <c r="E46" i="5"/>
  <c r="C16" i="55"/>
  <c r="L43" i="27"/>
  <c r="J18" i="10"/>
  <c r="C21" i="55"/>
  <c r="C19" i="55"/>
  <c r="C22" i="55"/>
  <c r="K18" i="10"/>
  <c r="J23" i="10"/>
  <c r="J25" i="10"/>
  <c r="J24" i="10"/>
  <c r="K23" i="10"/>
  <c r="K24" i="10"/>
  <c r="K25" i="10"/>
</calcChain>
</file>

<file path=xl/sharedStrings.xml><?xml version="1.0" encoding="utf-8"?>
<sst xmlns="http://schemas.openxmlformats.org/spreadsheetml/2006/main" count="1948" uniqueCount="1103">
  <si>
    <t>МАЯГТ СЗХ04101. ЕРДИЙН ДААТГАЛЫН КОМПАНИЙН САНХҮҮГИЙН БАЙДЛЫН ТАЙЛАН</t>
  </si>
  <si>
    <t>(төгрөгөөр)</t>
  </si>
  <si>
    <t>№</t>
  </si>
  <si>
    <t>Үзүүлэлт</t>
  </si>
  <si>
    <t>Мөрийн дугаар</t>
  </si>
  <si>
    <t>Данс</t>
  </si>
  <si>
    <t>А</t>
  </si>
  <si>
    <t>Б</t>
  </si>
  <si>
    <t>В</t>
  </si>
  <si>
    <t>Г</t>
  </si>
  <si>
    <t>ХӨРӨНГӨ</t>
  </si>
  <si>
    <t>1.1</t>
  </si>
  <si>
    <t>Мөнгө, түүнтэй адилтгах хөрөнгө</t>
  </si>
  <si>
    <t>1.1.1</t>
  </si>
  <si>
    <t>Бэлэн мөнгө</t>
  </si>
  <si>
    <t>1.1.2</t>
  </si>
  <si>
    <t>Харилцах</t>
  </si>
  <si>
    <t>1.1.3</t>
  </si>
  <si>
    <t>Банк санхүүгийн байгууллагад байршуулсан хөрөнгө</t>
  </si>
  <si>
    <t>1.1.4</t>
  </si>
  <si>
    <t>Мөнгөн хөрөнгөнд хуримтлуулж тооцсон хүүний авлага</t>
  </si>
  <si>
    <t>1.1.5</t>
  </si>
  <si>
    <t>Мөнгө, түүнтэй адилтгах хөрөнгийн дүн  (=мөр(3+...+6))</t>
  </si>
  <si>
    <t>1.2</t>
  </si>
  <si>
    <t>Даатгалын авлага</t>
  </si>
  <si>
    <t>1.2.1</t>
  </si>
  <si>
    <t>Даатгалын хураамжийн авлага /цэвэр дүнгээр/</t>
  </si>
  <si>
    <t>1.2.2</t>
  </si>
  <si>
    <t>Буруутай этгээдээс авах авлага /цэвэр дүнгээр/</t>
  </si>
  <si>
    <t>1.2.3</t>
  </si>
  <si>
    <t>Давхар даатгалаас авах авлага /цэвэр дүнгээр/</t>
  </si>
  <si>
    <t>1.2.4</t>
  </si>
  <si>
    <t>Даатгалын авлагын дүн  (=мөр(9+10+11))</t>
  </si>
  <si>
    <t>1.3</t>
  </si>
  <si>
    <t>Бусад санхүүгийн хөрөнгө</t>
  </si>
  <si>
    <t>1.3.1</t>
  </si>
  <si>
    <t>Бусад авлага /цэвэр дүнгээр/</t>
  </si>
  <si>
    <t>1.3.2</t>
  </si>
  <si>
    <t>Бусад санхүүгийн хөрөнгийн дүн  (=мөр14)</t>
  </si>
  <si>
    <t>1.4</t>
  </si>
  <si>
    <t>Бусад санхүүгийн бус  хөрөнгө</t>
  </si>
  <si>
    <t>1.4.1</t>
  </si>
  <si>
    <t>НДШ авлага, бусад татварын авлага</t>
  </si>
  <si>
    <t>1.4.2</t>
  </si>
  <si>
    <t>ААНОАТатварын авлага</t>
  </si>
  <si>
    <t>1.4.3</t>
  </si>
  <si>
    <t>Хойшлогдсон татварын хөрөнгө</t>
  </si>
  <si>
    <t>1.4.4</t>
  </si>
  <si>
    <t>Бараа материал</t>
  </si>
  <si>
    <t>1.4.5</t>
  </si>
  <si>
    <t>Урьдчилж төлсөн зардал/тооцоо</t>
  </si>
  <si>
    <t>1.4.6</t>
  </si>
  <si>
    <t>Өмчлөх бусад хөрөнгө /цэвэр/</t>
  </si>
  <si>
    <t>1.4.7</t>
  </si>
  <si>
    <t>Бусад санхүүгийн бус хөрөнгийн дүн  (=мөр(17+...+22))</t>
  </si>
  <si>
    <t>1.5</t>
  </si>
  <si>
    <t>Хөрөнгө оруулалт</t>
  </si>
  <si>
    <t>1.5.1</t>
  </si>
  <si>
    <t>Хадгаламж, хадгаламжийн сертификат</t>
  </si>
  <si>
    <t>1.5.2</t>
  </si>
  <si>
    <t>Үнэт цаас /цэвэр/</t>
  </si>
  <si>
    <t>1.5.3</t>
  </si>
  <si>
    <t>Хараат ба хамтын хяналттай, охин компаниудад оруулсан хөрөнгө оруулалт</t>
  </si>
  <si>
    <t>1.5.4</t>
  </si>
  <si>
    <t>Үнэт металл, Дериватив</t>
  </si>
  <si>
    <t>1.5.5</t>
  </si>
  <si>
    <t>Хөрөнгө оруулалтын дүн  (=мөр(25+...+28))</t>
  </si>
  <si>
    <t>1.6</t>
  </si>
  <si>
    <t>Даатгалын хөрөнгө</t>
  </si>
  <si>
    <t>1.6.1</t>
  </si>
  <si>
    <t>ДД-ын хойшлогдсон хураамж</t>
  </si>
  <si>
    <t>1.6.2</t>
  </si>
  <si>
    <t>Нөхөн төлбөрийн нөөцийн ДД-ын ногдох хэсэг</t>
  </si>
  <si>
    <t>1.6.3</t>
  </si>
  <si>
    <t>Даатгалын орлогын шимтгэлийн хойшлогдсон зардал</t>
  </si>
  <si>
    <t>1.6.4</t>
  </si>
  <si>
    <t>Даатгалын хөрөнгийн дүн  (=мөр(31+32+33))</t>
  </si>
  <si>
    <t>1.7</t>
  </si>
  <si>
    <t>Үндсэн хөрөнгө /Цэвэр/</t>
  </si>
  <si>
    <t>1.8</t>
  </si>
  <si>
    <t>Биет бус хөрөнгө /Цэвэр/</t>
  </si>
  <si>
    <t>1.9</t>
  </si>
  <si>
    <t>Хөрөнгө оруулалтын зориулалттай үл хөдлөх  хөрөнгө</t>
  </si>
  <si>
    <t>1.10</t>
  </si>
  <si>
    <t>НИЙТ ХӨРӨНГИЙН ДҮН (=мөр(7+12+15+23+29+34+35+36+37)</t>
  </si>
  <si>
    <t>2</t>
  </si>
  <si>
    <t>ӨР ТӨЛБӨР БА ЭЗДИЙН ӨМЧ</t>
  </si>
  <si>
    <t>2.1</t>
  </si>
  <si>
    <t>ӨР ТӨЛБӨР</t>
  </si>
  <si>
    <t>2.1.1</t>
  </si>
  <si>
    <t>Даатгалын өглөг</t>
  </si>
  <si>
    <t>2.1.1.1</t>
  </si>
  <si>
    <t>Даатгалын хураамжийн буцаалтын өглөг</t>
  </si>
  <si>
    <t>2.1.1.2</t>
  </si>
  <si>
    <t>Даатгалын гэрээний шимтгэлийн өглөг</t>
  </si>
  <si>
    <t>2.1.1.3</t>
  </si>
  <si>
    <t>ДД өгөх өглөг</t>
  </si>
  <si>
    <t>2.1.1.4</t>
  </si>
  <si>
    <t>Даатгалын өглөгийн дүн  (=мөр(42+43+44))</t>
  </si>
  <si>
    <t>2.1.2</t>
  </si>
  <si>
    <t>Бусад санхүүгийн өр төлбөр</t>
  </si>
  <si>
    <t>2.1.2.1</t>
  </si>
  <si>
    <t>Зээлийн өглөг, хүү</t>
  </si>
  <si>
    <t>2.1.2.2</t>
  </si>
  <si>
    <t>Өрийн бичиг, хүү</t>
  </si>
  <si>
    <t>2.1.2.3</t>
  </si>
  <si>
    <t>Санхүүгийн түрээсийн өр төлбөр</t>
  </si>
  <si>
    <t>2.1.2.4</t>
  </si>
  <si>
    <t>Ногдол ашгийн өглөг</t>
  </si>
  <si>
    <t>2.1.2.5</t>
  </si>
  <si>
    <t>Деривативын өр төлбөр</t>
  </si>
  <si>
    <t>2.1.2.6</t>
  </si>
  <si>
    <t>Бусад өр төлбөр</t>
  </si>
  <si>
    <t>2.1.2.7</t>
  </si>
  <si>
    <t>Бусад санхүүгийн өр төлбөрийн дүн  (=мөр(47+...+52))</t>
  </si>
  <si>
    <t>2.1.3</t>
  </si>
  <si>
    <t>Бусад санхүүгийн бус өр төлбөр</t>
  </si>
  <si>
    <t>2.1.3.1</t>
  </si>
  <si>
    <t>Цалингийн өглөг</t>
  </si>
  <si>
    <t>2.1.3.2</t>
  </si>
  <si>
    <t>НДШ-ийн өглөг</t>
  </si>
  <si>
    <t>2.1.3.3</t>
  </si>
  <si>
    <t>ААНОАТатварын өглөг</t>
  </si>
  <si>
    <t>2.1.3.4</t>
  </si>
  <si>
    <t>Хойшлогдсон татварын өглөг</t>
  </si>
  <si>
    <t>2.1.3.5</t>
  </si>
  <si>
    <t>Урьдчилж орсон орлого</t>
  </si>
  <si>
    <t>2.1.3.6</t>
  </si>
  <si>
    <t>Нийгмийн хөгжлийн сангийн өр төлбөр</t>
  </si>
  <si>
    <t>2.1.3.7</t>
  </si>
  <si>
    <t>Хуулийн байууллагаар шийдэгдэж байгаа зүйлсийн өр төлбөр</t>
  </si>
  <si>
    <t>2.1.3.8</t>
  </si>
  <si>
    <t>Мөнгөөр төлөгдөх хувьцааны опцион</t>
  </si>
  <si>
    <t>2.1.3.9</t>
  </si>
  <si>
    <t>Тэтгэврийн сангийн өр төлбөр</t>
  </si>
  <si>
    <t>2.1.3.10</t>
  </si>
  <si>
    <t>Санхүүгийн түрээсийн хэрэгжээгүй орлого</t>
  </si>
  <si>
    <t>2.1.3.11</t>
  </si>
  <si>
    <t>2.1.3.12</t>
  </si>
  <si>
    <t>Бусад санхүүгийн бус өр төлбөрийн дүн  (=мөр(55+...+65))</t>
  </si>
  <si>
    <t>2.1.4</t>
  </si>
  <si>
    <t>Хоёрдогч өглөг</t>
  </si>
  <si>
    <t>2.1.5</t>
  </si>
  <si>
    <t>Давуу эрхийн хувьцаа (хөрвөхгүй)</t>
  </si>
  <si>
    <t>2.1.6</t>
  </si>
  <si>
    <t>Орлогод тооцоогүй хураамжийн нөөц</t>
  </si>
  <si>
    <t>2.1.7</t>
  </si>
  <si>
    <t>Нөөц сан</t>
  </si>
  <si>
    <t>2.1.7.1</t>
  </si>
  <si>
    <t xml:space="preserve">Учирсан боловч мэдэгдээгүй ХНС </t>
  </si>
  <si>
    <t>2.1.7.2</t>
  </si>
  <si>
    <t xml:space="preserve">Мэдсэн боловч төлөөгүй ХНС </t>
  </si>
  <si>
    <t>2.1.7.3</t>
  </si>
  <si>
    <t>Учирч болзошгүй ХНС</t>
  </si>
  <si>
    <t>2.1.7.4</t>
  </si>
  <si>
    <t>2.1.7.5</t>
  </si>
  <si>
    <t>Тусгай нөөц сан</t>
  </si>
  <si>
    <t>Нөөц сангийн дүн  (=мөр(71+...+74))</t>
  </si>
  <si>
    <t>2.1.8</t>
  </si>
  <si>
    <t>НИЙТ ӨР ТӨЛБӨРИЙН ДҮН (=мөр(45+53+66+67+68+69+75)</t>
  </si>
  <si>
    <t>2.2</t>
  </si>
  <si>
    <t>ЭЗДИЙН ӨМЧ</t>
  </si>
  <si>
    <t>2.2.1</t>
  </si>
  <si>
    <t>Эзэмшигчдийн өмч</t>
  </si>
  <si>
    <t>2.2.2</t>
  </si>
  <si>
    <t>Халаасны хувьцаа</t>
  </si>
  <si>
    <t>2.2.3</t>
  </si>
  <si>
    <t>Нэмж төлөгдсөн капитал</t>
  </si>
  <si>
    <t>2.2.4</t>
  </si>
  <si>
    <t>Тогтвортой байдлын нөөц сан</t>
  </si>
  <si>
    <t>2.2.5</t>
  </si>
  <si>
    <t>Хөрөнгийн дахин үнэлгээний өөрчлөлт</t>
  </si>
  <si>
    <t>2.2.6</t>
  </si>
  <si>
    <t>Гадаад валютын хөрвүүлэлтийн нөөц</t>
  </si>
  <si>
    <t>2.2.7</t>
  </si>
  <si>
    <t>Эздийн өмчийн бусад хэсэг</t>
  </si>
  <si>
    <t>2.2.8</t>
  </si>
  <si>
    <t>Хуримтлагдсан ашиг, алдагдал</t>
  </si>
  <si>
    <t>2.2.9</t>
  </si>
  <si>
    <t>ЭЗДИЙН ӨМЧИЙН ДҮН (=мөр(78+…+85)</t>
  </si>
  <si>
    <t>2.3</t>
  </si>
  <si>
    <t>НИЙТ ӨР ТӨЛБӨРИЙН БА ЭЗДИЙН ӨМЧИЙН ДҮН (=мөр(76+86)</t>
  </si>
  <si>
    <t>Бэлэн мөнгө /төгрөг/</t>
  </si>
  <si>
    <t>Бэлэн мөнгө /валют/</t>
  </si>
  <si>
    <t>Замд яваа мөнгө</t>
  </si>
  <si>
    <t>Дотоодын банкин дахь харилцах /төгрөг/</t>
  </si>
  <si>
    <t>Дотоодын банкин дахь харилцах /валют/</t>
  </si>
  <si>
    <t>Гадаадын банкин дахь харилцах</t>
  </si>
  <si>
    <t>Дотоодын банкин дахь хугацаагүй хадгаламж /төгрөг/</t>
  </si>
  <si>
    <t>Дотоодын банкин дахь хугацаагүй хадгаламж /валют/</t>
  </si>
  <si>
    <t>Санхүүгийн байгууллагад байршуулсан 3 сараас бага хугацаатай хөрөнгө /төгрөг/</t>
  </si>
  <si>
    <t>Санхүүгийн байгууллагад байршуулсан 3 сараас бага хугацаатай хөрөнгө /валют/</t>
  </si>
  <si>
    <t xml:space="preserve">Гадаадын санхүүгийн байгууллагад байршуулсан 3 сараас бага хугацаатай хөрөнгө </t>
  </si>
  <si>
    <t>Дотоодын банкин дахь 3 сар хүртлэх хугацаатай хадгаламж, хадгаламжийн сертификат /төгрөг/</t>
  </si>
  <si>
    <t>Дотоодын банкин дахь  хадгаламж, 3 сар хүртлэх хугацаатай хадгаламж, хадгаламжийн сертификат /валют/</t>
  </si>
  <si>
    <t>Гадаадын банкин дахь 3 сар хүртлэх хугацаатай хадгаламж, хадгаламжийн сертификат</t>
  </si>
  <si>
    <t>3 сар хүртэл хугацаатай Үнэт цаас /төгрөг/</t>
  </si>
  <si>
    <t>3 сар хүртэл хугацаатай Үнэт цаас /валют/</t>
  </si>
  <si>
    <t>Дотоодын банкинд байршуулсан 3 сар хүртлэх хугацаатай хөрөнгө оруулалтын хүү, хямдруулалтын авлага /төгрөг/</t>
  </si>
  <si>
    <t>Дотоодын банкинд байршуулсан 3 сар хүртлэх хугацаатай хөрөнгө оруулалтын хүү, хямдруулалтын авлага /валют/</t>
  </si>
  <si>
    <t>Гадаадын банкинд байршуулсан 3 сар хүртлэх хугацаатай хөрөнгө оруулалтын хүү, хямдруулалтын авлага</t>
  </si>
  <si>
    <t>Үнэт цаасанд хуримтлуулж тооцсон хүү /төгрөг/</t>
  </si>
  <si>
    <t>Үнэт цаасанд хуримтлуулж тооцсон хүү /валют/</t>
  </si>
  <si>
    <t xml:space="preserve">Даатгалын хураамжийн авлага </t>
  </si>
  <si>
    <t>Даатгалын хураамжийн авлагын эрсдэлийн сан</t>
  </si>
  <si>
    <t xml:space="preserve">Буруутай этгээдээс авах авлага </t>
  </si>
  <si>
    <t>Буруутай этгээдээс авах авлагын эрсдэлийн сан</t>
  </si>
  <si>
    <t xml:space="preserve">Давхар даатгагчаас авах нөхөн төлбөрийн авлага </t>
  </si>
  <si>
    <t>Давхар даатгагчаас авах нөхөн төлбөрийн авлагын эрсдэлийн сан</t>
  </si>
  <si>
    <t xml:space="preserve">Давхар даатгагчаас авах хураамжийн авлага </t>
  </si>
  <si>
    <t>Давхар даатгагчаас авах хураамжийн авлагын эрсдэлийн сан</t>
  </si>
  <si>
    <t xml:space="preserve">Давхар даатгагчаас авах шимтгэлийн авлага </t>
  </si>
  <si>
    <t>Давхар даатгагчаас авах шимтгэлийн эрсдэлийн сан</t>
  </si>
  <si>
    <t xml:space="preserve">Бусад авлага </t>
  </si>
  <si>
    <t>Бусад авлагын эрсдэлийн сан</t>
  </si>
  <si>
    <t>Татварын авлага</t>
  </si>
  <si>
    <t>НДШ-ийн авлага</t>
  </si>
  <si>
    <t>Банкинд байршуулсан 3 сараас дээш хугацаатай хадгаламж, хадгаламжийн сертификат /төгрөг/</t>
  </si>
  <si>
    <t>Банкинд байршуулсан 3 сараас дээш хугацаатай хадгаламж, хадгаламжийн сертификат /валют/</t>
  </si>
  <si>
    <t>Гадаадын банкинд байршуулсан 3 сараас дээш хугацаатай хадгаламж, хадгаламжийн сертификат</t>
  </si>
  <si>
    <t>Санхүүгийн байгууллагад байршуулсан 3 сараас дээш хугацаатай хөрөнгө оруулалт</t>
  </si>
  <si>
    <t>Банкинд байршуулсан 3 сараас дээш хугацаатай хадгаламж, хадгаламжийн сертификатийн хөнгөлөлт, урамшуулал, хямдруулалт</t>
  </si>
  <si>
    <t>Банкинд байршуулсан 3 сараас дээш хугацаатай хадгаламж, хадгаламжийн сертификат, хүүний авлага /төгрөг/</t>
  </si>
  <si>
    <t>Банкинд байршуулсан 3 сараас дээш хугацаатай хадгаламж, хадгаламжийн сертификат, хүүний авлага /валют/</t>
  </si>
  <si>
    <t xml:space="preserve">Хугацааны эцэс хүртэл эзэмших үнэт цаас /Дотоод/  </t>
  </si>
  <si>
    <t xml:space="preserve">Борлуулахад бэлэн үнэт цаас /Дотоод/  </t>
  </si>
  <si>
    <t>Арилжааны үнэт цаас</t>
  </si>
  <si>
    <t>Зээл ба авлага гэж ангилсан үнэт цаас</t>
  </si>
  <si>
    <t>Үнэт цаасны урамшуулал</t>
  </si>
  <si>
    <t>Үнэт цаасны хөнгөлөлт, хасагдуулга, хямдруулалт</t>
  </si>
  <si>
    <t>Үнэт цаасны хуримтлуулж тооцсон авлага</t>
  </si>
  <si>
    <t>Үнэт цаасны дахин үнэлгээний эрсдэлийн сан</t>
  </si>
  <si>
    <t>Охин компанид оруулсан хөрөнгө оруулалт</t>
  </si>
  <si>
    <t>Хараат компанид оруулсан хөрөнгө оруулалт</t>
  </si>
  <si>
    <t>Хамтын хяналттай компанид оруулсан хөрөнгө оруулалт</t>
  </si>
  <si>
    <t>Хараат, хамтын хяналттай, охин компаниудад оруулсан хөрөнгө оруулалтын эрсдэлийн сан</t>
  </si>
  <si>
    <t>Үнэт металл, Дериватив /Дотоод/</t>
  </si>
  <si>
    <t>Үнэт металл, Дериватив /Гадаад/</t>
  </si>
  <si>
    <t xml:space="preserve">Бичиг хэргийн материал </t>
  </si>
  <si>
    <t>Хангамжийн материал</t>
  </si>
  <si>
    <t>Түлш шатахуун</t>
  </si>
  <si>
    <t>Сэлбэг хэрэгсэл</t>
  </si>
  <si>
    <t>Сурталчилгааны материал</t>
  </si>
  <si>
    <t>Урьдчилж төлсөн тооцоо</t>
  </si>
  <si>
    <t>Урьдчилж төлсөн зардал</t>
  </si>
  <si>
    <t xml:space="preserve">Өмчлөх бусад хөрөнгө </t>
  </si>
  <si>
    <t>Өмчлөх бусад хөрөнгийн эрсдэлийн сан</t>
  </si>
  <si>
    <t>Нөхөн төлбөрийн нөөцийн давхар даатгагчид ногдох хэсэг УБМХНС</t>
  </si>
  <si>
    <t>Нөхөн төлбөрийн нөөцийн давхар даатгагчид ногдох хэсэг МБТХНС</t>
  </si>
  <si>
    <t>Даатгалын орлогын шимтгэлийн хойшлогдсон зардал /Зуучлагч/</t>
  </si>
  <si>
    <t>Даатгалын орлогын шимтгэлийн хойшлогдсон зардал /Төлөөлөгч/</t>
  </si>
  <si>
    <t>Даатгалын орлогын шимтгэлийн хойшлогдсон бусад зардал</t>
  </si>
  <si>
    <t>Газрын сайжруулалт</t>
  </si>
  <si>
    <t>Газар сайжруулалтын Хуримтлагдсан элэгдэл</t>
  </si>
  <si>
    <t xml:space="preserve">Барилга байгууламж </t>
  </si>
  <si>
    <t>Барилга байгууламж хуримтлагдсан элэгдэл</t>
  </si>
  <si>
    <t>Машин тоног төхөөрөмж</t>
  </si>
  <si>
    <t>Машин тоног төхөөрөмж хуримтлагдсан элэгдэл</t>
  </si>
  <si>
    <t>Тээврийн хэрэгсэл</t>
  </si>
  <si>
    <t>Тээврийн хэрэгсэл хуримтлагдсан элэгдэл</t>
  </si>
  <si>
    <t xml:space="preserve">Тавилга эд хогшил </t>
  </si>
  <si>
    <t>Тавилга эд хогшил хуримтлагдсан элэгдэл</t>
  </si>
  <si>
    <t>Компьютер дагалдах хэрэгсэл</t>
  </si>
  <si>
    <t>Компьютер дагалдах хэрэгсэл хуримтлагдсан элэгдэл</t>
  </si>
  <si>
    <t>Санхүүгийн түрээсийн хөрөнгө</t>
  </si>
  <si>
    <t>Санхүүгийн түрээсийн хөрөнгө хуримтлагдсан элэгдэл</t>
  </si>
  <si>
    <t>Мал сүрэг</t>
  </si>
  <si>
    <t>Мал сүргийн хуримтлагдсан элэгдэл</t>
  </si>
  <si>
    <t>Дуусаагүй барилга</t>
  </si>
  <si>
    <t>Зохиогчийн эрх</t>
  </si>
  <si>
    <t>Зохиогчийн эрх хуримтлагдсан хорогдуулалт</t>
  </si>
  <si>
    <t>Програм хангамж</t>
  </si>
  <si>
    <t>Програм хангамж хуримтлагдсан хорогдуулалт</t>
  </si>
  <si>
    <t>Патент</t>
  </si>
  <si>
    <t>Патент хуримтлагдсан хорогдуулалт</t>
  </si>
  <si>
    <t>Барааны тэмдэг</t>
  </si>
  <si>
    <t>Барааны тэмдэг хуримтлагдсан хорогдуулалт</t>
  </si>
  <si>
    <t>Газар эзэмших эрх</t>
  </si>
  <si>
    <t>Газар эзэмших эрх хуримтлагдсан хорогдуулалт</t>
  </si>
  <si>
    <t>Бусад биет бус хөрөнгө</t>
  </si>
  <si>
    <t>Бусад биет бус хөрөнгө хуримтлагдсан хорогдуулалт</t>
  </si>
  <si>
    <t>Хөрөнгө оруулалтын зориулалттай үл хөдлөх хөрөнгө</t>
  </si>
  <si>
    <t>Салбар хоорондын тооцоо</t>
  </si>
  <si>
    <t>Татварын өглөг</t>
  </si>
  <si>
    <t>Учирсан боловч мэдэгдээгүй хохирлыг барагдуулахтай холбогдон гарах зайлшгүй зардал</t>
  </si>
  <si>
    <t>Тусгай зориулалттай сан</t>
  </si>
  <si>
    <t>Хувьцаанд суурилсан төлбөр</t>
  </si>
  <si>
    <t>Хувьцаа эзэмшигчдээс оруулсан бусад хөрөнгө</t>
  </si>
  <si>
    <t>Бусад</t>
  </si>
  <si>
    <t>ДААТГАЛЫН АВЛАГА</t>
  </si>
  <si>
    <t>НИЙТ ХӨРӨНГИЙН ДҮН</t>
  </si>
  <si>
    <t xml:space="preserve">НИЙТ ӨР ТӨЛБӨРИЙН БА ЭЗДИЙН ӨМЧИЙН ДҮН </t>
  </si>
  <si>
    <t>ЕРДИЙН ДААТГАЛЫН КОМПАНИЙН САНХҮҮГИЙН БАЙДЛЫН ТАЙЛАН /ДАНСНЫ ЖАГСААЛТААР/</t>
  </si>
  <si>
    <t>Даатгалын хураамжийн орлого</t>
  </si>
  <si>
    <t>Даатгалын хураамжийн буцаалт</t>
  </si>
  <si>
    <t>Буруутай этгээдийн хариуцсан нөхөн төлбөр</t>
  </si>
  <si>
    <t>Хөрөнгө оруулалтын хүүний орлого</t>
  </si>
  <si>
    <t>Хямдруулалт, хөнгөлөлтийн орлого</t>
  </si>
  <si>
    <t>Хөрөнгө оруулалтын  олз</t>
  </si>
  <si>
    <t>Хараат ба хамтын хяналттай, охин компанид оруулсан хөрөнгө оруулалтын олз</t>
  </si>
  <si>
    <t>Түрээсийн орлого</t>
  </si>
  <si>
    <t>Эрхийн шимтгэлийн орлого</t>
  </si>
  <si>
    <t>Хүүгийн орлого /харилцах, хугацаагүй хадгаламж/</t>
  </si>
  <si>
    <t>Санхүүгийн түрээсийн орлого</t>
  </si>
  <si>
    <t>Эрсдэлийн сангаас хаагдсан авлагын эргэн төлөлт</t>
  </si>
  <si>
    <t>Үйл ажиллагааны бусад орлого</t>
  </si>
  <si>
    <t>Гадаад валютын ханшийн зөрүүний олз</t>
  </si>
  <si>
    <t>Биет болон биет бус хөрөнгө борлуулсан, данснаас хассаны олз</t>
  </si>
  <si>
    <t>Өрийн бичиг, Бонд эргэлтээс гаргалтын олз</t>
  </si>
  <si>
    <t>Торгууль алдангийн олз</t>
  </si>
  <si>
    <t>Хандивын олз</t>
  </si>
  <si>
    <t>Бусад олз</t>
  </si>
  <si>
    <t>Давхар даатгалын хураамж</t>
  </si>
  <si>
    <t>Давхар даатгалын хураамжийн буцаалт</t>
  </si>
  <si>
    <t>Нөхөн төлбөрийн зардал</t>
  </si>
  <si>
    <t>Учирсан боловч мэдэгдээгүй хохирлын НС-ийн өөрчлөлт</t>
  </si>
  <si>
    <t>Учирсан боловч мэдэгдээгүй хохирлыг барагдуулахтай холбогдон гарах зайлшгүй зардлын өөрчлөлт</t>
  </si>
  <si>
    <t>Мэдсэн боловч төлөөгүй хохирлын НС-ийн өөрчлөлт</t>
  </si>
  <si>
    <t>Учирч болзошгүй хохирлын нөөц сангийн өөрчлөлт</t>
  </si>
  <si>
    <t>Нөхөн төлбөрийн нөөцийн давхар даатгагчид ногдох хэсгийн өөрчлөлт УБМХНС</t>
  </si>
  <si>
    <t>Нөхөн төлбөрийн нөөцийн давхар даатгагчид ногдох хэсгийн өөрчлөлт МБТХНС</t>
  </si>
  <si>
    <t>Даатгалын гэрээний зардал /Зуучлагч/</t>
  </si>
  <si>
    <t>Даатгалын гэрээний зардал /Төлөөлөгч/</t>
  </si>
  <si>
    <t>Ажиллагчдын цалингийн зардал</t>
  </si>
  <si>
    <t>Байгууллагаас төлсөн НДШ-ийн зардал</t>
  </si>
  <si>
    <t>Татвар, төлбөр, хураамжийн зардал</t>
  </si>
  <si>
    <t>Томилолтын зардал</t>
  </si>
  <si>
    <t>Бичиг хэргийн зардал</t>
  </si>
  <si>
    <t>Шуудан холбооны зардал</t>
  </si>
  <si>
    <t>Мэргэжлийн үйлчилгээний зардал</t>
  </si>
  <si>
    <t>Сургалтын зардал</t>
  </si>
  <si>
    <t>Сонин сэтгүүл захиалгын зардал</t>
  </si>
  <si>
    <t>Даатгалын зардал</t>
  </si>
  <si>
    <t>Ашиглалтын зардал</t>
  </si>
  <si>
    <t>Засварын зардал</t>
  </si>
  <si>
    <t>Элэгдэл, хорогдлын зардал</t>
  </si>
  <si>
    <t>Түрээсийн зардал</t>
  </si>
  <si>
    <t>Харуул, хамгаалалтын зардал</t>
  </si>
  <si>
    <t>Цэвэрлэгээ, Үйлчилгээний зардал</t>
  </si>
  <si>
    <t>Тээврийн зардал</t>
  </si>
  <si>
    <t>Шатахууны зардал</t>
  </si>
  <si>
    <t>Хүлээн авалт, баяр ёслолын зардал</t>
  </si>
  <si>
    <t>Зар сурталчилгааны зардал</t>
  </si>
  <si>
    <t>Хөрөнгө оруулалтын гарз</t>
  </si>
  <si>
    <t>Хараат ба хамтын хяналттай, охин компанид оруулсан хөрөнгө оруулалтын гарз</t>
  </si>
  <si>
    <t>Үйл ажиллагааны бусад зардал</t>
  </si>
  <si>
    <t>Үйл ажиллагааны бус зардал</t>
  </si>
  <si>
    <t>Гадаад валютын ханшийн зөрүүний гарз</t>
  </si>
  <si>
    <t>Биет болон биет бус хөрөнгө борлуулсан, данснаас хассаны гарз</t>
  </si>
  <si>
    <t>Өрийн бичиг, бонд эргэлтээс гаргалтын гарз</t>
  </si>
  <si>
    <t>Торгууль алданги</t>
  </si>
  <si>
    <t>Бусад гарз</t>
  </si>
  <si>
    <t>Үйл ажиллагааны бус бусад зардал</t>
  </si>
  <si>
    <t>МАЯГТ СЗХ04102. ЕРДИЙН ДААТГАЛЫН КОМПАНИЙН ОРЛОГЫН ДЭЛГЭРЭНГҮЙ ТАЙЛАН</t>
  </si>
  <si>
    <t>Даатгалын үйл ажиллагаа</t>
  </si>
  <si>
    <t>Даатгалын хураамжийн нийт орлого</t>
  </si>
  <si>
    <t xml:space="preserve">Давхар даатгалын хураамжийн зардал </t>
  </si>
  <si>
    <t>Даатгалын хураамжийн цэвэр орлого (=мөр(2-3-4))</t>
  </si>
  <si>
    <t>Орлогод тооцоогүй хураамжийн нөөцийн өөрчлөлт</t>
  </si>
  <si>
    <t>Давхар даатгалын хойшлогдсон хураамжийн өөрчлөлт</t>
  </si>
  <si>
    <t>3</t>
  </si>
  <si>
    <t>3.1</t>
  </si>
  <si>
    <t>Нийт нөхөн төлбөрийн зардал</t>
  </si>
  <si>
    <t>3.2</t>
  </si>
  <si>
    <t xml:space="preserve">Давхар даатгагчийн хариуцсан нөхөн төлбөр </t>
  </si>
  <si>
    <t>3.3</t>
  </si>
  <si>
    <t xml:space="preserve">  Буруутай этгээдийн хариуцсан нөхөн төлбөр</t>
  </si>
  <si>
    <t>4</t>
  </si>
  <si>
    <t>Нөхөн төлбөрийн цэвэр зардал (=мөр(9-10-11))</t>
  </si>
  <si>
    <t>4.1</t>
  </si>
  <si>
    <t>Нөхөн төлбөрийн нөөц сангийн өөрчлөлт</t>
  </si>
  <si>
    <t>4.2</t>
  </si>
  <si>
    <t>Нөхөн төлбөрийн нөөц сангийн давхар даатгагчид ногдох хэсгийн өөрчлөлт</t>
  </si>
  <si>
    <t>4.3</t>
  </si>
  <si>
    <t xml:space="preserve">Учирч болзошгүй хохирлын нөөц сангийн өөрчлөлт </t>
  </si>
  <si>
    <t>5</t>
  </si>
  <si>
    <t>5.1</t>
  </si>
  <si>
    <t>Даатгалын гэрээний зардал</t>
  </si>
  <si>
    <t>5.2</t>
  </si>
  <si>
    <t xml:space="preserve">Давхар даатгалын шимтгэлийн орлого </t>
  </si>
  <si>
    <t>5.3</t>
  </si>
  <si>
    <t>Хөрөнгө оруулалтын олз, гарз</t>
  </si>
  <si>
    <t>6</t>
  </si>
  <si>
    <t>Даатгалын үйл ажиллагааны ашиг(алдагдал)(=мөр(8-16-17+18+19))</t>
  </si>
  <si>
    <t>6.1</t>
  </si>
  <si>
    <t>6.2</t>
  </si>
  <si>
    <t>Хүү, Эрхийн шимтгэлийн орлого</t>
  </si>
  <si>
    <t>6.3</t>
  </si>
  <si>
    <t>Бусад орлого</t>
  </si>
  <si>
    <t>6.4</t>
  </si>
  <si>
    <t>Ерөнхий ба удирдлагын зардал</t>
  </si>
  <si>
    <t>6.5</t>
  </si>
  <si>
    <t xml:space="preserve">Борлуулалт, маркетингийн зардал </t>
  </si>
  <si>
    <t>6.6</t>
  </si>
  <si>
    <t xml:space="preserve">Санхүүгийн зардал </t>
  </si>
  <si>
    <t>6.7</t>
  </si>
  <si>
    <t>Бусад зардал</t>
  </si>
  <si>
    <t>6.8</t>
  </si>
  <si>
    <t xml:space="preserve">Гадаад валютын ханшийн зөрүүний  олз (гарз) </t>
  </si>
  <si>
    <t>6.9</t>
  </si>
  <si>
    <t xml:space="preserve">Биет болон биет бус хөрөнгө данснаас хассаны олз (гарз) </t>
  </si>
  <si>
    <t>7</t>
  </si>
  <si>
    <t>Бусад ашиг ( алдагдал) (=мөр(21+22+23-24-25-26-27+28+29))</t>
  </si>
  <si>
    <t>8</t>
  </si>
  <si>
    <t>Татвар төлөхийн өмнөх  ашиг( алдагдал) (=мөр(20+30)</t>
  </si>
  <si>
    <t>8.1</t>
  </si>
  <si>
    <t>Орлогын албан татварын зардал</t>
  </si>
  <si>
    <t>9</t>
  </si>
  <si>
    <t>Татварын дараах ашиг (алдагдал) (=мөр(31-32))</t>
  </si>
  <si>
    <t>9.1</t>
  </si>
  <si>
    <t>Зогсоосон үйл ажиллагааны татварын дараах ашиг (алдагдал)</t>
  </si>
  <si>
    <t>10</t>
  </si>
  <si>
    <t>Тайлант үеийн цэвэр ашиг ( алдагдал) (=мөр(33+34))</t>
  </si>
  <si>
    <t>10.1</t>
  </si>
  <si>
    <t>Хөрөнгийн дахин үнэлгээний нэмэгдлийн зөрүү</t>
  </si>
  <si>
    <t>10.2</t>
  </si>
  <si>
    <t>Гадаад валютын хөрвүүлэлтийн зөрүү</t>
  </si>
  <si>
    <t>10.3</t>
  </si>
  <si>
    <t>11</t>
  </si>
  <si>
    <t>Орлогын нийт дүн (=мөр(35+36+37+38))</t>
  </si>
  <si>
    <t>11.1</t>
  </si>
  <si>
    <t>Нэгж хувьцаанд ногдох суурь ашиг (алдагдал)</t>
  </si>
  <si>
    <t>ЕРДИЙН ДААТГАЛЫН КОМПАНИЙН ОРЛОГЫН ДЭЛГЭРЭНГҮЙ ТАЙЛАН /ДАНСНЫ ЖАГСААЛТААР/</t>
  </si>
  <si>
    <t>Зардалд тооцсон нөхөн төлбөр (=мөр(12+13+14+15))</t>
  </si>
  <si>
    <t>МАЯГТ СЗХ04103. ӨМЧИЙН ӨӨРЧЛӨЛТИЙН ТАЙЛАН</t>
  </si>
  <si>
    <t>ҮЗҮҮЛЭЛТ</t>
  </si>
  <si>
    <t>Өмч</t>
  </si>
  <si>
    <t>Хөрөнгийн дахин үнэлгээний нэмэгдэл</t>
  </si>
  <si>
    <t>Хуримтлагдсан ашиг</t>
  </si>
  <si>
    <t>Нийт дүн</t>
  </si>
  <si>
    <t>20.... оны ..-р сарын ...-ний үлдэгдэл</t>
  </si>
  <si>
    <t>Нягтлан бодох бүртгэлийн бодлогын өөрчлөлтийн нөлөө, алдааны залруулга</t>
  </si>
  <si>
    <t>Залруулсан  үлдэгдэл</t>
  </si>
  <si>
    <t>Тайлант үеийн цэвэр ашиг (алдагдал)</t>
  </si>
  <si>
    <t>Бусад дэлгэрэнгүй орлого</t>
  </si>
  <si>
    <t>Өмчид гарсан өөрчлөлт</t>
  </si>
  <si>
    <t xml:space="preserve">Зарласан ногдол ашиг </t>
  </si>
  <si>
    <t>Дахин үнэлгээний нэмэгдлийн хэрэгжсэн дүн</t>
  </si>
  <si>
    <t>20.... оны ... -р сарын ... -ний үлдэгдэл</t>
  </si>
  <si>
    <t>МАЯГТ СЗХ04104. МӨНГӨН ГҮЙЛГЭЭНИЙ ТАЙЛАН</t>
  </si>
  <si>
    <t xml:space="preserve"> ҮЗҮҮЛЭЛТ</t>
  </si>
  <si>
    <t>1</t>
  </si>
  <si>
    <t>Үндсэн үйл ажиллагааны мөнгөн гүйлгээ</t>
  </si>
  <si>
    <t>Мөнгөн орлогын дүн (+)</t>
  </si>
  <si>
    <t>Давхар даатгалын нөхөн төлбөр</t>
  </si>
  <si>
    <t>Эрхийн шимтгэл, хураамж, төлбөрийн орлого</t>
  </si>
  <si>
    <t xml:space="preserve">Даатгалын нөхвөрөөс хүлээн авсан мөнгө </t>
  </si>
  <si>
    <t>Буцаан авсан албан татвар</t>
  </si>
  <si>
    <t>1.1.6</t>
  </si>
  <si>
    <t>Татаас, санхүүжилтийн орлого</t>
  </si>
  <si>
    <t>1.1.7</t>
  </si>
  <si>
    <t>Бусад мөнгөн орлого</t>
  </si>
  <si>
    <t>Мөнгөн зарлагын дүн (-)</t>
  </si>
  <si>
    <t xml:space="preserve">Ажиллагчдад төлсөн </t>
  </si>
  <si>
    <t>Нийгмийн даатгалын байгууллагад төлсөн</t>
  </si>
  <si>
    <t>Бараа материал худалдан авахад төлсөн</t>
  </si>
  <si>
    <t xml:space="preserve">Ашиглалтын зардалд төлсөн </t>
  </si>
  <si>
    <t>1.2.5</t>
  </si>
  <si>
    <t>Давхар даатгагчид төлсөн давхар даатгалын хураамж</t>
  </si>
  <si>
    <t>1.2.6</t>
  </si>
  <si>
    <t>Нөхөн төлбөрт төлсөн</t>
  </si>
  <si>
    <t>1.2.7</t>
  </si>
  <si>
    <t>Үүнээс: Сайн дурын даатгалын</t>
  </si>
  <si>
    <t>1.2.8</t>
  </si>
  <si>
    <t>Албан журмын даатгалын</t>
  </si>
  <si>
    <t>1.2.9</t>
  </si>
  <si>
    <t>Даатгалын төлөөлөгчийн шимтгэл</t>
  </si>
  <si>
    <t>1.2.10</t>
  </si>
  <si>
    <t>Даатгалын зуучлагчид төлсөн төлбөр</t>
  </si>
  <si>
    <t>1.2.11</t>
  </si>
  <si>
    <t>Даатгалын хохирол үнэлэгчид төлсөн төлбөр</t>
  </si>
  <si>
    <t>1.2.12</t>
  </si>
  <si>
    <t>Түлш шатахуун, тээврийн хөлс, сэлбэг хэрэгсэлд төлсөн</t>
  </si>
  <si>
    <t>1.2.13</t>
  </si>
  <si>
    <t xml:space="preserve">Хүүний төлбөрт төлсөн </t>
  </si>
  <si>
    <t>1.2.14</t>
  </si>
  <si>
    <t xml:space="preserve">Татварын байгууллагад төлсөн </t>
  </si>
  <si>
    <t>1.2.15</t>
  </si>
  <si>
    <t xml:space="preserve">Даатгалын төлбөрт төлсөн </t>
  </si>
  <si>
    <t>1.2.16</t>
  </si>
  <si>
    <t>Бусад мөнгөн зарлага</t>
  </si>
  <si>
    <t>Үндсэн үйл ажиллагааны цэвэр мөнгөн гүйлгээний дүн</t>
  </si>
  <si>
    <t>Хөрөнгө оруулалтын үйл ажиллагааны мөнгөн гүйлгээ</t>
  </si>
  <si>
    <t>Үндсэн хөрөнгө борлуулсны орлого</t>
  </si>
  <si>
    <t>Биет бус хөрөнгө борлуулсны орлого</t>
  </si>
  <si>
    <t>Хөрөнгө оруулалт борлуулсны орлого</t>
  </si>
  <si>
    <t>Бусад урт хугацаат хөрөнгө борлуулсны орлого</t>
  </si>
  <si>
    <t>Бусдад олгосон зээл, мөнгөн урьдчилгааны буцаан төлөлт</t>
  </si>
  <si>
    <t>Хүлээн авсан хүүний орлого</t>
  </si>
  <si>
    <t>Хүлээн авсан ногдол ашиг</t>
  </si>
  <si>
    <t xml:space="preserve">Үндсэн хөрөнгө олж эзэмшихэд төлсөн </t>
  </si>
  <si>
    <t xml:space="preserve">Биет бус хөрөнгө олж эзэмшихэд төлсөн </t>
  </si>
  <si>
    <t xml:space="preserve">Хөрөнгө оруулалт олж эзэмшихэд төлсөн </t>
  </si>
  <si>
    <t>Бусад урт хугацаат хөрөнгө олж эзэмшихэд төлсөн</t>
  </si>
  <si>
    <t>Бусдад олгосон зээл болон урьдчилгаа</t>
  </si>
  <si>
    <t>Хөрөнгө оруулалтын үйл ажиллагааны цэвэр мөнгөн гүйлгээний дүн</t>
  </si>
  <si>
    <t>Санхүүгийн үйл ажиллагааны мөнгөн гүйлгээ</t>
  </si>
  <si>
    <t>3.1.1</t>
  </si>
  <si>
    <t xml:space="preserve">Зээл авсан, өрийн үнэт цаас гаргаснаас хүлээн авсан </t>
  </si>
  <si>
    <t>3.1.2</t>
  </si>
  <si>
    <t>Хувьцаа болон өмчийн бусад үнэт цаас гаргаснаас хүлээн авсан</t>
  </si>
  <si>
    <t>3.1.3</t>
  </si>
  <si>
    <t>Төрөл бүрийн хандив</t>
  </si>
  <si>
    <t>3.1.4</t>
  </si>
  <si>
    <t>3.2.1</t>
  </si>
  <si>
    <t>Зээл, өрийн үнэт цаасны төлбөрт төлсөн мөнгө</t>
  </si>
  <si>
    <t>3.2.2</t>
  </si>
  <si>
    <t xml:space="preserve">Санхүүгийн түрээсийн өглөгт төлсөн </t>
  </si>
  <si>
    <t>3.2.3</t>
  </si>
  <si>
    <t>Хувьцаа буцаан худалдаж авахад төлсөн</t>
  </si>
  <si>
    <t>3.2.4</t>
  </si>
  <si>
    <t>Төлсөн ногдол ашиг</t>
  </si>
  <si>
    <t>3.2.5</t>
  </si>
  <si>
    <t>Санхүүгийн үйл ажиллагааны цэвэр мөнгөн гүйлгээний дүн</t>
  </si>
  <si>
    <t>Бүх цэвэр мөнгөн гүйлгээ</t>
  </si>
  <si>
    <t>Мөнгө, түүнтэй адилтгах хөрөнгийн эхний үлдэгдэл</t>
  </si>
  <si>
    <t>Мөнгө, түүнтэй адилтгах хөрөнгийн эцсийн үлдэгдэл</t>
  </si>
  <si>
    <t>МАЯГТ СЗХ04105. ДААТГАЛЫН КОМПАНИЙН ДҮРМИЙН САНГИЙН ХӨРӨНГИЙН БАЙРШИЛ</t>
  </si>
  <si>
    <t>Дүн</t>
  </si>
  <si>
    <t>Эзлэх хувь</t>
  </si>
  <si>
    <t>Банкны харилцах (=мөр(3+4+5)</t>
  </si>
  <si>
    <t>Банкны хугацаагүй хадгаламж (=мөр(7+8))</t>
  </si>
  <si>
    <t>Банкны хугацаатай хадгаламж (=мөр(10+11))</t>
  </si>
  <si>
    <t>Банкны хадгаламжийн сертификат (мөр12=мөр(13+14+15)</t>
  </si>
  <si>
    <t>Үнэт цаас (мөр16=мөр(17+18+...25))</t>
  </si>
  <si>
    <t>Засгийн газрын өрийн хэрэгсэл</t>
  </si>
  <si>
    <t>Төв банкны үнэт цаас</t>
  </si>
  <si>
    <t>Хөрөнгөөр баталгаажсан үнэт цаас</t>
  </si>
  <si>
    <t>Аймаг, нийслэлийн гаргасан өрийн бичиг</t>
  </si>
  <si>
    <t>Компанийн бонд</t>
  </si>
  <si>
    <t>ХБ-ийн I ангиллын хувьцаа</t>
  </si>
  <si>
    <t>ХБ-ийн II ангиллын хувьцаа</t>
  </si>
  <si>
    <t>Хөрөнгө оруулалтын сангийн үнэт цаас /нэгж эрх/</t>
  </si>
  <si>
    <t xml:space="preserve">Бусад </t>
  </si>
  <si>
    <t>Санхүүгийн түрээс</t>
  </si>
  <si>
    <t>Бусад санхүүгийн байгууллагад байршуулсан хөрөнгө (=мөр(30+31+32))</t>
  </si>
  <si>
    <t>11.2</t>
  </si>
  <si>
    <t>12.1</t>
  </si>
  <si>
    <t>12.2</t>
  </si>
  <si>
    <t>12.3</t>
  </si>
  <si>
    <t>12.4</t>
  </si>
  <si>
    <t>12.5</t>
  </si>
  <si>
    <t>.......санхүүгийн байгууллага</t>
  </si>
  <si>
    <t>Үл хөдлөх хөрөнгө</t>
  </si>
  <si>
    <t>Бусад үндсэн хөрөнгө</t>
  </si>
  <si>
    <t>Бусад санхүүгийн ба санхүүгийн бус хөрөнгө</t>
  </si>
  <si>
    <t>Биет бус хөрөнгө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</si>
  <si>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</si>
  <si>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</si>
  <si>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</si>
  <si>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</si>
  <si>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</si>
  <si>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</si>
  <si>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</si>
  <si>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</si>
  <si>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</si>
  <si>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</si>
  <si>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</si>
  <si>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</si>
  <si>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</si>
  <si>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</si>
  <si>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</si>
  <si>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</si>
  <si>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</si>
  <si>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</si>
  <si>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</si>
  <si>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</si>
  <si>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</si>
  <si>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</si>
  <si>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</si>
  <si>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</si>
  <si>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</si>
  <si>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</si>
  <si>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</si>
  <si>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</si>
  <si>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</si>
  <si>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</si>
  <si>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</si>
  <si>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</si>
  <si>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</si>
  <si>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</si>
  <si>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</si>
  <si>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</si>
  <si>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</si>
  <si>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</si>
  <si>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</si>
  <si>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</si>
  <si>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10.4</t>
  </si>
  <si>
    <t>10.5</t>
  </si>
  <si>
    <t>10.6</t>
  </si>
  <si>
    <t>10.7</t>
  </si>
  <si>
    <t>10.8</t>
  </si>
  <si>
    <t>10.9</t>
  </si>
  <si>
    <t>10.10</t>
  </si>
  <si>
    <t>МАЯГТ СЗХ04106. ДААТГАЛЫН КОМПАНИЙН ХӨРӨНГИЙН ЭРСДЭЛИЙН ТАЙЛАН</t>
  </si>
  <si>
    <t>А. ХУВЬЦАА БОЛОН ТҮҮНТЭЙ АДИЛТГАН ТООЦОХ ҮНЭТ ЦААСНААС БУСАД ҮНЭТ ЦААС</t>
  </si>
  <si>
    <t>Хувьцаа болон түүнтэй адилтган тооцох үнэт цааснаас бусад үнэт цаас</t>
  </si>
  <si>
    <t>Хэвийн</t>
  </si>
  <si>
    <t>Хугацаа хэтэрсэн</t>
  </si>
  <si>
    <t>Хэвийн бус</t>
  </si>
  <si>
    <t>Эргэлзээтэй</t>
  </si>
  <si>
    <t>Муу</t>
  </si>
  <si>
    <t>.....үнэт цаасны ангилал</t>
  </si>
  <si>
    <t>Хувьцаа болон түүнтэй адилтган тооцох үнэт цааснаас бусад үнэт цаасны нийт дүн (=мөр(2+3))</t>
  </si>
  <si>
    <t>Хувьцаа болон түүнтэй адилтган тооцох үнэт цааснаас бусад үнэт цаасны эрсдэлийн дүн</t>
  </si>
  <si>
    <t>Хувьцаа болон түүнтэй адилтган тооцох үнэт цааснаас бусад үнэт цаасны цэвэр дүн (=мөр(4-5))</t>
  </si>
  <si>
    <t>Б. ӨМЧЛӨХ БУСАД ХӨРӨНГӨ</t>
  </si>
  <si>
    <t>Өмчлөх бусад хөрөнгө</t>
  </si>
  <si>
    <t>Өмчлөх бусад хөрөнгийн нийт дүн (=мөр(2+3))</t>
  </si>
  <si>
    <t>Өмчлөх бусад хөрөнгийн эрсдэлийн дүн</t>
  </si>
  <si>
    <t>Өмчлөх бусад хөрөнгийн цэвэр дүн (мөр5=мөр(3-4)</t>
  </si>
  <si>
    <t>В. АВЛАГА</t>
  </si>
  <si>
    <t>Авлагын төрөл</t>
  </si>
  <si>
    <t>I</t>
  </si>
  <si>
    <t>Даатгалын хураамжийн авлага</t>
  </si>
  <si>
    <t>Буруутай этгээдээс авах авлага</t>
  </si>
  <si>
    <t>Давхар даатгалаас авах авлага</t>
  </si>
  <si>
    <t>Даатгалын авлагын нийт дүн (=мөр(2+3+4))</t>
  </si>
  <si>
    <t>Даатгалын авлагын эрсдлийн дүн</t>
  </si>
  <si>
    <t>Даатгалын авлагын цэвэр дүн (=мөр(5-6))</t>
  </si>
  <si>
    <t>II</t>
  </si>
  <si>
    <t>БУСАД САНХҮҮГИЙН БА САНХҮҮГИЙН БУС ХӨРӨНГӨД БАЙГАА АВЛАГА</t>
  </si>
  <si>
    <t>.... авлагын төрөл</t>
  </si>
  <si>
    <t>Бусад санхүүгийн ба санхүүгийн бус хөрөнгөд байгаа авлагын дүн (=мөр(9+10))</t>
  </si>
  <si>
    <t>Авлагын эрсдлийн дүн</t>
  </si>
  <si>
    <t>Бусад санхүүгийн ба санхүүгийн бус хөрөнгөд байгаа авлагын цэвэр дүн (=мөр11-мөр12)</t>
  </si>
  <si>
    <t xml:space="preserve">ДҮН </t>
  </si>
  <si>
    <t>... хөрөнгө</t>
  </si>
  <si>
    <t>МАЯГТ СЗХ04107. ЕРДИЙН ДААТГАЛЫН КОМПАНИЙН НӨӨЦ САНГИЙН ТАЙЛАН</t>
  </si>
  <si>
    <t>Даатгалын нөөц сан</t>
  </si>
  <si>
    <t xml:space="preserve">Үүнээс: Даатгалын нөөцийн давхар даатгагчид ногдох хэсэг </t>
  </si>
  <si>
    <t>Эхний үлдэгдэл</t>
  </si>
  <si>
    <t xml:space="preserve">Нэмэгдсэн </t>
  </si>
  <si>
    <t>Хасагдсан</t>
  </si>
  <si>
    <t xml:space="preserve">Эцсийн үлдэгдэл </t>
  </si>
  <si>
    <t>1. Сайн дурын даатгал</t>
  </si>
  <si>
    <t>Учирсан боловч мэдэгдээгүй хохирлын нөөц сан</t>
  </si>
  <si>
    <t>Мэдсэн боловч төлөөгүй хохирлын нөөц сан</t>
  </si>
  <si>
    <t>Учирч болзошгүй хохирлын нөөц сан</t>
  </si>
  <si>
    <t>2. Албан журмын даатгал</t>
  </si>
  <si>
    <t xml:space="preserve">   Жич: Актуар тооцооллыг хавсаргана.</t>
  </si>
  <si>
    <t>МАЯГТ СЗХ04108. ЕРДИЙН ДААТГАЛЫН КОМПАНИЙН УЧИРСАН БОЛОВЧ МЭДЭГДЭЭГҮЙ ХОХИРЛЫН НӨӨЦ САНГИЙН ДЭЛГЭРЭНГҮЙ ТАЙЛАН</t>
  </si>
  <si>
    <t>Даатгалын хэлбэр</t>
  </si>
  <si>
    <t xml:space="preserve"> Гэнэтийн осол, эмчилгээний даатгал</t>
  </si>
  <si>
    <t xml:space="preserve"> Хөрөнгийн даатгал</t>
  </si>
  <si>
    <t xml:space="preserve"> Авто тээврийн хэрэгслийн даатгал</t>
  </si>
  <si>
    <t xml:space="preserve"> Ачааны даатгал</t>
  </si>
  <si>
    <t xml:space="preserve"> Барилга угсралтын даатгал</t>
  </si>
  <si>
    <t xml:space="preserve"> Газар тариалангийн даатгал</t>
  </si>
  <si>
    <t xml:space="preserve"> Мал амьтдын даатгал</t>
  </si>
  <si>
    <t xml:space="preserve"> Агаарын хөлгийн даатгал</t>
  </si>
  <si>
    <t xml:space="preserve"> Авто тээврийн хэрэгслийн жолоочийн хариуцлагын даатгал</t>
  </si>
  <si>
    <t xml:space="preserve"> Хариуцлагын даатгал</t>
  </si>
  <si>
    <t xml:space="preserve"> Санхүүгийн даатгал</t>
  </si>
  <si>
    <t xml:space="preserve"> Зээлийн даатгал</t>
  </si>
  <si>
    <t xml:space="preserve"> Итгэлцлийн даатгал</t>
  </si>
  <si>
    <t xml:space="preserve"> Төмөр замын болон усан замын тээврийн хэрэгслийн даатгал</t>
  </si>
  <si>
    <t xml:space="preserve"> Төмөр замын эсхүл усан замын тээврийн хэрэгслийг өмчлөх, эзэмших ашиглахтай холбоотой хариуцлагын даатгал</t>
  </si>
  <si>
    <t xml:space="preserve"> Агаарын хөлгийг өмчлөх, эзэмших, ашиглахтай холбоотой хариуцлагын даатгал</t>
  </si>
  <si>
    <t xml:space="preserve"> Жолоочийн хариуцлагын даатгал</t>
  </si>
  <si>
    <t>МАЯГТ СЗХ04109. ЕРДИЙН ДААТГАЛЫН КОМПАНИЙН МЭДСЭН БОЛОВЧ ТӨЛӨӨГҮЙ ХОХИРЛЫН НӨӨЦ САНГИЙН ДЭЛГЭРЭНГҮЙ ТАЙЛАН</t>
  </si>
  <si>
    <t>Даатгалын төрөл</t>
  </si>
  <si>
    <t>МАЯГТ СЗХ04110. ЕРДИЙН ДААТГАЛЫН КОМПАНИЙН УЧИРЧ БОЛЗОШГҮЙ ХОХИРЛЫН НӨӨЦ САНГИЙН ДЭЛГЭРЭНГҮЙ ТАЙЛАН</t>
  </si>
  <si>
    <t>МАЯГТ СЗХ04111. ЕРДИЙН ДААТГАЛЫН КОМПАНИЙН ОРЛОГОД ТООЦООГҮЙ ХУРААМЖИЙН НӨӨЦИЙН ДЭЛГЭРЭНГҮЙ ТАЙЛАН</t>
  </si>
  <si>
    <t>ДҮН</t>
  </si>
  <si>
    <t>МАЯГТ СЗХ04112. ЕРДИЙН ДААТГАЛЫН КОМПАНИЙН ДААТГАЛЫН ҮЙЛ АЖИЛЛАГААНЫ ДЭЛГЭРЭНГҮЙ ТАЙЛАН</t>
  </si>
  <si>
    <t>Даатгалын үнэлгээ</t>
  </si>
  <si>
    <t>Үүнээс</t>
  </si>
  <si>
    <t xml:space="preserve">Даатгалын хураамжийн буцаалт </t>
  </si>
  <si>
    <t>Даатгалын хураамжийн цэвэр орлогын дүн</t>
  </si>
  <si>
    <t xml:space="preserve">Хойшлуулсан давхар даатгалын хураамжийн өөрчлөлт </t>
  </si>
  <si>
    <t>Орлогод тооцсон хураамжийн дүн</t>
  </si>
  <si>
    <t xml:space="preserve">Нөхөн төлбөрийн цэвэр зардлын дүн </t>
  </si>
  <si>
    <t xml:space="preserve">Нөхөн төлбөрийн нөөцийн сангийн өөрчлөлт </t>
  </si>
  <si>
    <t xml:space="preserve">Нөхөн төлбөрийн нөөцийн давхар даатгагчид ногдох хэсгийн өөрчлөлт </t>
  </si>
  <si>
    <t>Зардалд тооцсон нөхөн төлбөрийн дүн</t>
  </si>
  <si>
    <t>Даатгалын зуучлагчаар дамжиж орсон</t>
  </si>
  <si>
    <t>Даатгалын төлөөлөгчөөр дамжиж орсон</t>
  </si>
  <si>
    <t>Давхар даатгагчийн хариуцсан</t>
  </si>
  <si>
    <t>Буруутай этгээдээс төлүүлсэн</t>
  </si>
  <si>
    <t>Даатгалын зуучлагчийн шимтгэл</t>
  </si>
  <si>
    <t xml:space="preserve"> 1.1 Гэнэтийн осол, эмчилгээний даатгал</t>
  </si>
  <si>
    <t xml:space="preserve"> 2.1 Жолоочийн хариуцлагын даатгал</t>
  </si>
  <si>
    <t>МАЯГТ СЗХ04113. ЕРДИЙН ДААТГАЛЫН КОМПАНИЙН ДААТГУУЛАГЧИЙН ДЭЛГЭРЭНГҮЙ ТАЙЛАН</t>
  </si>
  <si>
    <t>(тоогоор)</t>
  </si>
  <si>
    <t>Даатгуулагчийн тоо</t>
  </si>
  <si>
    <t xml:space="preserve">Байгуулсан даатгалын гэрээний тоо </t>
  </si>
  <si>
    <t xml:space="preserve">Нөхөн төлбөр авсан даатгуулагчийн тоо </t>
  </si>
  <si>
    <t>Хувь хүн</t>
  </si>
  <si>
    <t>Хуулийн этгээд</t>
  </si>
  <si>
    <t>Хувь хүнтэй байгуулсан</t>
  </si>
  <si>
    <t>Хуулийн этгээдтэй байгуулсан</t>
  </si>
  <si>
    <t>Үүнээс: хамрагдсан даатгалын зүйлийн тоо</t>
  </si>
  <si>
    <t>Нийт нэхэмжлэлийн  тоо</t>
  </si>
  <si>
    <t>Нөхөн төлбөр авсан даатгуулагчийн тоо</t>
  </si>
  <si>
    <t>Үүнээс: Хувь хүн</t>
  </si>
  <si>
    <t>Үүнээс: Олгосон хувь хүн</t>
  </si>
  <si>
    <t>Даатгалын нөхөн төлбөр олгогдсон даатгалын гэрээний тоо</t>
  </si>
  <si>
    <t>МАЯГТ СЗХ04114. ЕРДИЙН ДААТГАЛЫН КОМПАНИЙН ДААТГАСАН ДААТГАЛЫН ЗҮЙЛИЙН ТАЙЛАН</t>
  </si>
  <si>
    <t>Даатгалын зүйл</t>
  </si>
  <si>
    <t>Хэмжих нэгж</t>
  </si>
  <si>
    <t>Даатгасан даатгалын зүйлийн тоо</t>
  </si>
  <si>
    <t>Хүний амь нас, эрүүл мэнд</t>
  </si>
  <si>
    <t>хүн</t>
  </si>
  <si>
    <t>Жолоочийн хариуцлагын даатгалд хамтрагдсан жолоочийн тоо</t>
  </si>
  <si>
    <t>Байшин барилга</t>
  </si>
  <si>
    <t>ш</t>
  </si>
  <si>
    <t>Тоног төхөөрөмж</t>
  </si>
  <si>
    <t>Автотээврийн хэрэгсэл</t>
  </si>
  <si>
    <t>Ачаа</t>
  </si>
  <si>
    <t>тн</t>
  </si>
  <si>
    <t>Газар тариалан</t>
  </si>
  <si>
    <t>га</t>
  </si>
  <si>
    <t>Мал, амьтад</t>
  </si>
  <si>
    <t>толгой</t>
  </si>
  <si>
    <t>Агаарын хөлөг</t>
  </si>
  <si>
    <t>Мөнгөн хөрөнгө</t>
  </si>
  <si>
    <t>төгрөг</t>
  </si>
  <si>
    <t>МАЯГТ СЗХ04115. ДААТГАЛЫН КОМПАНИЙН ДАВХАР ДААТГАЛЫН ҮЙЛ АЖИЛЛАГААНЫ ДЭЛГЭРЭНГҮЙ ТАЙЛАН</t>
  </si>
  <si>
    <t>ДД</t>
  </si>
  <si>
    <t>Даатгалын гэрээний тоо /тоогоор/</t>
  </si>
  <si>
    <t>Давхар даатгалд шилжүүлсэн даатгалын үнэлгээ</t>
  </si>
  <si>
    <t>Давхар даатгалд шилжүүлсэн даатгалын хураамж</t>
  </si>
  <si>
    <t>Давхар даатгагчаас төлсөн нөхөн төлбөр</t>
  </si>
  <si>
    <t>Давхар даатгалын комиссын орлого</t>
  </si>
  <si>
    <t>МАЯГТ СЗХ04116. ДААТГАЛЫН КОМПАНИЙН САЛБАР, ТӨЛӨӨЛӨГЧИЙН ГАЗРЫН ЕРӨНХИЙ МЭДЭЭЛЛИЙН ТАЙЛАН</t>
  </si>
  <si>
    <t>Салбарын мэдээлэл</t>
  </si>
  <si>
    <t>Нийт хөрөнгө</t>
  </si>
  <si>
    <t>Үүнээс:</t>
  </si>
  <si>
    <t>Ажиллагчдын тоо /тоогоор/</t>
  </si>
  <si>
    <t>Нөхөн төлбөр авсан даатгуулагчийн тоо  /тоогоор/</t>
  </si>
  <si>
    <t>Үндсэн хөрөнгө</t>
  </si>
  <si>
    <t>хувь хүн</t>
  </si>
  <si>
    <t>хуулийн этгээд</t>
  </si>
  <si>
    <t>Үүнээс: хамрагдсан даатгалын зүйл</t>
  </si>
  <si>
    <t>Төв компани</t>
  </si>
  <si>
    <t>МАЯГТ СЗХ04117. ДААТГАЛЫН КОМПАНИЙН ХОЛБОГДОХ ЭТГЭЭД БОЛОН ТҮҮНТЭЙ ХОЛБООТОЙ ТАЛУУДТАЙ ХИЙСЭН АЖИЛ, ГҮЙЛГЭЭНИЙ ТАЙЛАН</t>
  </si>
  <si>
    <t>Холбоотой талын нэр</t>
  </si>
  <si>
    <t>Ажил гүйлгээний утга</t>
  </si>
  <si>
    <t>Орлого</t>
  </si>
  <si>
    <t>Зарлага</t>
  </si>
  <si>
    <t>Үлдэгдэл</t>
  </si>
  <si>
    <t xml:space="preserve">.............холбогдох этгээд </t>
  </si>
  <si>
    <t>Даатгалын зуучлагч, төлөөлөгчийн нэр</t>
  </si>
  <si>
    <t>Даатгалын  үнэлгээний дүн</t>
  </si>
  <si>
    <t>Даатгалын шимтгэлийн дүн</t>
  </si>
  <si>
    <t xml:space="preserve">Нийт </t>
  </si>
  <si>
    <t>Төрийн болон орон нутгийн өмчит хуулийн этгээд</t>
  </si>
  <si>
    <t>Үүнээс: Төрийн байгууллага, албан газар</t>
  </si>
  <si>
    <t>Хувьцаат компани</t>
  </si>
  <si>
    <t>Гадаадын хөрөнгө оруулалттай компани</t>
  </si>
  <si>
    <t>Бусад төлөөлөгч</t>
  </si>
  <si>
    <t>Даатгалын төлөөлөгч / хамгийн их дүнтэйгээс эхэлнэ</t>
  </si>
  <si>
    <t xml:space="preserve">......  Даатгалын зуучлагч </t>
  </si>
  <si>
    <t>......  Даатгалын зуучлагч</t>
  </si>
  <si>
    <t xml:space="preserve">........Даатгалын төлөөлөгч </t>
  </si>
  <si>
    <t>Бусад даатгалын зуучлагч</t>
  </si>
  <si>
    <t>Хөрөнгийн ангилал</t>
  </si>
  <si>
    <t>REQD</t>
  </si>
  <si>
    <t>NTYPE</t>
  </si>
  <si>
    <t>DTYPE</t>
  </si>
  <si>
    <t>NCODE</t>
  </si>
  <si>
    <t>Нэгжид ногдох хөрөнгийн дүн</t>
  </si>
  <si>
    <t>Нэгжид ногдох хөрөнгийн  дээд хувь</t>
  </si>
  <si>
    <t>Нэгжид ногдох зөвшөөрөгдөх хэмжээнд байгаа дүн</t>
  </si>
  <si>
    <t xml:space="preserve">Нэгжид ногдох тухайн хөрөнгийн зөвшөөрөгдөхгүй дүн </t>
  </si>
  <si>
    <t>5.1.1</t>
  </si>
  <si>
    <t>5.1.2</t>
  </si>
  <si>
    <t>5.1.3</t>
  </si>
  <si>
    <t>5.1.4</t>
  </si>
  <si>
    <t>5.1.5</t>
  </si>
  <si>
    <t>5.1.6</t>
  </si>
  <si>
    <t>5.2.1</t>
  </si>
  <si>
    <t>5.2.2</t>
  </si>
  <si>
    <t>5.2.3</t>
  </si>
  <si>
    <t>5.2.4</t>
  </si>
  <si>
    <t>5.2.5</t>
  </si>
  <si>
    <t>5.2.6</t>
  </si>
  <si>
    <t>5.3.1</t>
  </si>
  <si>
    <t>5.3.2</t>
  </si>
  <si>
    <t>5.3.3</t>
  </si>
  <si>
    <t>5.3.4</t>
  </si>
  <si>
    <t>5.3.5</t>
  </si>
  <si>
    <t>5.3.6</t>
  </si>
  <si>
    <t>5.4.1</t>
  </si>
  <si>
    <t>5.4.2</t>
  </si>
  <si>
    <t>5.4.3</t>
  </si>
  <si>
    <t>5.4.4</t>
  </si>
  <si>
    <t>5.4.5</t>
  </si>
  <si>
    <t>5.4.6</t>
  </si>
  <si>
    <t>5.5.1</t>
  </si>
  <si>
    <t>5.5.2</t>
  </si>
  <si>
    <t>5.5.3</t>
  </si>
  <si>
    <t>5.5.4</t>
  </si>
  <si>
    <t>5.5.5</t>
  </si>
  <si>
    <t>5.5.6</t>
  </si>
  <si>
    <t>0,5%</t>
  </si>
  <si>
    <t>23.1.1</t>
  </si>
  <si>
    <t>23.1.2</t>
  </si>
  <si>
    <t>23.1.3</t>
  </si>
  <si>
    <t>23.1.4</t>
  </si>
  <si>
    <t>23.1.5</t>
  </si>
  <si>
    <t>23.1.6</t>
  </si>
  <si>
    <t>2,5%</t>
  </si>
  <si>
    <t>23.2.1</t>
  </si>
  <si>
    <t>23.2.2</t>
  </si>
  <si>
    <t>23.2.3</t>
  </si>
  <si>
    <t>23.2.4</t>
  </si>
  <si>
    <t>23.2.5</t>
  </si>
  <si>
    <t>23.2.6</t>
  </si>
  <si>
    <t>23.3.1</t>
  </si>
  <si>
    <t>23.3.2</t>
  </si>
  <si>
    <t>23.3.3</t>
  </si>
  <si>
    <t>23.3.4</t>
  </si>
  <si>
    <t>23.3.5</t>
  </si>
  <si>
    <t>23.3.6</t>
  </si>
  <si>
    <t>23.4.1</t>
  </si>
  <si>
    <t>23.4.2</t>
  </si>
  <si>
    <t>23.4.3</t>
  </si>
  <si>
    <t>23.4.4</t>
  </si>
  <si>
    <t>23.4.5</t>
  </si>
  <si>
    <t>23.4.6</t>
  </si>
  <si>
    <t>23.5.1</t>
  </si>
  <si>
    <t>23.5.2</t>
  </si>
  <si>
    <t>23.5.3</t>
  </si>
  <si>
    <t>23.5.4</t>
  </si>
  <si>
    <t>23.5.5</t>
  </si>
  <si>
    <t>23.5.6</t>
  </si>
  <si>
    <t xml:space="preserve">Зөвшөөрөгдөхгүй хөрөнгийн дүн </t>
  </si>
  <si>
    <t>Хөрөнгө байршуулах дээд хувь</t>
  </si>
  <si>
    <t>Зөвшөөрөгдөх хэмжээнд байгаа дүн</t>
  </si>
  <si>
    <t>Нийт хөрөнгөд ногдох зөвшөөрөгдөхгүй дүн</t>
  </si>
  <si>
    <t>Зөвшөөрөгдөхгүй хөрөнгийн хувь</t>
  </si>
  <si>
    <t>Зөвшөөрөгдөх хөрөнгийг бууруулах дүн</t>
  </si>
  <si>
    <t>Нийт зөвшөөрөгдөхгүй хөрөнгийн дүн</t>
  </si>
  <si>
    <r>
      <t>1.</t>
    </r>
    <r>
      <rPr>
        <sz val="7"/>
        <color indexed="8"/>
        <rFont val="Times New Roman"/>
        <family val="1"/>
      </rPr>
      <t xml:space="preserve">             </t>
    </r>
    <r>
      <rPr>
        <sz val="9"/>
        <color indexed="8"/>
        <rFont val="Times New Roman"/>
        <family val="1"/>
      </rPr>
      <t> </t>
    </r>
  </si>
  <si>
    <r>
      <t>2.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</si>
  <si>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3.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</si>
  <si>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4.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</si>
  <si>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5.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</si>
  <si>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6.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</si>
  <si>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7.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</si>
  <si>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8.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</si>
  <si>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9.</t>
    </r>
    <r>
      <rPr>
        <sz val="7"/>
        <color indexed="8"/>
        <rFont val="Times New Roman"/>
        <family val="1"/>
      </rPr>
      <t xml:space="preserve">                    </t>
    </r>
    <r>
      <rPr>
        <sz val="9"/>
        <color indexed="8"/>
        <rFont val="Times New Roman"/>
        <family val="1"/>
      </rPr>
      <t> </t>
    </r>
  </si>
  <si>
    <r>
      <t>10.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</si>
  <si>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11.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</si>
  <si>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12.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</si>
  <si>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13.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</si>
  <si>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14.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</si>
  <si>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15.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</si>
  <si>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16.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</si>
  <si>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17.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</si>
  <si>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18.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</si>
  <si>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19.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</si>
  <si>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20.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</si>
  <si>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21.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</si>
  <si>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22.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</si>
  <si>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23.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</si>
  <si>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24.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</si>
  <si>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25.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</si>
  <si>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26.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</si>
  <si>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27.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</si>
  <si>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r>
      <t>28.</t>
    </r>
    <r>
      <rPr>
        <sz val="7"/>
        <color indexed="8"/>
        <rFont val="Times New Roman"/>
        <family val="1"/>
      </rPr>
      <t xml:space="preserve">                 </t>
    </r>
    <r>
      <rPr>
        <sz val="9"/>
        <color indexed="8"/>
        <rFont val="Times New Roman"/>
        <family val="1"/>
      </rPr>
      <t> </t>
    </r>
  </si>
  <si>
    <t>Тооцох хувь</t>
  </si>
  <si>
    <t>Тооцсон дүн</t>
  </si>
  <si>
    <t>НЭГЖИД НОГДОХ ЗӨВШӨӨРӨГДӨХГҮЙ ХӨРӨНГИЙН ДҮН</t>
  </si>
  <si>
    <t>1.              </t>
  </si>
  <si>
    <t>2.                     </t>
  </si>
  <si>
    <t>3.                     </t>
  </si>
  <si>
    <t>4.                     </t>
  </si>
  <si>
    <t>5.1                  </t>
  </si>
  <si>
    <t>6.                     </t>
  </si>
  <si>
    <t>7.                     </t>
  </si>
  <si>
    <t>8.                     </t>
  </si>
  <si>
    <t>9.                     </t>
  </si>
  <si>
    <t>10.                  </t>
  </si>
  <si>
    <t>11.                  </t>
  </si>
  <si>
    <t>12.                  </t>
  </si>
  <si>
    <t>13.                  </t>
  </si>
  <si>
    <t>14.                  </t>
  </si>
  <si>
    <t>15.                  </t>
  </si>
  <si>
    <t>16.                  </t>
  </si>
  <si>
    <t>17.                  </t>
  </si>
  <si>
    <t>18.                  </t>
  </si>
  <si>
    <t>19.                  </t>
  </si>
  <si>
    <t>20.                  </t>
  </si>
  <si>
    <t>21.                  </t>
  </si>
  <si>
    <t>22.                  </t>
  </si>
  <si>
    <t>23. 1               </t>
  </si>
  <si>
    <t>24.                  </t>
  </si>
  <si>
    <t>25.                  </t>
  </si>
  <si>
    <t>26.                  </t>
  </si>
  <si>
    <t>27.                  </t>
  </si>
  <si>
    <t>28.                  </t>
  </si>
  <si>
    <t>Нийт орлогын өөрчлөлт</t>
  </si>
  <si>
    <t>Цэвэр орлогын өөрчлөлт</t>
  </si>
  <si>
    <t>Нийт эрсдэлийн харьцаа</t>
  </si>
  <si>
    <t xml:space="preserve">Цэвэр эрсдэлийн харьцаа </t>
  </si>
  <si>
    <t>Нэхэмжлэлийн харьцаа</t>
  </si>
  <si>
    <t>Зардлын харьцаа</t>
  </si>
  <si>
    <t>Хосолсон харьцаа</t>
  </si>
  <si>
    <t>Өөрт үлдээх эрсдэлийн харьцаа</t>
  </si>
  <si>
    <t>Эзэмшигчийн өмчийн өөрчлөлтийн харьцаа</t>
  </si>
  <si>
    <t>Авлагын харьцаа</t>
  </si>
  <si>
    <t>Холбогдох этгээдийн өрийн харьцаа</t>
  </si>
  <si>
    <t>Өр төлбөрт эзлэх ЭӨ-ийн эзлэх хувь</t>
  </si>
  <si>
    <t>Хөрөнгө оруулалтын өгөөж</t>
  </si>
  <si>
    <t>Хөрвөх харьцаа</t>
  </si>
  <si>
    <t>Аюулгүй байдлын харьцаа</t>
  </si>
  <si>
    <t>Нэхэмжлэлийн нөөцийн хүрэлцээт байдлын харьцаа</t>
  </si>
  <si>
    <t>тамга тэмдэг</t>
  </si>
  <si>
    <t>ШУУРХАЙ ШИНЖИЛГЭЭ</t>
  </si>
  <si>
    <t>ЭРТ АНХААРУУЛАХ ШИНЖИЛГЭЭ</t>
  </si>
  <si>
    <t>Авто тээврийн хэрэгслийн жолоочийн хариуцлагын даатгал</t>
  </si>
  <si>
    <t xml:space="preserve">ТАЙЛАН ГАРГАСАН:    </t>
  </si>
  <si>
    <t xml:space="preserve"> Гүйцэтгэх захирал</t>
  </si>
  <si>
    <t xml:space="preserve"> Ерөнхий нягтлан бодогч  </t>
  </si>
  <si>
    <t>Давуу эрхийн хувьцаа /Хөрвөхгүй/</t>
  </si>
  <si>
    <t>Ерөнхий данс</t>
  </si>
  <si>
    <t>Давхар даатгалын шимтгэлийн орлого</t>
  </si>
  <si>
    <t>Давхар даатгагчийн хариуцсан нөхөн төлбөр</t>
  </si>
  <si>
    <t>Орлого тооцоогүй  хураамжийн нөөцийн өөрчлөлт</t>
  </si>
  <si>
    <t>ДД-ын хойшлогдсон хураамжийн өөрчлөлт</t>
  </si>
  <si>
    <t>Тусгай нөөц сангийн өөрчлөлт</t>
  </si>
  <si>
    <t>Санхүүгийн зардал</t>
  </si>
  <si>
    <t>Эрсдэлийн сангийн зардал</t>
  </si>
  <si>
    <t>... оны ..-р сарын ..</t>
  </si>
  <si>
    <t>Орлогын өөрчлөлт</t>
  </si>
  <si>
    <t>Эрсдэлийн харьцаа</t>
  </si>
  <si>
    <t>Үндсэн хөрөнгийн нийт хөрөнгөнд эзлэх хувь</t>
  </si>
  <si>
    <t>Хөрөнгийн элэгдэл</t>
  </si>
  <si>
    <t>Нийт хөрөнгийн өсөлт</t>
  </si>
  <si>
    <t>Өөрийн хөрөнгийн хувийн жин</t>
  </si>
  <si>
    <t>Эргэлтийн харьцаа</t>
  </si>
  <si>
    <t>Нөөц сангийн нийт эх үүсвэрт эзлэх хувийн жин</t>
  </si>
  <si>
    <t>Цэвэр ашгийн өөрчлөлт</t>
  </si>
  <si>
    <t>Нийт ашгийн түвшин</t>
  </si>
  <si>
    <t>Үйл ажиллагааны ашгийн түвшин</t>
  </si>
  <si>
    <t>Өөрийн хөрөнгийн ашигт ажиллагаа</t>
  </si>
  <si>
    <t>Даатгагчид үлдэх хураамжийн хувь</t>
  </si>
  <si>
    <t>Даатгалын цэвэр ашгийн хувь</t>
  </si>
  <si>
    <t>Нийт хөрөнгийн ашигт ажиллагаа</t>
  </si>
  <si>
    <t>Хохирлын харьцаа</t>
  </si>
  <si>
    <t>Үйл ажиллагааны харьцаа</t>
  </si>
  <si>
    <t>Дүрмийн сан/ нөөц сан</t>
  </si>
  <si>
    <t>Дүрмийн сан/нөхөн төлбөр</t>
  </si>
  <si>
    <t>Нөхөн төлбөрийн 1 хувийн өөрчлөлтөөс эзэмшигчийн өмчид үзүүлэх нөлөөлөл</t>
  </si>
  <si>
    <t>Хүүгийн түвшний 10 хувийн өөрчлөлтийн хөрөнгөнд үзүүлэх нөлөөллүүд, хөнгөлттэй үед</t>
  </si>
  <si>
    <t>Хүүгийн түвшний 10 хувийн өөрчлөлтийн даатгалын өр төлбөрт үзүүлэх нөлөөллүүдийг тооцно.</t>
  </si>
  <si>
    <t>Авлагын эргэц</t>
  </si>
  <si>
    <t>УХӨТ-ийн нийт эх үүсвэр эзлэх хувийн жин</t>
  </si>
  <si>
    <t>Дүрмийн сан/хураамжийн нийт орлого</t>
  </si>
  <si>
    <t>Даатгалын төвлөрлийн үзүүлэлт</t>
  </si>
  <si>
    <t>Инфляцийн түвшний10 хувийн өөрчлөлтийн даатгалын өр төлбөрт үзүүлэх нөлөөлөл</t>
  </si>
  <si>
    <t>Эргэлтийн хөрөнгийн эргэц</t>
  </si>
  <si>
    <t>ХӨРӨНГИЙН БАЙДЛЫН ҮНЭЛГЭЭ</t>
  </si>
  <si>
    <t>САНХҮҮГИЙН БАЙДЛЫН ҮНЭЛГЭЭ</t>
  </si>
  <si>
    <t>АШИГТ АЖИЛЛАГААНЫ ҮНЭЛГЭЭ</t>
  </si>
  <si>
    <t>ДААТГАЛЫН ҮЙЛ АЖИЛЛАГААНЫ ШИНЖИЛГЭЭ</t>
  </si>
  <si>
    <t>МЭДРЭМЖИЙН ШИНЖИЛГЭЭ</t>
  </si>
  <si>
    <t>ӨСӨЛТИЙН ҮНЭЛГЭЭ</t>
  </si>
  <si>
    <t>Эзэмшигчийн өмчийн өгөөж</t>
  </si>
  <si>
    <t xml:space="preserve">          Үүнээс : Ипотекийн даатгал</t>
  </si>
  <si>
    <t>“Даатгагч болон даатгалын мэргэжлийн оролцогчоос 
тайлан, мэдээ, өргөдөл гаргах заавар”-ын 8 дугаар хавсралт</t>
  </si>
  <si>
    <t>“Даатгагч болон даатгалын мэргэжлийн оролцогчоос 
тайлан, мэдээ, өргөдөл гаргах заавар”-ын 9 дүгээр хавсралт</t>
  </si>
  <si>
    <t>“Даатгагч болон даатгалын мэргэжлийн оролцогчоос 
тайлан, мэдээ, өргөдөл гаргах заавар”-ын 10 дугаар хавсралт</t>
  </si>
  <si>
    <t>“Даатгагч болон даатгалын мэргэжлийн оролцогчоос 
тайлан, мэдээ, өргөдөл гаргах заавар”-ын 11 дүгээр хавсралт</t>
  </si>
  <si>
    <t xml:space="preserve">        Үүнээс : Ипотекийн даатгал</t>
  </si>
  <si>
    <t>1.2 Үүнээс: Ипотекийн даатгал</t>
  </si>
  <si>
    <t xml:space="preserve"> 1.3 Хөрөнгийн даатгал</t>
  </si>
  <si>
    <t>1.4 Үүнээс: Ипотекийн даатгал</t>
  </si>
  <si>
    <t xml:space="preserve"> 1.5 Авто тээврийн хэрэгслийн даатгал</t>
  </si>
  <si>
    <t>1.6 Ачааны даатгал</t>
  </si>
  <si>
    <t xml:space="preserve"> 1.7 Барилга угсралтын даатгал</t>
  </si>
  <si>
    <t>1.8  Газар тариалангийн даатгал</t>
  </si>
  <si>
    <t>1.9 Мал амьтдын даатгал</t>
  </si>
  <si>
    <t xml:space="preserve"> 1.10 Агаарын хөлгийн даатгал</t>
  </si>
  <si>
    <t xml:space="preserve"> 1.11 Авто тээврийн хэрэгслийн жолоочийн хариуцлагын даатгал</t>
  </si>
  <si>
    <t xml:space="preserve"> 1.12 Хариуцлагын даатгал</t>
  </si>
  <si>
    <t>1.13 Санхүүгийн даатгал</t>
  </si>
  <si>
    <t>1.14 Зээлийн даатгал</t>
  </si>
  <si>
    <t xml:space="preserve"> 1.15 Итгэлцлийн даатгал</t>
  </si>
  <si>
    <t xml:space="preserve"> 1.16 Төмөр замын болон усан замын тээврийн хэрэгслийн даатгал</t>
  </si>
  <si>
    <t xml:space="preserve"> 1.17 Төмөр замын эсхүл усан замын тээврийн хэрэгслийг өмчлөх, эзэмших ашиглахтай холбоотой хариуцлагын даатгал</t>
  </si>
  <si>
    <t>1.18 Агаарын хөлгийг өмчлөх, эзэмших, ашиглахтай холбоотой хариуцлагын даатгал</t>
  </si>
  <si>
    <t>Үүнээс: Ипотекийн даатгал</t>
  </si>
  <si>
    <t>Даатгалын бүтээгдэхүүний нэр</t>
  </si>
  <si>
    <t>Мөр дугаар</t>
  </si>
  <si>
    <t>Даатгалын хураамж</t>
  </si>
  <si>
    <t>Даатгалын гэрээний тоо</t>
  </si>
  <si>
    <t>Даатгалын зүйлийн тоо</t>
  </si>
  <si>
    <t>Даатгалын нөхөн төлбөрийн дүн</t>
  </si>
  <si>
    <t>Даатгалын нөхөн төлбөр авсан даатгуулагчийн тоо</t>
  </si>
  <si>
    <t>Эд хөрөнгө</t>
  </si>
  <si>
    <t>Нийт</t>
  </si>
  <si>
    <t>Үүнээс: даатгалын төлөөлөгчид төлсөн</t>
  </si>
  <si>
    <t>МАЯГТ СЗХ04153. ХҮРТЭЭМЖТЭЙ ДААТГАЛЫН ҮЙЛ АЖИЛЛАГААНЫ ДЭЛГЭРЭНГҮЙ ТАЙЛАН</t>
  </si>
  <si>
    <t xml:space="preserve"> Даатгалын хураамжийн авлага</t>
  </si>
  <si>
    <t>МАЯГТ СЗХ04148. ОРЛОГОД ТООЦООГҮЙ ХУРААМЖИЙН НӨӨЦИЙН ХӨРӨНГИЙН БАЙРШЛЫН ТАЙЛАН</t>
  </si>
  <si>
    <t xml:space="preserve">МАЯГТСЗХ04152. ДААТГАЛЫН НӨӨЦ САНГ ХӨРӨНГӨ ОРУУЛАЛТАД БАЙРШУУЛСАН ТАЙЛАН </t>
  </si>
  <si>
    <t>Хуримтлал барьцаалсан зээл /Зөвхөн урт хугацааны даатгагч/</t>
  </si>
  <si>
    <t>“Даатгагч болон даатгалын мэргэжлийн оролцогчоос 
тайлан, мэдээ, өргөдөл гаргах заавар”-ын 1 дүгээр хавсралт</t>
  </si>
  <si>
    <t>“Даатгагч болон даатгалын мэргэжлийн оролцогчоос 
тайлан, мэдээ, өргөдөл гаргах заавар”-ын 2 дугаар хавсралт</t>
  </si>
  <si>
    <t>“Даатгагч болон даатгалын мэргэжлийн оролцогчоос 
тайлан, мэдээ, өргөдөл гаргах заавар”-ын 4 дүгээр хавсралт</t>
  </si>
  <si>
    <t>“Даатгагч болон даатгалын мэргэжлийн оролцогчоос 
тайлан, мэдээ, өргөдөл гаргах заавар”-ын 5 дугаар хавсралт</t>
  </si>
  <si>
    <t>“Даатгагч болон даатгалын мэргэжлийн оролцогчоос 
тайлан, мэдээ, өргөдөл гаргах заавар”-ын 6 дугаар хавсралт</t>
  </si>
  <si>
    <t>“Даатгагч болон даатгалын мэргэжлийн оролцогчоос 
тайлан, мэдээ, өргөдөл гаргах заавар”-ын 3 дугаар хавсралт</t>
  </si>
  <si>
    <t>“Даатгагч болон даатгалын мэргэжлийн оролцогчоос 
тайлан, мэдээ, өргөдөл гаргах заавар”-ын 12 дугаар хавсралт</t>
  </si>
  <si>
    <t>“Даатгагч болон даатгалын мэргэжлийн оролцогчоос 
тайлан, мэдээ, өргөдөл гаргах заавар”-ын 13 дугаар хавсралт</t>
  </si>
  <si>
    <t>“Даатгагч болон даатгалын мэргэжлийн оролцогчоос 
тайлан, мэдээ, өргөдөл гаргах заавар”-ын 14 дүгээр хавсралт</t>
  </si>
  <si>
    <t>МАЯГТ СЗХ04144. ЗӨВШӨӨРӨГДӨХГҮЙ ХӨРӨНГИЙН ДҮН</t>
  </si>
  <si>
    <t>“Даатгагчийн төлбөрийн чадварын шалгуур үзүүлэлт, 
түүнд хяналт тавих журам”-ын 1 дүгээр хавсралт</t>
  </si>
  <si>
    <t>“Даатгагчийн төлбөрийн чадварын шалгуур үзүүлэлт, 
түүнд хяналт тавих журам”-ын 2 дугаар хавсралт</t>
  </si>
  <si>
    <t>МАЯГТ СЗХ04145. ТӨЛБӨРИЙН ЧАДВАРЫН ШАЛГУУР ҮЗҮҮЛЭЛТ</t>
  </si>
  <si>
    <t>“Даатгалын нөөц сан, албан журмын даатгалын сан 
болон бусад санг бүрдүүлэх, хуваарилах, түүнд 
хяналт тавих журам”-ын 2 дугаар хавсралт</t>
  </si>
  <si>
    <t>“Даатгагч болон даатгалын мэргэжлийн оролцогчоос 
тайлан, мэдээ, өргөдөл гаргах заавар”-ын 30 дугаар хавсралт</t>
  </si>
  <si>
    <t>... Хөрөнгө</t>
  </si>
  <si>
    <t xml:space="preserve">/................................../   </t>
  </si>
  <si>
    <t>/................................./</t>
  </si>
  <si>
    <t xml:space="preserve">/.................................../   </t>
  </si>
  <si>
    <t>/................................/</t>
  </si>
  <si>
    <t>...................................................</t>
  </si>
  <si>
    <t>Даатгагчийн нэр:</t>
  </si>
  <si>
    <t>..... оны .... сарын ...-ны өдөр</t>
  </si>
  <si>
    <t>1.20</t>
  </si>
  <si>
    <t>“Даатгалын нөөц санд болон албан журмын даатгалын санд төвлөрүүлэх хөрөнгийн хэмжээ, түүнийг хөрөнгө оруулалтад байршуулахад тавигдах нөхцөл, шаардлага”-ын 1 дүгээр хавсралт</t>
  </si>
  <si>
    <t>Даатгалын орлогын шимтгэлийн өглөг</t>
  </si>
  <si>
    <t>Давхар даатгагчид өгөх хураамжийн өглөг</t>
  </si>
  <si>
    <t>Хувь нийлүүлсэн хөрөнгө: Энгийн хувьцаа</t>
  </si>
  <si>
    <t>Хувь нийлүүлсэн хөрөнгө: Давуу эрхийн хувьцаа</t>
  </si>
  <si>
    <t>Нэмж төлөгдсөн капитал: Энгийн хувьцаа</t>
  </si>
  <si>
    <t>Нэмж төлөгдсөн капитал: Давуу эрхийн хувьцаа</t>
  </si>
  <si>
    <t>Халаасны хувьцаа: Энгийн хувьцаа</t>
  </si>
  <si>
    <t>Халаасны хувьцаа: Давуу эрхийн хувьцаа</t>
  </si>
  <si>
    <t>Банкны харилцах (=мөр(3+4+...15)</t>
  </si>
  <si>
    <t>Банкны хугацаагүй хадгаламж (=мөр(17+18...+29))</t>
  </si>
  <si>
    <t>Банкны хугацаатай хадгаламж (=мөр(31+32+...+43))</t>
  </si>
  <si>
    <t>Банкны хадгаламжийн сертификат (=мөр(45+46+...+57)</t>
  </si>
  <si>
    <t>Үнэт цаас (=мөр(59+60+...+67))</t>
  </si>
  <si>
    <t>Бусад санхүүгийн байгууллагад байршуулсан хөрөнгө (=мөр(72+73+...+81))</t>
  </si>
  <si>
    <t>Үндсэн хөрөнгө  (=мөр(83+84))</t>
  </si>
  <si>
    <t>Бусад хөрөнгө (=мөр(86+87+...+90))</t>
  </si>
  <si>
    <t>Банкны харилцах (=мөр(3+4+...+15)</t>
  </si>
  <si>
    <t>Банкны хугацаагүй хадгаламж (=мөр(7+8+...+29))</t>
  </si>
  <si>
    <t>Банкны хугацаатай хадгаламж (=мөр(10+11+...+43))</t>
  </si>
  <si>
    <t>Банкны хадгаламжийн сертификат (мөр12=мөр(13+14+...+57)</t>
  </si>
  <si>
    <t xml:space="preserve">“Даатгагч болон даатгалын мэргэжлийн оролцогчоос </t>
  </si>
  <si>
    <t>тайлан, мэдээ, өргөдөл гаргах заавар”-ын 7 дугаар хавсралт</t>
  </si>
  <si>
    <t>Тайлбар:</t>
  </si>
  <si>
    <t>Даатгалын зуучлагч /хамгийн их дүнтэйгээс эхэлнэ/</t>
  </si>
  <si>
    <t>МАЯГТ СЗХ04118. ДААТГАЛЫН КОМПАНИЙН ДААТГАЛЫН ЗУУЧЛАГЧИЙН ШИМТГЭЛИЙН ТАЛААРХ ТАЙЛАН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</si>
  <si>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</si>
  <si>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</si>
  <si>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</si>
  <si>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</si>
  <si>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</si>
  <si>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</si>
  <si>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</si>
  <si>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</si>
  <si>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</si>
  <si>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</si>
  <si>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</si>
  <si>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</si>
  <si>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</si>
  <si>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</si>
  <si>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</si>
  <si>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</si>
  <si>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</si>
  <si>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</si>
  <si>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</si>
  <si>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</si>
  <si>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МАЯГТ СЗХ04118. ДААТГАЛЫН КОМПАНИЙН ДААТГАЛЫН ТӨЛӨӨЛӨГЧИЙН ШИМТГЭЛИЙН ТАЛААРХ ТАЙЛАН</t>
  </si>
  <si>
    <t>Архангай</t>
  </si>
  <si>
    <t>Баян-Өлгий</t>
  </si>
  <si>
    <t>Баянхонгор</t>
  </si>
  <si>
    <t>Булган</t>
  </si>
  <si>
    <t>Говь-Алтай</t>
  </si>
  <si>
    <t>Дорноговь</t>
  </si>
  <si>
    <t>Дорнод</t>
  </si>
  <si>
    <t>Дундговь</t>
  </si>
  <si>
    <t>Завхан</t>
  </si>
  <si>
    <t>Өвөрхангай</t>
  </si>
  <si>
    <t>Өмнөговь</t>
  </si>
  <si>
    <t>Сүхбаатар</t>
  </si>
  <si>
    <t>Сэлэнгэ</t>
  </si>
  <si>
    <t>Төв</t>
  </si>
  <si>
    <t>Увс</t>
  </si>
  <si>
    <t>Ховд</t>
  </si>
  <si>
    <t>Хөвсгөл</t>
  </si>
  <si>
    <t>Хэнтий</t>
  </si>
  <si>
    <t>Дархан-Уул</t>
  </si>
  <si>
    <t>Орхон</t>
  </si>
  <si>
    <t>Говьсүмбэр</t>
  </si>
  <si>
    <t>Чингэлтэй дүүрэг</t>
  </si>
  <si>
    <t>Сонгинохайрхан дүүрэг</t>
  </si>
  <si>
    <t>Баянзүрх дүүрэг</t>
  </si>
  <si>
    <t>Хан-Уул дүүрэг</t>
  </si>
  <si>
    <t>Багануур дүүрэг</t>
  </si>
  <si>
    <t>Сүхбаатар дүүрэг</t>
  </si>
  <si>
    <t>Налайх дүүрэг</t>
  </si>
  <si>
    <t>Багахангай дүүрэг</t>
  </si>
  <si>
    <t>Баянгол дүүрэг</t>
  </si>
  <si>
    <t>Орлогод тооцсон хураамж (=мөр(5-6+7))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</si>
</sst>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71" formatCode="_-* #,##0.00_₮_-;\-* #,##0.00_₮_-;_-* &quot;-&quot;??_₮_-;_-@_-"/>
    <numFmt numFmtId="172" formatCode="_(* #,##0_);_(* \(#,##0\);_(* &quot;-&quot;??_);_(@_)"/>
    <numFmt numFmtId="173" formatCode="0.0"/>
    <numFmt numFmtId="174" formatCode="_(* #,##0.0_);_(* \(#,##0.0\);_(* &quot;-&quot;??_);_(@_)"/>
    <numFmt numFmtId="175" formatCode="_(* #,##0.0_);_(* \(#,##0.0\);_(* &quot;-&quot;?_);_(@_)"/>
    <numFmt numFmtId="179" formatCode="0.0%"/>
    <numFmt numFmtId="194" formatCode="_(* #,##0.000_);_(* \(#,##0.000\);_(* &quot;-&quot;??_);_(@_)"/>
  </numFmts>
  <fonts count="64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 Mon"/>
      <family val="1"/>
    </font>
    <font>
      <b/>
      <sz val="10"/>
      <name val="Times New Roman Mon"/>
      <family val="1"/>
    </font>
    <font>
      <b/>
      <sz val="10"/>
      <name val="Times New Roman Mon"/>
      <family val="1"/>
    </font>
    <font>
      <sz val="11"/>
      <name val="Calibri"/>
      <family val="2"/>
    </font>
    <font>
      <i/>
      <sz val="10"/>
      <name val="Times New Roman"/>
      <family val="1"/>
    </font>
    <font>
      <sz val="9"/>
      <color indexed="8"/>
      <name val="Times New Roman"/>
      <family val="1"/>
    </font>
    <font>
      <sz val="7"/>
      <color indexed="8"/>
      <name val="Times New Roman"/>
      <family val="1"/>
    </font>
    <font>
      <sz val="10"/>
      <name val="Mangal"/>
      <family val="2"/>
    </font>
    <font>
      <sz val="8"/>
      <name val="Times New Roman"/>
      <family val="1"/>
    </font>
    <font>
      <sz val="8"/>
      <name val="Calibri"/>
      <family val="2"/>
    </font>
    <font>
      <b/>
      <sz val="8"/>
      <name val="Times New Roman"/>
      <family val="1"/>
    </font>
    <font>
      <sz val="9"/>
      <name val="Calibri"/>
      <family val="2"/>
    </font>
    <font>
      <sz val="9"/>
      <name val="Times New Roman"/>
      <family val="1"/>
    </font>
    <font>
      <sz val="7"/>
      <name val="Calibri"/>
      <family val="2"/>
    </font>
    <font>
      <b/>
      <sz val="9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i/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sz val="8"/>
      <color rgb="FF000000"/>
      <name val="Times New Roman"/>
      <family val="1"/>
    </font>
    <font>
      <sz val="7"/>
      <color rgb="FF000000"/>
      <name val="Times New Roman"/>
      <family val="1"/>
    </font>
    <font>
      <sz val="8"/>
      <color theme="1"/>
      <name val="Calibri"/>
      <family val="2"/>
      <scheme val="minor"/>
    </font>
    <font>
      <i/>
      <sz val="8"/>
      <color rgb="FF000000"/>
      <name val="Times New Roman"/>
      <family val="1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theme="1"/>
      <name val="Calibri"/>
      <family val="2"/>
      <scheme val="minor"/>
    </font>
    <font>
      <i/>
      <sz val="9"/>
      <color rgb="FF000000"/>
      <name val="Times New Roman"/>
      <family val="1"/>
    </font>
    <font>
      <sz val="10"/>
      <color theme="1"/>
      <name val="Calibri"/>
      <family val="2"/>
      <scheme val="minor"/>
    </font>
    <font>
      <i/>
      <sz val="10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i/>
      <sz val="24"/>
      <color rgb="FF000000"/>
      <name val="Times New Roman"/>
      <family val="1"/>
    </font>
    <font>
      <sz val="24"/>
      <color rgb="FF000000"/>
      <name val="Times New Roman"/>
      <family val="1"/>
    </font>
    <font>
      <sz val="24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4"/>
      <color rgb="FF000000"/>
      <name val="Times New Roman"/>
      <family val="1"/>
    </font>
    <font>
      <i/>
      <sz val="14"/>
      <color rgb="FF00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0000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rgb="FFD8D8D8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8">
    <xf numFmtId="0" fontId="0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</cellStyleXfs>
  <cellXfs count="1247">
    <xf numFmtId="0" fontId="0" fillId="0" borderId="0" xfId="0"/>
    <xf numFmtId="49" fontId="1" fillId="0" borderId="0" xfId="6" applyNumberFormat="1" applyFont="1" applyFill="1" applyAlignment="1">
      <alignment horizontal="left"/>
    </xf>
    <xf numFmtId="0" fontId="1" fillId="0" borderId="0" xfId="6" applyFont="1" applyFill="1" applyAlignment="1">
      <alignment wrapText="1"/>
    </xf>
    <xf numFmtId="0" fontId="1" fillId="0" borderId="0" xfId="6" applyFont="1" applyFill="1" applyBorder="1"/>
    <xf numFmtId="0" fontId="1" fillId="0" borderId="0" xfId="6" applyFont="1" applyFill="1"/>
    <xf numFmtId="49" fontId="1" fillId="0" borderId="0" xfId="6" applyNumberFormat="1" applyFont="1" applyFill="1" applyAlignment="1">
      <alignment horizontal="left" vertical="center"/>
    </xf>
    <xf numFmtId="0" fontId="2" fillId="0" borderId="0" xfId="6" applyFont="1" applyFill="1" applyAlignment="1">
      <alignment horizontal="center" vertical="center"/>
    </xf>
    <xf numFmtId="0" fontId="1" fillId="0" borderId="0" xfId="6" applyFont="1" applyFill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0" xfId="0" applyFont="1"/>
    <xf numFmtId="0" fontId="0" fillId="0" borderId="0" xfId="0" applyFont="1" applyAlignment="1"/>
    <xf numFmtId="49" fontId="25" fillId="0" borderId="0" xfId="0" applyNumberFormat="1" applyFont="1" applyAlignment="1">
      <alignment horizontal="left"/>
    </xf>
    <xf numFmtId="0" fontId="26" fillId="0" borderId="0" xfId="0" applyFont="1" applyAlignment="1"/>
    <xf numFmtId="49" fontId="1" fillId="0" borderId="1" xfId="6" applyNumberFormat="1" applyFont="1" applyFill="1" applyBorder="1" applyAlignment="1">
      <alignment horizontal="left" vertical="center"/>
    </xf>
    <xf numFmtId="0" fontId="1" fillId="0" borderId="1" xfId="6" applyFont="1" applyFill="1" applyBorder="1" applyAlignment="1">
      <alignment horizontal="center" vertical="center"/>
    </xf>
    <xf numFmtId="0" fontId="2" fillId="0" borderId="0" xfId="6" applyFont="1" applyFill="1" applyBorder="1"/>
    <xf numFmtId="0" fontId="2" fillId="0" borderId="0" xfId="6" applyFont="1" applyFill="1"/>
    <xf numFmtId="0" fontId="1" fillId="0" borderId="0" xfId="6" applyFont="1" applyFill="1" applyBorder="1" applyAlignment="1">
      <alignment horizontal="center" vertical="center" wrapText="1"/>
    </xf>
    <xf numFmtId="0" fontId="1" fillId="0" borderId="0" xfId="6" applyFont="1" applyFill="1" applyAlignment="1">
      <alignment horizontal="center"/>
    </xf>
    <xf numFmtId="43" fontId="1" fillId="0" borderId="0" xfId="6" applyNumberFormat="1" applyFont="1" applyFill="1"/>
    <xf numFmtId="49" fontId="1" fillId="0" borderId="0" xfId="6" applyNumberFormat="1" applyFont="1" applyFill="1" applyAlignment="1">
      <alignment horizontal="center"/>
    </xf>
    <xf numFmtId="0" fontId="1" fillId="0" borderId="0" xfId="6" applyFont="1" applyFill="1" applyAlignment="1">
      <alignment horizontal="center" wrapText="1"/>
    </xf>
    <xf numFmtId="0" fontId="2" fillId="0" borderId="0" xfId="6" applyFont="1" applyFill="1" applyAlignment="1">
      <alignment horizontal="center" vertical="center" wrapText="1"/>
    </xf>
    <xf numFmtId="0" fontId="1" fillId="0" borderId="0" xfId="6" applyNumberFormat="1" applyFont="1" applyFill="1" applyAlignment="1">
      <alignment horizontal="right" wrapText="1"/>
    </xf>
    <xf numFmtId="43" fontId="27" fillId="0" borderId="0" xfId="6" applyNumberFormat="1" applyFont="1" applyFill="1"/>
    <xf numFmtId="0" fontId="28" fillId="0" borderId="0" xfId="0" applyFont="1"/>
    <xf numFmtId="0" fontId="28" fillId="2" borderId="0" xfId="0" applyFont="1" applyFill="1"/>
    <xf numFmtId="43" fontId="28" fillId="2" borderId="0" xfId="1" applyFont="1" applyFill="1"/>
    <xf numFmtId="0" fontId="29" fillId="0" borderId="0" xfId="0" applyFont="1"/>
    <xf numFmtId="0" fontId="28" fillId="0" borderId="0" xfId="0" applyFont="1" applyAlignment="1">
      <alignment wrapText="1"/>
    </xf>
    <xf numFmtId="0" fontId="2" fillId="0" borderId="0" xfId="6" applyFont="1" applyFill="1" applyBorder="1" applyAlignment="1">
      <alignment vertical="center"/>
    </xf>
    <xf numFmtId="0" fontId="24" fillId="0" borderId="0" xfId="0" applyFont="1" applyProtection="1">
      <protection locked="0"/>
    </xf>
    <xf numFmtId="0" fontId="1" fillId="0" borderId="0" xfId="6" applyFont="1" applyFill="1" applyAlignment="1" applyProtection="1">
      <alignment wrapText="1"/>
    </xf>
    <xf numFmtId="0" fontId="1" fillId="0" borderId="0" xfId="6" applyFont="1" applyFill="1" applyBorder="1" applyProtection="1"/>
    <xf numFmtId="0" fontId="1" fillId="0" borderId="0" xfId="6" applyFont="1" applyFill="1" applyProtection="1"/>
    <xf numFmtId="0" fontId="2" fillId="0" borderId="0" xfId="6" applyFont="1" applyFill="1" applyAlignment="1" applyProtection="1">
      <alignment horizontal="center" vertical="center"/>
    </xf>
    <xf numFmtId="0" fontId="1" fillId="0" borderId="0" xfId="0" applyFont="1" applyFill="1" applyProtection="1"/>
    <xf numFmtId="0" fontId="30" fillId="0" borderId="0" xfId="0" applyFont="1" applyFill="1" applyAlignment="1" applyProtection="1"/>
    <xf numFmtId="0" fontId="1" fillId="0" borderId="0" xfId="0" applyFont="1" applyFill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right" vertical="center" wrapText="1"/>
    </xf>
    <xf numFmtId="0" fontId="7" fillId="0" borderId="0" xfId="0" applyFont="1" applyFill="1" applyAlignment="1" applyProtection="1"/>
    <xf numFmtId="0" fontId="2" fillId="0" borderId="0" xfId="6" applyFont="1" applyFill="1" applyBorder="1" applyProtection="1"/>
    <xf numFmtId="0" fontId="2" fillId="0" borderId="0" xfId="6" applyFont="1" applyFill="1" applyProtection="1"/>
    <xf numFmtId="0" fontId="1" fillId="0" borderId="2" xfId="0" applyFont="1" applyFill="1" applyBorder="1" applyAlignment="1" applyProtection="1">
      <alignment horizontal="center" vertical="center" wrapText="1"/>
    </xf>
    <xf numFmtId="0" fontId="2" fillId="0" borderId="0" xfId="6" applyFont="1" applyFill="1" applyBorder="1" applyAlignment="1" applyProtection="1">
      <alignment horizontal="left" vertical="center"/>
    </xf>
    <xf numFmtId="0" fontId="1" fillId="0" borderId="0" xfId="6" applyFont="1" applyFill="1" applyBorder="1" applyAlignment="1" applyProtection="1">
      <alignment horizontal="center" vertical="center" wrapText="1"/>
    </xf>
    <xf numFmtId="0" fontId="1" fillId="0" borderId="0" xfId="6" applyFont="1" applyFill="1" applyAlignment="1" applyProtection="1"/>
    <xf numFmtId="0" fontId="2" fillId="0" borderId="0" xfId="6" applyFont="1" applyFill="1" applyAlignment="1" applyProtection="1">
      <alignment horizontal="center" wrapText="1"/>
    </xf>
    <xf numFmtId="43" fontId="1" fillId="0" borderId="0" xfId="6" applyNumberFormat="1" applyFont="1" applyFill="1" applyProtection="1"/>
    <xf numFmtId="0" fontId="26" fillId="0" borderId="0" xfId="0" applyFont="1" applyProtection="1"/>
    <xf numFmtId="0" fontId="2" fillId="3" borderId="3" xfId="6" applyFont="1" applyFill="1" applyBorder="1" applyAlignment="1" applyProtection="1">
      <alignment horizontal="center" vertical="center"/>
    </xf>
    <xf numFmtId="0" fontId="2" fillId="3" borderId="4" xfId="6" applyFont="1" applyFill="1" applyBorder="1" applyAlignment="1" applyProtection="1">
      <alignment horizontal="center" vertical="center"/>
    </xf>
    <xf numFmtId="0" fontId="1" fillId="3" borderId="1" xfId="6" applyFont="1" applyFill="1" applyBorder="1" applyAlignment="1">
      <alignment horizontal="center" vertical="center"/>
    </xf>
    <xf numFmtId="49" fontId="2" fillId="3" borderId="0" xfId="6" applyNumberFormat="1" applyFont="1" applyFill="1" applyAlignment="1">
      <alignment horizontal="left" vertical="center"/>
    </xf>
    <xf numFmtId="43" fontId="2" fillId="3" borderId="1" xfId="2" applyFont="1" applyFill="1" applyBorder="1"/>
    <xf numFmtId="49" fontId="2" fillId="3" borderId="1" xfId="6" applyNumberFormat="1" applyFont="1" applyFill="1" applyBorder="1" applyAlignment="1">
      <alignment horizontal="left" vertical="center"/>
    </xf>
    <xf numFmtId="43" fontId="1" fillId="3" borderId="1" xfId="2" applyFont="1" applyFill="1" applyBorder="1"/>
    <xf numFmtId="0" fontId="26" fillId="0" borderId="0" xfId="0" applyFont="1" applyAlignment="1">
      <alignment horizontal="center"/>
    </xf>
    <xf numFmtId="43" fontId="24" fillId="0" borderId="32" xfId="1" applyFont="1" applyBorder="1" applyProtection="1">
      <protection locked="0"/>
    </xf>
    <xf numFmtId="0" fontId="2" fillId="0" borderId="0" xfId="0" applyFont="1" applyAlignment="1">
      <alignment horizontal="center" wrapText="1"/>
    </xf>
    <xf numFmtId="0" fontId="1" fillId="0" borderId="0" xfId="0" applyFont="1" applyFill="1" applyAlignment="1" applyProtection="1">
      <alignment vertical="center" wrapText="1"/>
    </xf>
    <xf numFmtId="0" fontId="24" fillId="0" borderId="32" xfId="0" applyFont="1" applyBorder="1" applyAlignment="1" applyProtection="1">
      <alignment wrapText="1"/>
      <protection locked="0"/>
    </xf>
    <xf numFmtId="0" fontId="24" fillId="0" borderId="32" xfId="0" applyFont="1" applyBorder="1" applyProtection="1">
      <protection locked="0"/>
    </xf>
    <xf numFmtId="0" fontId="24" fillId="0" borderId="0" xfId="0" applyFont="1" applyAlignment="1">
      <alignment horizontal="left" vertical="center" wrapText="1"/>
    </xf>
    <xf numFmtId="0" fontId="28" fillId="2" borderId="0" xfId="0" applyFont="1" applyFill="1" applyAlignment="1"/>
    <xf numFmtId="0" fontId="28" fillId="2" borderId="0" xfId="0" applyFont="1" applyFill="1" applyAlignment="1">
      <alignment wrapText="1"/>
    </xf>
    <xf numFmtId="0" fontId="29" fillId="0" borderId="0" xfId="0" applyFont="1" applyAlignment="1">
      <alignment vertical="center"/>
    </xf>
    <xf numFmtId="0" fontId="28" fillId="4" borderId="0" xfId="0" applyFont="1" applyFill="1"/>
    <xf numFmtId="0" fontId="29" fillId="4" borderId="0" xfId="0" applyFont="1" applyFill="1" applyAlignment="1">
      <alignment horizontal="center"/>
    </xf>
    <xf numFmtId="0" fontId="28" fillId="4" borderId="1" xfId="0" applyFont="1" applyFill="1" applyBorder="1" applyAlignment="1">
      <alignment vertical="top" wrapText="1"/>
    </xf>
    <xf numFmtId="0" fontId="28" fillId="4" borderId="1" xfId="0" applyFont="1" applyFill="1" applyBorder="1" applyAlignment="1">
      <alignment horizontal="center" vertical="top" wrapText="1"/>
    </xf>
    <xf numFmtId="0" fontId="28" fillId="4" borderId="1" xfId="0" applyFont="1" applyFill="1" applyBorder="1" applyAlignment="1" applyProtection="1">
      <alignment vertical="top" wrapText="1"/>
      <protection locked="0"/>
    </xf>
    <xf numFmtId="43" fontId="28" fillId="4" borderId="1" xfId="1" applyFont="1" applyFill="1" applyBorder="1" applyAlignment="1" applyProtection="1">
      <alignment vertical="top" wrapText="1"/>
      <protection locked="0"/>
    </xf>
    <xf numFmtId="0" fontId="28" fillId="4" borderId="0" xfId="0" applyFont="1" applyFill="1" applyAlignment="1">
      <alignment wrapText="1"/>
    </xf>
    <xf numFmtId="43" fontId="28" fillId="4" borderId="0" xfId="1" applyFont="1" applyFill="1"/>
    <xf numFmtId="0" fontId="28" fillId="4" borderId="0" xfId="0" applyFont="1" applyFill="1" applyAlignment="1"/>
    <xf numFmtId="0" fontId="29" fillId="4" borderId="0" xfId="0" applyFont="1" applyFill="1" applyAlignment="1">
      <alignment wrapText="1"/>
    </xf>
    <xf numFmtId="0" fontId="28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vertical="center" wrapText="1"/>
    </xf>
    <xf numFmtId="2" fontId="28" fillId="4" borderId="1" xfId="0" applyNumberFormat="1" applyFont="1" applyFill="1" applyBorder="1" applyAlignment="1">
      <alignment horizontal="center" vertical="top" wrapText="1"/>
    </xf>
    <xf numFmtId="0" fontId="1" fillId="4" borderId="1" xfId="0" applyFont="1" applyFill="1" applyBorder="1" applyAlignment="1" applyProtection="1">
      <alignment vertical="center" wrapText="1"/>
      <protection locked="0"/>
    </xf>
    <xf numFmtId="0" fontId="28" fillId="4" borderId="1" xfId="0" applyFont="1" applyFill="1" applyBorder="1" applyAlignment="1" applyProtection="1">
      <alignment horizontal="left" vertical="top" wrapText="1"/>
      <protection locked="0"/>
    </xf>
    <xf numFmtId="43" fontId="28" fillId="4" borderId="1" xfId="1" applyFont="1" applyFill="1" applyBorder="1" applyAlignment="1" applyProtection="1">
      <alignment horizontal="left" vertical="top" wrapText="1"/>
      <protection locked="0"/>
    </xf>
    <xf numFmtId="0" fontId="24" fillId="4" borderId="1" xfId="0" applyFont="1" applyFill="1" applyBorder="1" applyAlignment="1" applyProtection="1">
      <alignment horizontal="left" vertical="top" wrapText="1"/>
      <protection locked="0"/>
    </xf>
    <xf numFmtId="43" fontId="24" fillId="4" borderId="1" xfId="1" applyFont="1" applyFill="1" applyBorder="1" applyAlignment="1" applyProtection="1">
      <alignment horizontal="left" vertical="top" wrapText="1"/>
      <protection locked="0"/>
    </xf>
    <xf numFmtId="0" fontId="24" fillId="4" borderId="1" xfId="0" applyFont="1" applyFill="1" applyBorder="1" applyAlignment="1">
      <alignment horizontal="left" vertical="top" wrapText="1"/>
    </xf>
    <xf numFmtId="0" fontId="28" fillId="4" borderId="1" xfId="0" applyFont="1" applyFill="1" applyBorder="1" applyAlignment="1">
      <alignment horizontal="justify" vertical="top" wrapText="1"/>
    </xf>
    <xf numFmtId="0" fontId="28" fillId="4" borderId="1" xfId="0" applyFont="1" applyFill="1" applyBorder="1" applyAlignment="1" applyProtection="1">
      <alignment horizontal="justify" vertical="top" wrapText="1"/>
      <protection locked="0"/>
    </xf>
    <xf numFmtId="43" fontId="28" fillId="4" borderId="1" xfId="1" applyFont="1" applyFill="1" applyBorder="1" applyAlignment="1" applyProtection="1">
      <alignment horizontal="justify" vertical="top" wrapText="1"/>
      <protection locked="0"/>
    </xf>
    <xf numFmtId="2" fontId="28" fillId="4" borderId="1" xfId="0" applyNumberFormat="1" applyFont="1" applyFill="1" applyBorder="1" applyAlignment="1">
      <alignment vertical="top" wrapText="1"/>
    </xf>
    <xf numFmtId="43" fontId="28" fillId="4" borderId="1" xfId="1" applyFont="1" applyFill="1" applyBorder="1" applyAlignment="1" applyProtection="1">
      <alignment horizontal="center" vertical="top" wrapText="1"/>
      <protection locked="0"/>
    </xf>
    <xf numFmtId="0" fontId="1" fillId="3" borderId="5" xfId="6" applyFont="1" applyFill="1" applyBorder="1" applyAlignment="1">
      <alignment horizontal="center" vertical="center"/>
    </xf>
    <xf numFmtId="43" fontId="2" fillId="3" borderId="5" xfId="2" applyNumberFormat="1" applyFont="1" applyFill="1" applyBorder="1"/>
    <xf numFmtId="49" fontId="1" fillId="3" borderId="1" xfId="6" applyNumberFormat="1" applyFont="1" applyFill="1" applyBorder="1" applyAlignment="1">
      <alignment horizontal="left" vertical="center"/>
    </xf>
    <xf numFmtId="0" fontId="1" fillId="3" borderId="6" xfId="6" applyFont="1" applyFill="1" applyBorder="1" applyAlignment="1">
      <alignment horizontal="center" vertical="center"/>
    </xf>
    <xf numFmtId="43" fontId="1" fillId="3" borderId="6" xfId="2" applyFont="1" applyFill="1" applyBorder="1"/>
    <xf numFmtId="43" fontId="1" fillId="3" borderId="7" xfId="2" applyFont="1" applyFill="1" applyBorder="1"/>
    <xf numFmtId="49" fontId="1" fillId="3" borderId="5" xfId="6" applyNumberFormat="1" applyFont="1" applyFill="1" applyBorder="1" applyAlignment="1">
      <alignment horizontal="left" vertical="center"/>
    </xf>
    <xf numFmtId="43" fontId="2" fillId="3" borderId="5" xfId="2" applyFont="1" applyFill="1" applyBorder="1"/>
    <xf numFmtId="49" fontId="1" fillId="3" borderId="6" xfId="6" applyNumberFormat="1" applyFont="1" applyFill="1" applyBorder="1" applyAlignment="1">
      <alignment horizontal="left" vertical="center"/>
    </xf>
    <xf numFmtId="0" fontId="1" fillId="3" borderId="7" xfId="6" applyFont="1" applyFill="1" applyBorder="1" applyAlignment="1">
      <alignment horizontal="center" vertical="center"/>
    </xf>
    <xf numFmtId="43" fontId="2" fillId="3" borderId="7" xfId="2" applyFont="1" applyFill="1" applyBorder="1"/>
    <xf numFmtId="49" fontId="2" fillId="3" borderId="8" xfId="6" applyNumberFormat="1" applyFont="1" applyFill="1" applyBorder="1" applyAlignment="1">
      <alignment horizontal="left" vertical="center"/>
    </xf>
    <xf numFmtId="0" fontId="1" fillId="3" borderId="9" xfId="6" applyFont="1" applyFill="1" applyBorder="1" applyAlignment="1">
      <alignment horizontal="center" vertical="center"/>
    </xf>
    <xf numFmtId="43" fontId="2" fillId="3" borderId="9" xfId="2" applyFont="1" applyFill="1" applyBorder="1"/>
    <xf numFmtId="0" fontId="2" fillId="3" borderId="1" xfId="6" applyFont="1" applyFill="1" applyBorder="1" applyAlignment="1">
      <alignment horizontal="left" vertical="center" wrapText="1"/>
    </xf>
    <xf numFmtId="43" fontId="29" fillId="3" borderId="1" xfId="1" applyFont="1" applyFill="1" applyBorder="1"/>
    <xf numFmtId="0" fontId="28" fillId="3" borderId="1" xfId="0" applyFont="1" applyFill="1" applyBorder="1" applyAlignment="1">
      <alignment horizontal="left" vertical="top" wrapText="1"/>
    </xf>
    <xf numFmtId="0" fontId="28" fillId="3" borderId="1" xfId="0" applyFont="1" applyFill="1" applyBorder="1" applyAlignment="1">
      <alignment horizontal="center" vertical="top" wrapText="1"/>
    </xf>
    <xf numFmtId="0" fontId="29" fillId="3" borderId="1" xfId="0" applyFont="1" applyFill="1" applyBorder="1" applyAlignment="1">
      <alignment horizontal="center" vertical="center" wrapText="1"/>
    </xf>
    <xf numFmtId="43" fontId="29" fillId="3" borderId="1" xfId="1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center" vertical="top" wrapText="1"/>
    </xf>
    <xf numFmtId="0" fontId="29" fillId="3" borderId="1" xfId="0" applyFont="1" applyFill="1" applyBorder="1" applyAlignment="1">
      <alignment horizontal="left" vertical="top" wrapText="1"/>
    </xf>
    <xf numFmtId="43" fontId="29" fillId="3" borderId="1" xfId="1" applyFont="1" applyFill="1" applyBorder="1" applyAlignment="1">
      <alignment horizontal="left" vertical="top" wrapText="1"/>
    </xf>
    <xf numFmtId="43" fontId="31" fillId="3" borderId="1" xfId="1" applyFont="1" applyFill="1" applyBorder="1" applyAlignment="1">
      <alignment vertical="top" wrapText="1"/>
    </xf>
    <xf numFmtId="0" fontId="31" fillId="3" borderId="1" xfId="0" applyFont="1" applyFill="1" applyBorder="1" applyAlignment="1">
      <alignment horizontal="left" vertical="top" wrapText="1"/>
    </xf>
    <xf numFmtId="43" fontId="31" fillId="3" borderId="1" xfId="1" applyFont="1" applyFill="1" applyBorder="1" applyAlignment="1">
      <alignment horizontal="left" vertical="top" wrapText="1"/>
    </xf>
    <xf numFmtId="0" fontId="29" fillId="3" borderId="1" xfId="0" applyFont="1" applyFill="1" applyBorder="1" applyAlignment="1">
      <alignment horizontal="justify" vertical="top" wrapText="1"/>
    </xf>
    <xf numFmtId="0" fontId="29" fillId="3" borderId="1" xfId="0" applyFont="1" applyFill="1" applyBorder="1" applyAlignment="1">
      <alignment vertical="top" wrapText="1"/>
    </xf>
    <xf numFmtId="43" fontId="29" fillId="3" borderId="1" xfId="1" applyFont="1" applyFill="1" applyBorder="1" applyAlignment="1">
      <alignment vertical="top" wrapText="1"/>
    </xf>
    <xf numFmtId="43" fontId="29" fillId="3" borderId="1" xfId="1" applyFont="1" applyFill="1" applyBorder="1" applyAlignment="1">
      <alignment horizontal="justify" vertical="top" wrapText="1"/>
    </xf>
    <xf numFmtId="0" fontId="29" fillId="3" borderId="1" xfId="0" applyFont="1" applyFill="1" applyBorder="1" applyAlignment="1" applyProtection="1">
      <alignment horizontal="left" vertical="top" wrapText="1"/>
      <protection locked="0"/>
    </xf>
    <xf numFmtId="43" fontId="29" fillId="3" borderId="1" xfId="1" applyFont="1" applyFill="1" applyBorder="1" applyAlignment="1">
      <alignment horizontal="center" vertical="top" wrapText="1"/>
    </xf>
    <xf numFmtId="0" fontId="28" fillId="3" borderId="1" xfId="0" applyFont="1" applyFill="1" applyBorder="1" applyAlignment="1">
      <alignment horizontal="center" vertical="center" wrapText="1"/>
    </xf>
    <xf numFmtId="43" fontId="24" fillId="0" borderId="6" xfId="1" applyFont="1" applyBorder="1" applyAlignment="1" applyProtection="1">
      <alignment horizontal="center" wrapText="1"/>
      <protection locked="0"/>
    </xf>
    <xf numFmtId="43" fontId="24" fillId="0" borderId="6" xfId="1" applyFont="1" applyBorder="1" applyAlignment="1" applyProtection="1">
      <alignment horizontal="center" vertical="center" wrapText="1"/>
      <protection locked="0"/>
    </xf>
    <xf numFmtId="172" fontId="28" fillId="3" borderId="1" xfId="1" applyNumberFormat="1" applyFont="1" applyFill="1" applyBorder="1" applyAlignment="1">
      <alignment wrapText="1"/>
    </xf>
    <xf numFmtId="0" fontId="7" fillId="0" borderId="10" xfId="0" applyFont="1" applyFill="1" applyBorder="1" applyAlignment="1" applyProtection="1"/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32" fillId="3" borderId="32" xfId="0" applyFont="1" applyFill="1" applyBorder="1" applyAlignment="1">
      <alignment horizontal="center" vertical="center" wrapText="1"/>
    </xf>
    <xf numFmtId="0" fontId="34" fillId="3" borderId="32" xfId="0" applyFont="1" applyFill="1" applyBorder="1" applyAlignment="1">
      <alignment horizontal="center" vertical="center" wrapText="1"/>
    </xf>
    <xf numFmtId="0" fontId="35" fillId="3" borderId="3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0" fontId="34" fillId="0" borderId="0" xfId="0" applyFont="1"/>
    <xf numFmtId="0" fontId="36" fillId="0" borderId="0" xfId="0" applyFont="1" applyAlignment="1"/>
    <xf numFmtId="0" fontId="34" fillId="0" borderId="0" xfId="0" applyFont="1" applyAlignment="1">
      <alignment horizontal="right" wrapText="1"/>
    </xf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1" fillId="0" borderId="0" xfId="0" applyFont="1" applyFill="1" applyAlignment="1" applyProtection="1">
      <alignment vertical="center" wrapText="1"/>
      <protection locked="0"/>
    </xf>
    <xf numFmtId="0" fontId="32" fillId="5" borderId="0" xfId="0" applyFont="1" applyFill="1" applyBorder="1" applyAlignment="1">
      <alignment horizontal="center" wrapText="1"/>
    </xf>
    <xf numFmtId="0" fontId="34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0" fontId="13" fillId="3" borderId="1" xfId="0" applyFont="1" applyFill="1" applyBorder="1" applyAlignment="1">
      <alignment horizontal="center" vertical="center" wrapText="1"/>
    </xf>
    <xf numFmtId="0" fontId="32" fillId="0" borderId="0" xfId="0" applyFont="1"/>
    <xf numFmtId="0" fontId="34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wrapText="1"/>
    </xf>
    <xf numFmtId="0" fontId="34" fillId="0" borderId="6" xfId="0" applyFont="1" applyBorder="1" applyAlignment="1">
      <alignment horizontal="center" vertical="center" wrapText="1"/>
    </xf>
    <xf numFmtId="0" fontId="34" fillId="0" borderId="2" xfId="0" applyFont="1" applyBorder="1" applyAlignment="1">
      <alignment wrapText="1"/>
    </xf>
    <xf numFmtId="0" fontId="34" fillId="0" borderId="33" xfId="0" applyFont="1" applyBorder="1" applyAlignment="1">
      <alignment horizontal="center" vertical="center" wrapText="1"/>
    </xf>
    <xf numFmtId="0" fontId="34" fillId="0" borderId="2" xfId="0" applyFont="1" applyBorder="1" applyAlignment="1">
      <alignment vertical="center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horizontal="center"/>
    </xf>
    <xf numFmtId="0" fontId="34" fillId="3" borderId="3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4" fillId="0" borderId="1" xfId="0" applyFont="1" applyBorder="1" applyAlignment="1">
      <alignment wrapText="1"/>
    </xf>
    <xf numFmtId="0" fontId="34" fillId="0" borderId="34" xfId="0" applyFont="1" applyBorder="1" applyAlignment="1">
      <alignment horizontal="center" vertical="center"/>
    </xf>
    <xf numFmtId="0" fontId="34" fillId="0" borderId="7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0" fontId="34" fillId="3" borderId="35" xfId="0" applyFont="1" applyFill="1" applyBorder="1" applyAlignment="1">
      <alignment horizontal="center" vertical="center"/>
    </xf>
    <xf numFmtId="0" fontId="11" fillId="0" borderId="0" xfId="6" applyFont="1" applyFill="1"/>
    <xf numFmtId="0" fontId="34" fillId="3" borderId="0" xfId="0" applyFont="1" applyFill="1" applyAlignment="1">
      <alignment horizontal="center"/>
    </xf>
    <xf numFmtId="0" fontId="34" fillId="3" borderId="7" xfId="0" applyFont="1" applyFill="1" applyBorder="1" applyAlignment="1">
      <alignment horizontal="center" vertical="center" wrapText="1"/>
    </xf>
    <xf numFmtId="0" fontId="34" fillId="3" borderId="36" xfId="0" applyFont="1" applyFill="1" applyBorder="1" applyAlignment="1">
      <alignment horizontal="center" vertical="center" wrapText="1"/>
    </xf>
    <xf numFmtId="0" fontId="38" fillId="3" borderId="32" xfId="0" applyFont="1" applyFill="1" applyBorder="1" applyAlignment="1">
      <alignment horizontal="center" vertical="center" wrapText="1"/>
    </xf>
    <xf numFmtId="0" fontId="39" fillId="0" borderId="0" xfId="0" applyFont="1"/>
    <xf numFmtId="0" fontId="38" fillId="0" borderId="0" xfId="0" applyFont="1"/>
    <xf numFmtId="0" fontId="38" fillId="0" borderId="0" xfId="0" applyFont="1" applyAlignment="1">
      <alignment horizontal="center"/>
    </xf>
    <xf numFmtId="0" fontId="40" fillId="0" borderId="0" xfId="0" applyFont="1" applyAlignme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 vertical="center" wrapText="1"/>
    </xf>
    <xf numFmtId="0" fontId="38" fillId="0" borderId="32" xfId="0" applyFont="1" applyBorder="1" applyAlignment="1">
      <alignment vertical="center" wrapText="1"/>
    </xf>
    <xf numFmtId="0" fontId="38" fillId="0" borderId="32" xfId="0" applyFont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41" fillId="0" borderId="0" xfId="0" applyFont="1"/>
    <xf numFmtId="0" fontId="38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34" fillId="3" borderId="37" xfId="0" applyFont="1" applyFill="1" applyBorder="1" applyAlignment="1">
      <alignment horizontal="center" vertical="center" wrapText="1"/>
    </xf>
    <xf numFmtId="0" fontId="34" fillId="3" borderId="38" xfId="0" applyFont="1" applyFill="1" applyBorder="1" applyAlignment="1">
      <alignment horizontal="center" vertical="center" wrapText="1"/>
    </xf>
    <xf numFmtId="0" fontId="2" fillId="0" borderId="0" xfId="6" applyFont="1" applyFill="1" applyAlignment="1" applyProtection="1">
      <alignment horizontal="center" vertical="center" wrapText="1"/>
    </xf>
    <xf numFmtId="0" fontId="2" fillId="3" borderId="7" xfId="6" applyFont="1" applyFill="1" applyBorder="1" applyAlignment="1" applyProtection="1">
      <alignment horizontal="center" vertical="center" wrapText="1"/>
    </xf>
    <xf numFmtId="0" fontId="2" fillId="3" borderId="9" xfId="6" applyFont="1" applyFill="1" applyBorder="1" applyAlignment="1" applyProtection="1">
      <alignment horizontal="center" vertical="center" wrapText="1"/>
    </xf>
    <xf numFmtId="0" fontId="2" fillId="3" borderId="2" xfId="6" applyFont="1" applyFill="1" applyBorder="1" applyAlignment="1">
      <alignment horizontal="center" wrapText="1"/>
    </xf>
    <xf numFmtId="0" fontId="1" fillId="0" borderId="1" xfId="6" applyFont="1" applyFill="1" applyBorder="1" applyAlignment="1">
      <alignment horizontal="left" vertical="center" wrapText="1"/>
    </xf>
    <xf numFmtId="0" fontId="2" fillId="3" borderId="2" xfId="6" applyFont="1" applyFill="1" applyBorder="1" applyAlignment="1">
      <alignment horizontal="left" vertical="center" wrapText="1"/>
    </xf>
    <xf numFmtId="0" fontId="3" fillId="0" borderId="1" xfId="6" applyFont="1" applyFill="1" applyBorder="1" applyAlignment="1">
      <alignment horizontal="left" vertical="center" wrapText="1"/>
    </xf>
    <xf numFmtId="0" fontId="4" fillId="3" borderId="2" xfId="6" applyFont="1" applyFill="1" applyBorder="1" applyAlignment="1">
      <alignment horizontal="left" vertical="center" wrapText="1"/>
    </xf>
    <xf numFmtId="0" fontId="1" fillId="0" borderId="12" xfId="6" applyFont="1" applyFill="1" applyBorder="1" applyAlignment="1">
      <alignment horizontal="left" vertical="center" wrapText="1"/>
    </xf>
    <xf numFmtId="0" fontId="2" fillId="3" borderId="12" xfId="6" applyFont="1" applyFill="1" applyBorder="1" applyAlignment="1">
      <alignment horizontal="left" vertical="center" wrapText="1"/>
    </xf>
    <xf numFmtId="0" fontId="1" fillId="0" borderId="13" xfId="6" applyFont="1" applyFill="1" applyBorder="1" applyAlignment="1">
      <alignment horizontal="left" vertical="center" wrapText="1"/>
    </xf>
    <xf numFmtId="0" fontId="3" fillId="0" borderId="13" xfId="6" applyFont="1" applyFill="1" applyBorder="1" applyAlignment="1">
      <alignment horizontal="left" vertical="center" wrapText="1"/>
    </xf>
    <xf numFmtId="0" fontId="4" fillId="3" borderId="12" xfId="6" applyFont="1" applyFill="1" applyBorder="1" applyAlignment="1">
      <alignment horizontal="left" vertical="center" wrapText="1"/>
    </xf>
    <xf numFmtId="0" fontId="3" fillId="0" borderId="10" xfId="6" applyFont="1" applyFill="1" applyBorder="1" applyAlignment="1">
      <alignment horizontal="left" vertical="center" wrapText="1"/>
    </xf>
    <xf numFmtId="0" fontId="3" fillId="0" borderId="12" xfId="6" applyFont="1" applyFill="1" applyBorder="1" applyAlignment="1">
      <alignment horizontal="left" vertical="center" wrapText="1"/>
    </xf>
    <xf numFmtId="0" fontId="2" fillId="3" borderId="14" xfId="6" applyFont="1" applyFill="1" applyBorder="1" applyAlignment="1">
      <alignment horizontal="center" vertical="center" wrapText="1"/>
    </xf>
    <xf numFmtId="0" fontId="2" fillId="3" borderId="10" xfId="6" applyFont="1" applyFill="1" applyBorder="1" applyAlignment="1">
      <alignment horizontal="center" vertical="center" wrapText="1"/>
    </xf>
    <xf numFmtId="0" fontId="2" fillId="3" borderId="12" xfId="6" applyFont="1" applyFill="1" applyBorder="1" applyAlignment="1">
      <alignment horizontal="left" wrapText="1"/>
    </xf>
    <xf numFmtId="0" fontId="5" fillId="3" borderId="12" xfId="6" applyFont="1" applyFill="1" applyBorder="1" applyAlignment="1">
      <alignment horizontal="left" wrapText="1"/>
    </xf>
    <xf numFmtId="0" fontId="3" fillId="0" borderId="13" xfId="6" applyFont="1" applyFill="1" applyBorder="1" applyAlignment="1">
      <alignment horizontal="left" wrapText="1"/>
    </xf>
    <xf numFmtId="0" fontId="1" fillId="0" borderId="15" xfId="6" applyFont="1" applyFill="1" applyBorder="1" applyAlignment="1">
      <alignment horizontal="left" vertical="center" wrapText="1"/>
    </xf>
    <xf numFmtId="0" fontId="2" fillId="3" borderId="11" xfId="6" applyFont="1" applyFill="1" applyBorder="1" applyAlignment="1">
      <alignment horizontal="center" wrapText="1"/>
    </xf>
    <xf numFmtId="0" fontId="2" fillId="3" borderId="16" xfId="6" applyFont="1" applyFill="1" applyBorder="1" applyAlignment="1">
      <alignment horizontal="center" vertical="center" wrapText="1"/>
    </xf>
    <xf numFmtId="0" fontId="2" fillId="3" borderId="17" xfId="6" applyFont="1" applyFill="1" applyBorder="1" applyAlignment="1">
      <alignment horizontal="center" vertical="center" wrapText="1"/>
    </xf>
    <xf numFmtId="0" fontId="1" fillId="0" borderId="32" xfId="0" applyFont="1" applyBorder="1" applyAlignment="1" applyProtection="1">
      <alignment horizontal="left" vertical="center" wrapText="1"/>
      <protection locked="0"/>
    </xf>
    <xf numFmtId="0" fontId="34" fillId="0" borderId="32" xfId="0" applyFont="1" applyBorder="1" applyAlignment="1" applyProtection="1">
      <alignment horizontal="left" vertical="center" wrapText="1"/>
      <protection locked="0"/>
    </xf>
    <xf numFmtId="0" fontId="42" fillId="0" borderId="0" xfId="0" applyFont="1" applyAlignment="1"/>
    <xf numFmtId="0" fontId="24" fillId="0" borderId="0" xfId="0" applyFont="1" applyAlignment="1">
      <alignment horizontal="center"/>
    </xf>
    <xf numFmtId="0" fontId="26" fillId="0" borderId="0" xfId="0" applyNumberFormat="1" applyFont="1"/>
    <xf numFmtId="43" fontId="28" fillId="3" borderId="1" xfId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28" fillId="0" borderId="0" xfId="0" applyFont="1" applyAlignment="1"/>
    <xf numFmtId="43" fontId="34" fillId="0" borderId="35" xfId="1" applyNumberFormat="1" applyFont="1" applyBorder="1" applyProtection="1">
      <protection locked="0"/>
    </xf>
    <xf numFmtId="43" fontId="34" fillId="0" borderId="32" xfId="1" applyNumberFormat="1" applyFont="1" applyBorder="1" applyProtection="1">
      <protection locked="0"/>
    </xf>
    <xf numFmtId="43" fontId="34" fillId="3" borderId="34" xfId="1" applyNumberFormat="1" applyFont="1" applyFill="1" applyBorder="1"/>
    <xf numFmtId="43" fontId="34" fillId="3" borderId="32" xfId="1" applyNumberFormat="1" applyFont="1" applyFill="1" applyBorder="1"/>
    <xf numFmtId="43" fontId="34" fillId="0" borderId="32" xfId="1" applyNumberFormat="1" applyFont="1" applyBorder="1" applyAlignment="1" applyProtection="1">
      <alignment vertical="center" wrapText="1"/>
      <protection locked="0"/>
    </xf>
    <xf numFmtId="43" fontId="32" fillId="3" borderId="32" xfId="1" applyNumberFormat="1" applyFont="1" applyFill="1" applyBorder="1" applyAlignment="1">
      <alignment vertical="center" wrapText="1"/>
    </xf>
    <xf numFmtId="43" fontId="34" fillId="3" borderId="38" xfId="1" applyNumberFormat="1" applyFont="1" applyFill="1" applyBorder="1" applyAlignment="1">
      <alignment vertical="center"/>
    </xf>
    <xf numFmtId="43" fontId="34" fillId="3" borderId="32" xfId="1" applyNumberFormat="1" applyFont="1" applyFill="1" applyBorder="1" applyAlignment="1">
      <alignment vertical="center"/>
    </xf>
    <xf numFmtId="0" fontId="26" fillId="0" borderId="0" xfId="0" applyFont="1" applyAlignment="1" applyProtection="1">
      <alignment horizontal="left" indent="5"/>
    </xf>
    <xf numFmtId="0" fontId="26" fillId="0" borderId="0" xfId="0" applyFont="1" applyAlignment="1" applyProtection="1"/>
    <xf numFmtId="0" fontId="24" fillId="0" borderId="0" xfId="0" applyFont="1" applyAlignment="1" applyProtection="1">
      <alignment horizontal="right"/>
    </xf>
    <xf numFmtId="0" fontId="24" fillId="0" borderId="0" xfId="0" applyFont="1" applyAlignment="1" applyProtection="1"/>
    <xf numFmtId="0" fontId="24" fillId="0" borderId="0" xfId="0" applyFont="1" applyAlignment="1" applyProtection="1">
      <alignment horizontal="center"/>
    </xf>
    <xf numFmtId="0" fontId="24" fillId="0" borderId="0" xfId="0" applyFont="1" applyAlignment="1" applyProtection="1">
      <alignment wrapText="1"/>
    </xf>
    <xf numFmtId="43" fontId="34" fillId="3" borderId="38" xfId="1" applyNumberFormat="1" applyFont="1" applyFill="1" applyBorder="1"/>
    <xf numFmtId="0" fontId="34" fillId="0" borderId="0" xfId="0" applyFont="1" applyAlignment="1" applyProtection="1">
      <alignment wrapText="1"/>
    </xf>
    <xf numFmtId="0" fontId="34" fillId="0" borderId="0" xfId="0" applyFont="1" applyProtection="1"/>
    <xf numFmtId="0" fontId="36" fillId="0" borderId="0" xfId="0" applyFont="1" applyAlignment="1" applyProtection="1"/>
    <xf numFmtId="0" fontId="38" fillId="0" borderId="0" xfId="0" applyFont="1" applyAlignment="1">
      <alignment wrapText="1"/>
    </xf>
    <xf numFmtId="0" fontId="7" fillId="0" borderId="0" xfId="6" applyFont="1" applyFill="1" applyAlignment="1" applyProtection="1"/>
    <xf numFmtId="43" fontId="43" fillId="0" borderId="0" xfId="1" applyFont="1" applyAlignment="1" applyProtection="1">
      <alignment horizontal="left" vertical="center" wrapText="1"/>
    </xf>
    <xf numFmtId="43" fontId="43" fillId="0" borderId="0" xfId="1" applyFont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" fillId="0" borderId="0" xfId="6" applyFont="1" applyFill="1" applyAlignment="1">
      <alignment horizontal="left" wrapText="1" indent="13"/>
    </xf>
    <xf numFmtId="0" fontId="26" fillId="0" borderId="0" xfId="0" applyFont="1" applyAlignment="1">
      <alignment horizontal="left" indent="21"/>
    </xf>
    <xf numFmtId="0" fontId="1" fillId="0" borderId="0" xfId="6" applyFont="1" applyFill="1" applyAlignment="1">
      <alignment horizontal="left" wrapText="1" indent="21"/>
    </xf>
    <xf numFmtId="0" fontId="40" fillId="0" borderId="0" xfId="0" applyFont="1" applyAlignment="1"/>
    <xf numFmtId="0" fontId="0" fillId="0" borderId="0" xfId="0" applyFont="1" applyAlignment="1"/>
    <xf numFmtId="0" fontId="24" fillId="0" borderId="0" xfId="0" applyFont="1" applyProtection="1"/>
    <xf numFmtId="0" fontId="34" fillId="5" borderId="0" xfId="0" applyFont="1" applyFill="1" applyBorder="1" applyAlignment="1" applyProtection="1">
      <alignment horizontal="left" vertical="center" wrapText="1"/>
    </xf>
    <xf numFmtId="0" fontId="42" fillId="0" borderId="0" xfId="0" applyFont="1" applyAlignment="1" applyProtection="1"/>
    <xf numFmtId="0" fontId="11" fillId="0" borderId="0" xfId="6" applyFont="1" applyFill="1" applyProtection="1"/>
    <xf numFmtId="0" fontId="42" fillId="0" borderId="0" xfId="0" applyFont="1" applyAlignment="1" applyProtection="1">
      <alignment horizontal="right"/>
    </xf>
    <xf numFmtId="0" fontId="0" fillId="0" borderId="0" xfId="0" applyAlignment="1" applyProtection="1"/>
    <xf numFmtId="0" fontId="34" fillId="0" borderId="0" xfId="0" applyFont="1" applyAlignment="1" applyProtection="1">
      <alignment horizontal="center"/>
    </xf>
    <xf numFmtId="0" fontId="32" fillId="0" borderId="0" xfId="0" applyFont="1" applyAlignment="1" applyProtection="1">
      <alignment vertical="center"/>
    </xf>
    <xf numFmtId="0" fontId="24" fillId="0" borderId="0" xfId="0" applyFont="1" applyAlignment="1" applyProtection="1">
      <alignment horizontal="left" wrapText="1"/>
      <protection locked="0"/>
    </xf>
    <xf numFmtId="0" fontId="24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left" wrapText="1"/>
    </xf>
    <xf numFmtId="0" fontId="34" fillId="0" borderId="0" xfId="0" applyFont="1" applyAlignment="1" applyProtection="1">
      <alignment horizontal="center" vertical="center"/>
    </xf>
    <xf numFmtId="0" fontId="34" fillId="0" borderId="0" xfId="0" applyFont="1" applyAlignment="1" applyProtection="1">
      <alignment horizontal="center" vertical="center" wrapText="1"/>
    </xf>
    <xf numFmtId="49" fontId="24" fillId="0" borderId="0" xfId="0" applyNumberFormat="1" applyFont="1" applyAlignment="1" applyProtection="1">
      <alignment horizontal="right" wrapText="1"/>
    </xf>
    <xf numFmtId="0" fontId="42" fillId="0" borderId="0" xfId="0" applyFont="1" applyProtection="1"/>
    <xf numFmtId="0" fontId="34" fillId="5" borderId="0" xfId="0" applyFont="1" applyFill="1" applyBorder="1" applyAlignment="1" applyProtection="1">
      <alignment vertical="center" wrapText="1"/>
    </xf>
    <xf numFmtId="0" fontId="38" fillId="0" borderId="0" xfId="0" applyFont="1" applyAlignment="1" applyProtection="1">
      <alignment vertical="center"/>
    </xf>
    <xf numFmtId="0" fontId="39" fillId="5" borderId="0" xfId="0" applyFont="1" applyFill="1" applyBorder="1" applyAlignment="1" applyProtection="1">
      <alignment vertical="center" wrapText="1"/>
    </xf>
    <xf numFmtId="0" fontId="38" fillId="0" borderId="0" xfId="0" applyFont="1" applyProtection="1"/>
    <xf numFmtId="0" fontId="38" fillId="0" borderId="0" xfId="0" applyFont="1" applyAlignment="1" applyProtection="1">
      <alignment horizontal="center"/>
    </xf>
    <xf numFmtId="0" fontId="40" fillId="0" borderId="0" xfId="0" applyFont="1" applyAlignment="1" applyProtection="1"/>
    <xf numFmtId="0" fontId="24" fillId="0" borderId="0" xfId="0" applyFont="1" applyAlignment="1" applyProtection="1">
      <alignment horizontal="center" vertical="center" wrapText="1"/>
    </xf>
    <xf numFmtId="0" fontId="1" fillId="0" borderId="2" xfId="6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33" xfId="0" applyFont="1" applyFill="1" applyBorder="1" applyAlignment="1" applyProtection="1">
      <alignment horizontal="center" vertical="center" wrapText="1"/>
    </xf>
    <xf numFmtId="0" fontId="1" fillId="4" borderId="39" xfId="0" applyFont="1" applyFill="1" applyBorder="1" applyAlignment="1" applyProtection="1">
      <alignment horizontal="center" vertical="center" wrapText="1"/>
    </xf>
    <xf numFmtId="43" fontId="1" fillId="0" borderId="1" xfId="1" applyFont="1" applyFill="1" applyBorder="1" applyProtection="1">
      <protection locked="0"/>
    </xf>
    <xf numFmtId="43" fontId="1" fillId="0" borderId="18" xfId="1" applyFont="1" applyFill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left" vertical="center" wrapText="1"/>
    </xf>
    <xf numFmtId="0" fontId="1" fillId="4" borderId="20" xfId="6" applyFont="1" applyFill="1" applyBorder="1" applyAlignment="1" applyProtection="1">
      <alignment horizontal="left" vertical="center"/>
    </xf>
    <xf numFmtId="0" fontId="1" fillId="4" borderId="21" xfId="6" applyFont="1" applyFill="1" applyBorder="1" applyAlignment="1" applyProtection="1">
      <alignment horizontal="left" vertical="center"/>
    </xf>
    <xf numFmtId="0" fontId="1" fillId="4" borderId="20" xfId="6" applyFont="1" applyFill="1" applyBorder="1" applyAlignment="1" applyProtection="1">
      <alignment horizontal="left" vertical="center" wrapText="1"/>
    </xf>
    <xf numFmtId="0" fontId="1" fillId="4" borderId="20" xfId="6" applyFont="1" applyFill="1" applyBorder="1" applyAlignment="1" applyProtection="1">
      <alignment horizontal="left"/>
    </xf>
    <xf numFmtId="0" fontId="1" fillId="4" borderId="19" xfId="6" applyFont="1" applyFill="1" applyBorder="1" applyAlignment="1" applyProtection="1">
      <alignment horizontal="left"/>
    </xf>
    <xf numFmtId="0" fontId="1" fillId="4" borderId="19" xfId="6" applyFont="1" applyFill="1" applyBorder="1" applyAlignment="1" applyProtection="1">
      <alignment horizontal="left" vertical="center"/>
    </xf>
    <xf numFmtId="0" fontId="1" fillId="4" borderId="40" xfId="0" applyFont="1" applyFill="1" applyBorder="1" applyAlignment="1" applyProtection="1">
      <alignment horizontal="left" vertical="center" wrapText="1"/>
    </xf>
    <xf numFmtId="0" fontId="1" fillId="4" borderId="41" xfId="0" applyFont="1" applyFill="1" applyBorder="1" applyAlignment="1" applyProtection="1">
      <alignment horizontal="left" vertical="center" wrapText="1"/>
    </xf>
    <xf numFmtId="0" fontId="1" fillId="4" borderId="2" xfId="6" applyFont="1" applyFill="1" applyBorder="1" applyAlignment="1" applyProtection="1">
      <alignment horizontal="center" vertical="center" wrapText="1"/>
    </xf>
    <xf numFmtId="43" fontId="28" fillId="0" borderId="1" xfId="1" applyFont="1" applyBorder="1" applyProtection="1">
      <protection locked="0"/>
    </xf>
    <xf numFmtId="43" fontId="28" fillId="0" borderId="18" xfId="1" applyFont="1" applyBorder="1" applyProtection="1">
      <protection locked="0"/>
    </xf>
    <xf numFmtId="43" fontId="2" fillId="3" borderId="7" xfId="1" quotePrefix="1" applyFont="1" applyFill="1" applyBorder="1" applyProtection="1"/>
    <xf numFmtId="43" fontId="28" fillId="0" borderId="0" xfId="1" applyFont="1" applyAlignment="1" applyProtection="1">
      <alignment horizontal="left" vertical="center"/>
    </xf>
    <xf numFmtId="0" fontId="24" fillId="0" borderId="0" xfId="0" applyFont="1" applyAlignment="1" applyProtection="1">
      <alignment vertical="center" wrapText="1"/>
    </xf>
    <xf numFmtId="0" fontId="24" fillId="0" borderId="0" xfId="0" applyFont="1" applyAlignment="1" applyProtection="1">
      <alignment horizontal="right" vertical="center" wrapText="1"/>
    </xf>
    <xf numFmtId="0" fontId="24" fillId="0" borderId="0" xfId="1" applyNumberFormat="1" applyFont="1" applyAlignment="1" applyProtection="1">
      <alignment horizontal="center" vertical="center" wrapText="1"/>
    </xf>
    <xf numFmtId="4" fontId="28" fillId="0" borderId="1" xfId="0" applyNumberFormat="1" applyFont="1" applyBorder="1" applyProtection="1">
      <protection locked="0"/>
    </xf>
    <xf numFmtId="0" fontId="1" fillId="0" borderId="0" xfId="6" applyNumberFormat="1" applyFont="1" applyFill="1" applyAlignment="1" applyProtection="1">
      <alignment wrapText="1"/>
    </xf>
    <xf numFmtId="0" fontId="2" fillId="0" borderId="0" xfId="6" applyFont="1" applyFill="1" applyAlignment="1" applyProtection="1">
      <alignment vertical="center"/>
    </xf>
    <xf numFmtId="0" fontId="26" fillId="0" borderId="0" xfId="0" applyFont="1" applyAlignment="1" applyProtection="1">
      <alignment horizontal="right"/>
    </xf>
    <xf numFmtId="0" fontId="28" fillId="0" borderId="1" xfId="0" applyFont="1" applyBorder="1" applyProtection="1"/>
    <xf numFmtId="0" fontId="28" fillId="0" borderId="1" xfId="1" applyNumberFormat="1" applyFont="1" applyBorder="1" applyAlignment="1" applyProtection="1">
      <alignment horizontal="center"/>
    </xf>
    <xf numFmtId="0" fontId="2" fillId="0" borderId="0" xfId="1" applyNumberFormat="1" applyFont="1" applyFill="1" applyAlignment="1" applyProtection="1">
      <alignment horizontal="center" vertical="center"/>
    </xf>
    <xf numFmtId="0" fontId="24" fillId="0" borderId="0" xfId="1" applyNumberFormat="1" applyFont="1" applyAlignment="1" applyProtection="1">
      <alignment horizontal="center"/>
    </xf>
    <xf numFmtId="0" fontId="1" fillId="0" borderId="0" xfId="6" applyFont="1" applyFill="1" applyAlignment="1" applyProtection="1">
      <alignment vertical="center" wrapText="1"/>
    </xf>
    <xf numFmtId="0" fontId="1" fillId="0" borderId="0" xfId="1" applyNumberFormat="1" applyFont="1" applyFill="1" applyAlignment="1" applyProtection="1">
      <alignment horizontal="center" vertical="center"/>
    </xf>
    <xf numFmtId="0" fontId="1" fillId="0" borderId="0" xfId="6" applyFont="1" applyFill="1" applyAlignment="1" applyProtection="1">
      <alignment horizontal="right"/>
    </xf>
    <xf numFmtId="0" fontId="24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center"/>
    </xf>
    <xf numFmtId="0" fontId="1" fillId="0" borderId="0" xfId="6" applyNumberFormat="1" applyFont="1" applyFill="1" applyAlignment="1" applyProtection="1">
      <alignment horizontal="center" wrapText="1"/>
    </xf>
    <xf numFmtId="0" fontId="24" fillId="0" borderId="0" xfId="0" applyFont="1" applyAlignment="1" applyProtection="1">
      <alignment horizontal="right" vertical="center" wrapText="1"/>
    </xf>
    <xf numFmtId="49" fontId="1" fillId="0" borderId="0" xfId="6" applyNumberFormat="1" applyFont="1" applyFill="1" applyAlignment="1" applyProtection="1">
      <alignment horizontal="center" vertical="center"/>
    </xf>
    <xf numFmtId="0" fontId="2" fillId="0" borderId="0" xfId="6" applyFont="1" applyFill="1" applyAlignment="1" applyProtection="1">
      <alignment horizontal="center"/>
    </xf>
    <xf numFmtId="0" fontId="1" fillId="0" borderId="0" xfId="6" applyNumberFormat="1" applyFont="1" applyFill="1" applyAlignment="1" applyProtection="1">
      <alignment horizontal="right" wrapText="1"/>
    </xf>
    <xf numFmtId="49" fontId="24" fillId="0" borderId="0" xfId="0" applyNumberFormat="1" applyFont="1" applyAlignment="1" applyProtection="1">
      <alignment horizontal="left" vertical="center" wrapText="1"/>
    </xf>
    <xf numFmtId="0" fontId="26" fillId="0" borderId="0" xfId="0" applyFont="1" applyAlignment="1" applyProtection="1">
      <alignment horizontal="center"/>
    </xf>
    <xf numFmtId="49" fontId="2" fillId="3" borderId="1" xfId="6" applyNumberFormat="1" applyFont="1" applyFill="1" applyBorder="1" applyProtection="1"/>
    <xf numFmtId="0" fontId="2" fillId="3" borderId="1" xfId="6" applyFont="1" applyFill="1" applyBorder="1" applyAlignment="1" applyProtection="1">
      <alignment horizontal="left" vertical="center" wrapText="1"/>
    </xf>
    <xf numFmtId="0" fontId="1" fillId="3" borderId="1" xfId="6" applyFont="1" applyFill="1" applyBorder="1" applyAlignment="1" applyProtection="1">
      <alignment horizontal="center"/>
    </xf>
    <xf numFmtId="49" fontId="1" fillId="0" borderId="1" xfId="6" applyNumberFormat="1" applyFont="1" applyFill="1" applyBorder="1" applyProtection="1"/>
    <xf numFmtId="0" fontId="1" fillId="0" borderId="1" xfId="6" applyFont="1" applyFill="1" applyBorder="1" applyAlignment="1" applyProtection="1">
      <alignment horizontal="left" vertical="center" wrapText="1" indent="3"/>
    </xf>
    <xf numFmtId="0" fontId="1" fillId="0" borderId="1" xfId="6" applyFont="1" applyFill="1" applyBorder="1" applyAlignment="1" applyProtection="1">
      <alignment horizontal="center"/>
    </xf>
    <xf numFmtId="0" fontId="2" fillId="3" borderId="1" xfId="6" applyFont="1" applyFill="1" applyBorder="1" applyAlignment="1" applyProtection="1">
      <alignment vertical="center" wrapText="1"/>
    </xf>
    <xf numFmtId="0" fontId="1" fillId="0" borderId="1" xfId="6" applyFont="1" applyFill="1" applyBorder="1" applyAlignment="1" applyProtection="1">
      <alignment horizontal="left" vertical="center" indent="3"/>
    </xf>
    <xf numFmtId="0" fontId="1" fillId="0" borderId="1" xfId="6" applyFont="1" applyFill="1" applyBorder="1" applyAlignment="1" applyProtection="1">
      <alignment horizontal="left" vertical="center" indent="2"/>
    </xf>
    <xf numFmtId="0" fontId="2" fillId="3" borderId="1" xfId="6" applyFont="1" applyFill="1" applyBorder="1" applyAlignment="1" applyProtection="1">
      <alignment horizontal="left" vertical="center"/>
    </xf>
    <xf numFmtId="49" fontId="2" fillId="0" borderId="1" xfId="6" applyNumberFormat="1" applyFont="1" applyFill="1" applyBorder="1" applyProtection="1"/>
    <xf numFmtId="0" fontId="0" fillId="0" borderId="0" xfId="0" applyFont="1" applyAlignment="1" applyProtection="1"/>
    <xf numFmtId="0" fontId="24" fillId="0" borderId="0" xfId="0" applyNumberFormat="1" applyFont="1" applyAlignment="1" applyProtection="1">
      <alignment horizontal="center"/>
    </xf>
    <xf numFmtId="49" fontId="1" fillId="0" borderId="0" xfId="6" applyNumberFormat="1" applyFont="1" applyFill="1" applyAlignment="1" applyProtection="1">
      <alignment horizontal="left"/>
    </xf>
    <xf numFmtId="0" fontId="1" fillId="0" borderId="0" xfId="6" applyFont="1" applyFill="1" applyAlignment="1" applyProtection="1">
      <alignment horizontal="center"/>
    </xf>
    <xf numFmtId="49" fontId="1" fillId="0" borderId="0" xfId="6" applyNumberFormat="1" applyFont="1" applyFill="1" applyAlignment="1" applyProtection="1">
      <alignment horizontal="center" wrapText="1"/>
    </xf>
    <xf numFmtId="49" fontId="1" fillId="0" borderId="0" xfId="6" applyNumberFormat="1" applyFont="1" applyFill="1" applyProtection="1"/>
    <xf numFmtId="0" fontId="1" fillId="0" borderId="0" xfId="6" applyFont="1" applyFill="1" applyAlignment="1" applyProtection="1">
      <alignment vertical="center"/>
    </xf>
    <xf numFmtId="175" fontId="1" fillId="0" borderId="0" xfId="6" applyNumberFormat="1" applyFont="1" applyFill="1" applyProtection="1"/>
    <xf numFmtId="43" fontId="2" fillId="3" borderId="1" xfId="6" applyNumberFormat="1" applyFont="1" applyFill="1" applyBorder="1" applyAlignment="1" applyProtection="1">
      <alignment horizontal="center" vertical="center" wrapText="1"/>
    </xf>
    <xf numFmtId="43" fontId="1" fillId="3" borderId="1" xfId="6" applyNumberFormat="1" applyFont="1" applyFill="1" applyBorder="1" applyAlignment="1" applyProtection="1">
      <alignment horizontal="center"/>
    </xf>
    <xf numFmtId="43" fontId="2" fillId="3" borderId="1" xfId="2" applyNumberFormat="1" applyFont="1" applyFill="1" applyBorder="1" applyAlignment="1" applyProtection="1">
      <alignment horizontal="center"/>
    </xf>
    <xf numFmtId="0" fontId="24" fillId="0" borderId="0" xfId="0" applyNumberFormat="1" applyFont="1" applyAlignment="1" applyProtection="1"/>
    <xf numFmtId="0" fontId="26" fillId="0" borderId="0" xfId="0" applyNumberFormat="1" applyFont="1" applyAlignment="1" applyProtection="1"/>
    <xf numFmtId="49" fontId="11" fillId="0" borderId="0" xfId="6" applyNumberFormat="1" applyFont="1" applyFill="1" applyAlignment="1" applyProtection="1">
      <alignment horizontal="center" vertical="center"/>
    </xf>
    <xf numFmtId="0" fontId="13" fillId="0" borderId="0" xfId="6" applyFont="1" applyFill="1" applyAlignment="1" applyProtection="1">
      <alignment horizontal="center" wrapText="1"/>
    </xf>
    <xf numFmtId="0" fontId="13" fillId="0" borderId="0" xfId="6" applyFont="1" applyFill="1" applyAlignment="1" applyProtection="1">
      <alignment horizontal="center"/>
    </xf>
    <xf numFmtId="0" fontId="11" fillId="0" borderId="0" xfId="6" applyFont="1" applyFill="1" applyAlignment="1" applyProtection="1"/>
    <xf numFmtId="0" fontId="11" fillId="0" borderId="0" xfId="6" applyNumberFormat="1" applyFont="1" applyFill="1" applyAlignment="1" applyProtection="1"/>
    <xf numFmtId="0" fontId="44" fillId="0" borderId="0" xfId="6" applyFont="1" applyProtection="1"/>
    <xf numFmtId="0" fontId="34" fillId="0" borderId="0" xfId="0" applyFont="1" applyAlignment="1" applyProtection="1">
      <alignment horizontal="left" vertical="center"/>
    </xf>
    <xf numFmtId="0" fontId="34" fillId="0" borderId="0" xfId="0" applyFont="1" applyAlignment="1" applyProtection="1"/>
    <xf numFmtId="49" fontId="34" fillId="0" borderId="0" xfId="0" applyNumberFormat="1" applyFont="1" applyAlignment="1" applyProtection="1">
      <alignment horizontal="left" vertical="center"/>
    </xf>
    <xf numFmtId="0" fontId="34" fillId="0" borderId="0" xfId="0" applyFont="1" applyAlignment="1" applyProtection="1">
      <alignment horizontal="right" vertical="center"/>
    </xf>
    <xf numFmtId="0" fontId="37" fillId="0" borderId="0" xfId="0" applyFont="1" applyAlignment="1" applyProtection="1">
      <alignment horizontal="right"/>
    </xf>
    <xf numFmtId="0" fontId="45" fillId="3" borderId="1" xfId="6" applyFont="1" applyFill="1" applyBorder="1" applyAlignment="1" applyProtection="1">
      <alignment horizontal="center" vertical="center" wrapText="1"/>
    </xf>
    <xf numFmtId="0" fontId="44" fillId="0" borderId="0" xfId="6" applyFont="1" applyAlignment="1" applyProtection="1">
      <alignment wrapText="1"/>
    </xf>
    <xf numFmtId="0" fontId="44" fillId="3" borderId="1" xfId="6" applyFont="1" applyFill="1" applyBorder="1" applyAlignment="1" applyProtection="1">
      <alignment horizontal="center" vertical="center"/>
    </xf>
    <xf numFmtId="0" fontId="44" fillId="3" borderId="1" xfId="6" applyFont="1" applyFill="1" applyBorder="1" applyAlignment="1" applyProtection="1">
      <alignment horizontal="center" vertical="center" wrapText="1"/>
    </xf>
    <xf numFmtId="0" fontId="45" fillId="3" borderId="1" xfId="6" applyFont="1" applyFill="1" applyBorder="1" applyAlignment="1" applyProtection="1">
      <alignment horizontal="center"/>
    </xf>
    <xf numFmtId="0" fontId="45" fillId="0" borderId="0" xfId="6" applyFont="1" applyProtection="1"/>
    <xf numFmtId="0" fontId="44" fillId="0" borderId="1" xfId="6" applyFont="1" applyBorder="1" applyAlignment="1" applyProtection="1">
      <alignment horizontal="center"/>
    </xf>
    <xf numFmtId="0" fontId="44" fillId="0" borderId="1" xfId="6" applyFont="1" applyBorder="1" applyAlignment="1" applyProtection="1">
      <alignment horizontal="left" wrapText="1"/>
    </xf>
    <xf numFmtId="0" fontId="46" fillId="0" borderId="0" xfId="6" applyNumberFormat="1" applyFont="1" applyAlignment="1" applyProtection="1"/>
    <xf numFmtId="0" fontId="44" fillId="0" borderId="0" xfId="6" applyNumberFormat="1" applyFont="1" applyAlignment="1" applyProtection="1">
      <alignment horizontal="center"/>
    </xf>
    <xf numFmtId="0" fontId="44" fillId="0" borderId="0" xfId="6" applyNumberFormat="1" applyFont="1" applyProtection="1"/>
    <xf numFmtId="0" fontId="11" fillId="0" borderId="0" xfId="6" applyNumberFormat="1" applyFont="1" applyFill="1" applyProtection="1"/>
    <xf numFmtId="0" fontId="46" fillId="0" borderId="0" xfId="6" applyNumberFormat="1" applyFont="1" applyAlignment="1" applyProtection="1">
      <alignment horizontal="center"/>
    </xf>
    <xf numFmtId="0" fontId="34" fillId="0" borderId="0" xfId="0" applyNumberFormat="1" applyFont="1" applyAlignment="1" applyProtection="1"/>
    <xf numFmtId="0" fontId="34" fillId="0" borderId="0" xfId="0" applyNumberFormat="1" applyFont="1" applyProtection="1"/>
    <xf numFmtId="0" fontId="36" fillId="0" borderId="0" xfId="0" applyNumberFormat="1" applyFont="1" applyAlignment="1" applyProtection="1"/>
    <xf numFmtId="0" fontId="47" fillId="0" borderId="0" xfId="0" applyNumberFormat="1" applyFont="1" applyAlignment="1" applyProtection="1">
      <alignment horizontal="left"/>
    </xf>
    <xf numFmtId="0" fontId="48" fillId="0" borderId="0" xfId="0" applyFont="1" applyAlignment="1" applyProtection="1"/>
    <xf numFmtId="0" fontId="47" fillId="0" borderId="0" xfId="0" applyFont="1" applyAlignment="1" applyProtection="1"/>
    <xf numFmtId="0" fontId="47" fillId="0" borderId="0" xfId="0" applyFont="1" applyAlignment="1" applyProtection="1">
      <alignment horizontal="center"/>
    </xf>
    <xf numFmtId="0" fontId="11" fillId="0" borderId="0" xfId="6" applyFont="1" applyFill="1" applyAlignment="1" applyProtection="1">
      <alignment wrapText="1"/>
    </xf>
    <xf numFmtId="0" fontId="44" fillId="0" borderId="0" xfId="6" applyFont="1" applyAlignment="1" applyProtection="1">
      <alignment horizontal="center"/>
    </xf>
    <xf numFmtId="0" fontId="44" fillId="0" borderId="0" xfId="6" applyFont="1" applyAlignment="1" applyProtection="1"/>
    <xf numFmtId="0" fontId="49" fillId="0" borderId="0" xfId="6" applyNumberFormat="1" applyFont="1" applyAlignment="1" applyProtection="1"/>
    <xf numFmtId="43" fontId="45" fillId="3" borderId="1" xfId="1" applyNumberFormat="1" applyFont="1" applyFill="1" applyBorder="1" applyAlignment="1" applyProtection="1"/>
    <xf numFmtId="43" fontId="45" fillId="3" borderId="1" xfId="1" applyNumberFormat="1" applyFont="1" applyFill="1" applyBorder="1" applyAlignment="1" applyProtection="1">
      <alignment horizontal="center"/>
    </xf>
    <xf numFmtId="43" fontId="44" fillId="6" borderId="1" xfId="1" applyNumberFormat="1" applyFont="1" applyFill="1" applyBorder="1" applyAlignment="1" applyProtection="1"/>
    <xf numFmtId="43" fontId="45" fillId="6" borderId="1" xfId="1" applyNumberFormat="1" applyFont="1" applyFill="1" applyBorder="1" applyAlignment="1" applyProtection="1">
      <alignment horizontal="center"/>
    </xf>
    <xf numFmtId="43" fontId="44" fillId="0" borderId="1" xfId="1" applyNumberFormat="1" applyFont="1" applyBorder="1" applyAlignment="1" applyProtection="1">
      <alignment horizontal="left"/>
      <protection locked="0"/>
    </xf>
    <xf numFmtId="43" fontId="44" fillId="0" borderId="1" xfId="1" applyNumberFormat="1" applyFont="1" applyBorder="1" applyAlignment="1" applyProtection="1">
      <protection locked="0"/>
    </xf>
    <xf numFmtId="43" fontId="45" fillId="4" borderId="1" xfId="1" applyNumberFormat="1" applyFont="1" applyFill="1" applyBorder="1" applyAlignment="1" applyProtection="1">
      <protection locked="0"/>
    </xf>
    <xf numFmtId="49" fontId="1" fillId="0" borderId="0" xfId="6" applyNumberFormat="1" applyFont="1" applyFill="1" applyAlignment="1" applyProtection="1">
      <alignment horizontal="left" vertical="center"/>
    </xf>
    <xf numFmtId="0" fontId="28" fillId="0" borderId="0" xfId="6" applyFont="1" applyProtection="1"/>
    <xf numFmtId="49" fontId="2" fillId="0" borderId="0" xfId="6" applyNumberFormat="1" applyFont="1" applyFill="1" applyAlignment="1" applyProtection="1">
      <alignment horizontal="left" vertical="center"/>
    </xf>
    <xf numFmtId="0" fontId="1" fillId="0" borderId="0" xfId="6" applyFont="1" applyFill="1" applyAlignment="1" applyProtection="1">
      <alignment horizontal="center" vertical="center"/>
    </xf>
    <xf numFmtId="0" fontId="24" fillId="0" borderId="0" xfId="0" applyFont="1" applyAlignment="1" applyProtection="1">
      <alignment horizontal="left" vertical="center" wrapText="1"/>
    </xf>
    <xf numFmtId="49" fontId="29" fillId="3" borderId="1" xfId="6" applyNumberFormat="1" applyFont="1" applyFill="1" applyBorder="1" applyAlignment="1" applyProtection="1">
      <alignment horizontal="center" vertical="center" wrapText="1"/>
    </xf>
    <xf numFmtId="0" fontId="29" fillId="3" borderId="1" xfId="6" applyFont="1" applyFill="1" applyBorder="1" applyAlignment="1" applyProtection="1">
      <alignment horizontal="center" vertical="center" wrapText="1"/>
    </xf>
    <xf numFmtId="49" fontId="28" fillId="3" borderId="1" xfId="6" applyNumberFormat="1" applyFont="1" applyFill="1" applyBorder="1" applyAlignment="1" applyProtection="1">
      <alignment horizontal="center" vertical="center" wrapText="1"/>
    </xf>
    <xf numFmtId="0" fontId="28" fillId="3" borderId="1" xfId="6" applyFont="1" applyFill="1" applyBorder="1" applyAlignment="1" applyProtection="1">
      <alignment horizontal="center" vertical="center" wrapText="1"/>
    </xf>
    <xf numFmtId="0" fontId="28" fillId="3" borderId="1" xfId="6" applyFont="1" applyFill="1" applyBorder="1" applyAlignment="1" applyProtection="1">
      <alignment horizontal="center" vertical="center"/>
    </xf>
    <xf numFmtId="0" fontId="28" fillId="0" borderId="0" xfId="6" applyFont="1" applyAlignment="1" applyProtection="1">
      <alignment horizontal="center"/>
    </xf>
    <xf numFmtId="49" fontId="29" fillId="3" borderId="1" xfId="6" applyNumberFormat="1" applyFont="1" applyFill="1" applyBorder="1" applyAlignment="1" applyProtection="1">
      <alignment horizontal="left"/>
    </xf>
    <xf numFmtId="0" fontId="29" fillId="3" borderId="1" xfId="6" applyFont="1" applyFill="1" applyBorder="1" applyAlignment="1" applyProtection="1">
      <alignment wrapText="1"/>
    </xf>
    <xf numFmtId="0" fontId="28" fillId="3" borderId="1" xfId="6" applyFont="1" applyFill="1" applyBorder="1" applyAlignment="1" applyProtection="1">
      <alignment horizontal="center"/>
    </xf>
    <xf numFmtId="0" fontId="29" fillId="3" borderId="1" xfId="6" applyFont="1" applyFill="1" applyBorder="1" applyProtection="1"/>
    <xf numFmtId="0" fontId="29" fillId="0" borderId="0" xfId="6" applyFont="1" applyProtection="1"/>
    <xf numFmtId="49" fontId="28" fillId="0" borderId="1" xfId="6" applyNumberFormat="1" applyFont="1" applyBorder="1" applyAlignment="1" applyProtection="1">
      <alignment horizontal="left"/>
    </xf>
    <xf numFmtId="0" fontId="28" fillId="0" borderId="1" xfId="6" applyFont="1" applyBorder="1" applyAlignment="1" applyProtection="1">
      <alignment horizontal="left" wrapText="1"/>
    </xf>
    <xf numFmtId="0" fontId="28" fillId="0" borderId="1" xfId="6" applyFont="1" applyBorder="1" applyAlignment="1" applyProtection="1">
      <alignment horizontal="center"/>
    </xf>
    <xf numFmtId="49" fontId="29" fillId="3" borderId="5" xfId="6" applyNumberFormat="1" applyFont="1" applyFill="1" applyBorder="1" applyAlignment="1" applyProtection="1">
      <alignment horizontal="left"/>
    </xf>
    <xf numFmtId="0" fontId="29" fillId="3" borderId="5" xfId="6" applyFont="1" applyFill="1" applyBorder="1" applyAlignment="1" applyProtection="1">
      <alignment wrapText="1"/>
    </xf>
    <xf numFmtId="0" fontId="28" fillId="3" borderId="5" xfId="6" applyFont="1" applyFill="1" applyBorder="1" applyAlignment="1" applyProtection="1">
      <alignment horizontal="center"/>
    </xf>
    <xf numFmtId="49" fontId="29" fillId="3" borderId="6" xfId="6" applyNumberFormat="1" applyFont="1" applyFill="1" applyBorder="1" applyAlignment="1" applyProtection="1">
      <alignment horizontal="left"/>
    </xf>
    <xf numFmtId="0" fontId="29" fillId="3" borderId="6" xfId="6" applyFont="1" applyFill="1" applyBorder="1" applyAlignment="1" applyProtection="1">
      <alignment wrapText="1"/>
    </xf>
    <xf numFmtId="0" fontId="28" fillId="3" borderId="6" xfId="6" applyFont="1" applyFill="1" applyBorder="1" applyAlignment="1" applyProtection="1">
      <alignment horizontal="center"/>
    </xf>
    <xf numFmtId="0" fontId="28" fillId="0" borderId="7" xfId="6" applyFont="1" applyBorder="1" applyAlignment="1" applyProtection="1">
      <alignment horizontal="left" wrapText="1"/>
    </xf>
    <xf numFmtId="0" fontId="28" fillId="0" borderId="7" xfId="6" applyFont="1" applyBorder="1" applyAlignment="1" applyProtection="1">
      <alignment horizontal="center"/>
    </xf>
    <xf numFmtId="0" fontId="29" fillId="3" borderId="7" xfId="6" applyFont="1" applyFill="1" applyBorder="1" applyAlignment="1" applyProtection="1">
      <alignment wrapText="1"/>
    </xf>
    <xf numFmtId="0" fontId="28" fillId="3" borderId="7" xfId="6" applyFont="1" applyFill="1" applyBorder="1" applyAlignment="1" applyProtection="1">
      <alignment horizontal="center"/>
    </xf>
    <xf numFmtId="49" fontId="29" fillId="3" borderId="4" xfId="6" applyNumberFormat="1" applyFont="1" applyFill="1" applyBorder="1" applyAlignment="1" applyProtection="1">
      <alignment horizontal="left"/>
    </xf>
    <xf numFmtId="0" fontId="29" fillId="3" borderId="8" xfId="6" applyFont="1" applyFill="1" applyBorder="1" applyAlignment="1" applyProtection="1">
      <alignment wrapText="1"/>
    </xf>
    <xf numFmtId="0" fontId="28" fillId="3" borderId="9" xfId="6" applyFont="1" applyFill="1" applyBorder="1" applyAlignment="1" applyProtection="1">
      <alignment horizontal="center"/>
    </xf>
    <xf numFmtId="49" fontId="29" fillId="3" borderId="22" xfId="6" applyNumberFormat="1" applyFont="1" applyFill="1" applyBorder="1" applyAlignment="1" applyProtection="1">
      <alignment horizontal="left"/>
    </xf>
    <xf numFmtId="0" fontId="29" fillId="3" borderId="23" xfId="6" applyFont="1" applyFill="1" applyBorder="1" applyAlignment="1" applyProtection="1">
      <alignment wrapText="1"/>
    </xf>
    <xf numFmtId="0" fontId="28" fillId="3" borderId="24" xfId="6" applyFont="1" applyFill="1" applyBorder="1" applyAlignment="1" applyProtection="1">
      <alignment horizontal="center"/>
    </xf>
    <xf numFmtId="0" fontId="28" fillId="0" borderId="0" xfId="6" applyNumberFormat="1" applyFont="1" applyAlignment="1" applyProtection="1">
      <alignment horizontal="center"/>
    </xf>
    <xf numFmtId="0" fontId="0" fillId="0" borderId="0" xfId="0" applyAlignment="1" applyProtection="1">
      <alignment wrapText="1"/>
    </xf>
    <xf numFmtId="49" fontId="28" fillId="0" borderId="0" xfId="6" applyNumberFormat="1" applyFont="1" applyAlignment="1" applyProtection="1">
      <alignment horizontal="left"/>
    </xf>
    <xf numFmtId="0" fontId="28" fillId="0" borderId="0" xfId="6" applyFont="1" applyAlignment="1" applyProtection="1">
      <alignment wrapText="1"/>
    </xf>
    <xf numFmtId="0" fontId="28" fillId="0" borderId="0" xfId="6" applyNumberFormat="1" applyFont="1" applyAlignment="1" applyProtection="1"/>
    <xf numFmtId="0" fontId="29" fillId="3" borderId="1" xfId="6" applyFont="1" applyFill="1" applyBorder="1" applyAlignment="1" applyProtection="1">
      <alignment horizontal="right" vertical="center" wrapText="1"/>
    </xf>
    <xf numFmtId="43" fontId="29" fillId="3" borderId="1" xfId="1" applyFont="1" applyFill="1" applyBorder="1" applyProtection="1"/>
    <xf numFmtId="43" fontId="29" fillId="3" borderId="5" xfId="1" applyFont="1" applyFill="1" applyBorder="1" applyProtection="1"/>
    <xf numFmtId="43" fontId="29" fillId="3" borderId="6" xfId="1" applyFont="1" applyFill="1" applyBorder="1" applyProtection="1"/>
    <xf numFmtId="43" fontId="29" fillId="3" borderId="7" xfId="1" applyFont="1" applyFill="1" applyBorder="1" applyProtection="1"/>
    <xf numFmtId="43" fontId="29" fillId="3" borderId="25" xfId="1" applyFont="1" applyFill="1" applyBorder="1" applyProtection="1"/>
    <xf numFmtId="43" fontId="29" fillId="3" borderId="26" xfId="1" applyFont="1" applyFill="1" applyBorder="1" applyProtection="1"/>
    <xf numFmtId="0" fontId="43" fillId="0" borderId="0" xfId="6" applyNumberFormat="1" applyFont="1" applyAlignment="1" applyProtection="1"/>
    <xf numFmtId="49" fontId="31" fillId="5" borderId="42" xfId="0" applyNumberFormat="1" applyFont="1" applyFill="1" applyBorder="1" applyAlignment="1" applyProtection="1">
      <alignment horizontal="left" vertical="center" wrapText="1"/>
    </xf>
    <xf numFmtId="0" fontId="31" fillId="5" borderId="0" xfId="0" applyFont="1" applyFill="1" applyBorder="1" applyAlignment="1" applyProtection="1">
      <alignment horizontal="left" vertical="center" wrapText="1"/>
    </xf>
    <xf numFmtId="49" fontId="31" fillId="0" borderId="0" xfId="0" applyNumberFormat="1" applyFont="1" applyAlignment="1" applyProtection="1">
      <alignment horizontal="left" vertical="center" wrapText="1"/>
    </xf>
    <xf numFmtId="0" fontId="31" fillId="0" borderId="0" xfId="0" applyFont="1" applyAlignment="1" applyProtection="1">
      <alignment horizontal="center" vertical="center" wrapText="1"/>
    </xf>
    <xf numFmtId="49" fontId="31" fillId="3" borderId="32" xfId="0" applyNumberFormat="1" applyFont="1" applyFill="1" applyBorder="1" applyAlignment="1" applyProtection="1">
      <alignment horizontal="left" vertical="center" wrapText="1"/>
    </xf>
    <xf numFmtId="0" fontId="31" fillId="3" borderId="32" xfId="0" applyFont="1" applyFill="1" applyBorder="1" applyAlignment="1" applyProtection="1">
      <alignment vertical="center" wrapText="1"/>
    </xf>
    <xf numFmtId="0" fontId="31" fillId="3" borderId="32" xfId="0" applyFont="1" applyFill="1" applyBorder="1" applyAlignment="1" applyProtection="1">
      <alignment horizontal="center" vertical="center" wrapText="1"/>
    </xf>
    <xf numFmtId="0" fontId="24" fillId="3" borderId="32" xfId="0" applyFont="1" applyFill="1" applyBorder="1" applyAlignment="1" applyProtection="1">
      <alignment horizontal="center" vertical="center" wrapText="1"/>
    </xf>
    <xf numFmtId="49" fontId="24" fillId="3" borderId="32" xfId="0" applyNumberFormat="1" applyFont="1" applyFill="1" applyBorder="1" applyAlignment="1" applyProtection="1">
      <alignment horizontal="center" vertical="center" wrapText="1"/>
    </xf>
    <xf numFmtId="0" fontId="24" fillId="3" borderId="33" xfId="0" applyFont="1" applyFill="1" applyBorder="1" applyAlignment="1" applyProtection="1">
      <alignment horizontal="center" vertical="center" wrapText="1"/>
    </xf>
    <xf numFmtId="43" fontId="24" fillId="3" borderId="32" xfId="1" applyFont="1" applyFill="1" applyBorder="1" applyProtection="1"/>
    <xf numFmtId="0" fontId="31" fillId="0" borderId="0" xfId="0" applyFont="1" applyProtection="1"/>
    <xf numFmtId="0" fontId="2" fillId="3" borderId="32" xfId="0" applyFont="1" applyFill="1" applyBorder="1" applyAlignment="1" applyProtection="1">
      <alignment vertical="center" wrapText="1"/>
    </xf>
    <xf numFmtId="49" fontId="24" fillId="0" borderId="32" xfId="0" applyNumberFormat="1" applyFont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vertical="center" wrapText="1"/>
    </xf>
    <xf numFmtId="0" fontId="24" fillId="0" borderId="32" xfId="0" applyFont="1" applyBorder="1" applyAlignment="1" applyProtection="1">
      <alignment horizontal="center" vertical="center" wrapText="1"/>
    </xf>
    <xf numFmtId="0" fontId="2" fillId="3" borderId="32" xfId="0" applyFont="1" applyFill="1" applyBorder="1" applyAlignment="1" applyProtection="1">
      <alignment wrapText="1"/>
    </xf>
    <xf numFmtId="43" fontId="31" fillId="3" borderId="32" xfId="1" applyFont="1" applyFill="1" applyBorder="1" applyProtection="1"/>
    <xf numFmtId="0" fontId="1" fillId="0" borderId="32" xfId="0" applyFont="1" applyBorder="1" applyAlignment="1" applyProtection="1">
      <alignment horizontal="left" vertical="center" wrapText="1"/>
    </xf>
    <xf numFmtId="49" fontId="24" fillId="5" borderId="32" xfId="0" applyNumberFormat="1" applyFont="1" applyFill="1" applyBorder="1" applyAlignment="1" applyProtection="1">
      <alignment horizontal="left" vertical="center" wrapText="1"/>
    </xf>
    <xf numFmtId="0" fontId="24" fillId="5" borderId="32" xfId="0" applyFont="1" applyFill="1" applyBorder="1" applyAlignment="1" applyProtection="1">
      <alignment horizontal="left" vertical="center" wrapText="1"/>
    </xf>
    <xf numFmtId="49" fontId="31" fillId="0" borderId="0" xfId="0" applyNumberFormat="1" applyFont="1" applyAlignment="1" applyProtection="1">
      <alignment horizontal="left" vertical="center"/>
    </xf>
    <xf numFmtId="0" fontId="24" fillId="0" borderId="0" xfId="0" applyNumberFormat="1" applyFont="1" applyAlignment="1" applyProtection="1">
      <alignment horizontal="right"/>
    </xf>
    <xf numFmtId="49" fontId="24" fillId="0" borderId="0" xfId="0" applyNumberFormat="1" applyFont="1" applyAlignment="1" applyProtection="1">
      <alignment horizontal="left"/>
    </xf>
    <xf numFmtId="0" fontId="24" fillId="0" borderId="0" xfId="0" applyNumberFormat="1" applyFont="1" applyAlignment="1" applyProtection="1">
      <alignment wrapText="1"/>
    </xf>
    <xf numFmtId="0" fontId="24" fillId="0" borderId="0" xfId="0" applyNumberFormat="1" applyFont="1" applyAlignment="1" applyProtection="1">
      <alignment horizontal="right" wrapText="1"/>
    </xf>
    <xf numFmtId="0" fontId="0" fillId="0" borderId="0" xfId="0" applyAlignment="1" applyProtection="1">
      <alignment horizontal="right" wrapText="1"/>
    </xf>
    <xf numFmtId="0" fontId="26" fillId="0" borderId="0" xfId="0" applyFont="1" applyAlignment="1" applyProtection="1">
      <alignment wrapText="1"/>
    </xf>
    <xf numFmtId="43" fontId="31" fillId="3" borderId="32" xfId="0" applyNumberFormat="1" applyFont="1" applyFill="1" applyBorder="1" applyProtection="1"/>
    <xf numFmtId="43" fontId="24" fillId="3" borderId="33" xfId="1" applyNumberFormat="1" applyFont="1" applyFill="1" applyBorder="1" applyProtection="1"/>
    <xf numFmtId="43" fontId="31" fillId="3" borderId="32" xfId="1" applyNumberFormat="1" applyFont="1" applyFill="1" applyBorder="1" applyProtection="1"/>
    <xf numFmtId="43" fontId="31" fillId="3" borderId="32" xfId="1" applyNumberFormat="1" applyFont="1" applyFill="1" applyBorder="1" applyAlignment="1" applyProtection="1">
      <alignment vertical="center" wrapText="1"/>
    </xf>
    <xf numFmtId="43" fontId="24" fillId="3" borderId="33" xfId="1" applyNumberFormat="1" applyFont="1" applyFill="1" applyBorder="1" applyAlignment="1" applyProtection="1">
      <alignment vertical="center"/>
    </xf>
    <xf numFmtId="9" fontId="24" fillId="3" borderId="32" xfId="7" applyFont="1" applyFill="1" applyBorder="1" applyProtection="1"/>
    <xf numFmtId="43" fontId="24" fillId="0" borderId="32" xfId="1" applyNumberFormat="1" applyFont="1" applyBorder="1" applyProtection="1">
      <protection locked="0"/>
    </xf>
    <xf numFmtId="0" fontId="24" fillId="0" borderId="33" xfId="0" applyFont="1" applyBorder="1" applyAlignment="1" applyProtection="1">
      <alignment horizontal="center" vertical="center" wrapText="1"/>
    </xf>
    <xf numFmtId="43" fontId="34" fillId="0" borderId="32" xfId="1" applyNumberFormat="1" applyFont="1" applyBorder="1" applyAlignment="1" applyProtection="1">
      <alignment vertical="center"/>
      <protection locked="0"/>
    </xf>
    <xf numFmtId="0" fontId="34" fillId="0" borderId="0" xfId="0" applyFont="1" applyAlignment="1" applyProtection="1">
      <alignment vertical="center"/>
    </xf>
    <xf numFmtId="174" fontId="34" fillId="0" borderId="0" xfId="1" applyNumberFormat="1" applyFont="1" applyAlignment="1" applyProtection="1">
      <alignment vertical="center"/>
    </xf>
    <xf numFmtId="0" fontId="34" fillId="0" borderId="0" xfId="0" applyNumberFormat="1" applyFont="1" applyAlignment="1" applyProtection="1">
      <alignment horizontal="center" vertical="center"/>
    </xf>
    <xf numFmtId="0" fontId="34" fillId="0" borderId="0" xfId="0" applyFont="1" applyAlignment="1" applyProtection="1">
      <alignment vertical="center" wrapText="1"/>
    </xf>
    <xf numFmtId="0" fontId="32" fillId="0" borderId="0" xfId="0" applyNumberFormat="1" applyFont="1" applyAlignment="1" applyProtection="1">
      <alignment horizontal="center" vertical="center"/>
    </xf>
    <xf numFmtId="174" fontId="34" fillId="0" borderId="0" xfId="1" applyNumberFormat="1" applyFont="1" applyAlignment="1" applyProtection="1"/>
    <xf numFmtId="174" fontId="32" fillId="5" borderId="0" xfId="1" applyNumberFormat="1" applyFont="1" applyFill="1" applyBorder="1" applyAlignment="1" applyProtection="1">
      <alignment horizontal="center" vertical="center" wrapText="1"/>
    </xf>
    <xf numFmtId="0" fontId="32" fillId="5" borderId="0" xfId="0" applyNumberFormat="1" applyFont="1" applyFill="1" applyBorder="1" applyAlignment="1" applyProtection="1">
      <alignment horizontal="center" vertical="center" wrapText="1"/>
    </xf>
    <xf numFmtId="174" fontId="34" fillId="0" borderId="0" xfId="1" applyNumberFormat="1" applyFont="1" applyProtection="1"/>
    <xf numFmtId="174" fontId="34" fillId="0" borderId="43" xfId="1" applyNumberFormat="1" applyFont="1" applyBorder="1" applyAlignment="1" applyProtection="1">
      <alignment horizontal="center"/>
    </xf>
    <xf numFmtId="174" fontId="37" fillId="0" borderId="43" xfId="1" applyNumberFormat="1" applyFont="1" applyBorder="1" applyAlignment="1" applyProtection="1">
      <alignment horizontal="center"/>
    </xf>
    <xf numFmtId="0" fontId="32" fillId="3" borderId="32" xfId="0" applyNumberFormat="1" applyFont="1" applyFill="1" applyBorder="1" applyAlignment="1" applyProtection="1">
      <alignment horizontal="center" vertical="center" wrapText="1"/>
    </xf>
    <xf numFmtId="0" fontId="32" fillId="3" borderId="32" xfId="0" applyFont="1" applyFill="1" applyBorder="1" applyAlignment="1" applyProtection="1">
      <alignment horizontal="center" vertical="center" wrapText="1"/>
    </xf>
    <xf numFmtId="174" fontId="32" fillId="3" borderId="32" xfId="1" applyNumberFormat="1" applyFont="1" applyFill="1" applyBorder="1" applyAlignment="1" applyProtection="1">
      <alignment horizontal="center" vertical="center" wrapText="1"/>
    </xf>
    <xf numFmtId="0" fontId="34" fillId="3" borderId="32" xfId="0" applyNumberFormat="1" applyFont="1" applyFill="1" applyBorder="1" applyAlignment="1" applyProtection="1">
      <alignment horizontal="center" vertical="center" wrapText="1"/>
    </xf>
    <xf numFmtId="0" fontId="34" fillId="3" borderId="32" xfId="0" applyFont="1" applyFill="1" applyBorder="1" applyAlignment="1" applyProtection="1">
      <alignment horizontal="center" vertical="center" wrapText="1"/>
    </xf>
    <xf numFmtId="0" fontId="34" fillId="3" borderId="32" xfId="1" applyNumberFormat="1" applyFont="1" applyFill="1" applyBorder="1" applyAlignment="1" applyProtection="1">
      <alignment horizontal="center" vertical="center" wrapText="1"/>
    </xf>
    <xf numFmtId="0" fontId="32" fillId="3" borderId="32" xfId="0" applyNumberFormat="1" applyFont="1" applyFill="1" applyBorder="1" applyAlignment="1" applyProtection="1">
      <alignment horizontal="center" vertical="center"/>
    </xf>
    <xf numFmtId="0" fontId="32" fillId="3" borderId="32" xfId="0" applyFont="1" applyFill="1" applyBorder="1" applyAlignment="1" applyProtection="1">
      <alignment horizontal="left" vertical="center" wrapText="1"/>
    </xf>
    <xf numFmtId="0" fontId="32" fillId="3" borderId="32" xfId="0" applyFont="1" applyFill="1" applyBorder="1" applyAlignment="1" applyProtection="1">
      <alignment horizontal="center" vertical="center"/>
    </xf>
    <xf numFmtId="43" fontId="32" fillId="3" borderId="32" xfId="1" applyNumberFormat="1" applyFont="1" applyFill="1" applyBorder="1" applyAlignment="1" applyProtection="1">
      <alignment vertical="center"/>
    </xf>
    <xf numFmtId="0" fontId="34" fillId="0" borderId="32" xfId="0" applyNumberFormat="1" applyFont="1" applyBorder="1" applyAlignment="1" applyProtection="1">
      <alignment horizontal="center" vertical="center"/>
    </xf>
    <xf numFmtId="0" fontId="34" fillId="0" borderId="32" xfId="0" applyFont="1" applyBorder="1" applyAlignment="1" applyProtection="1">
      <alignment horizontal="left" vertical="center" wrapText="1"/>
    </xf>
    <xf numFmtId="0" fontId="34" fillId="0" borderId="32" xfId="0" applyFont="1" applyBorder="1" applyAlignment="1" applyProtection="1">
      <alignment horizontal="center" vertical="center"/>
    </xf>
    <xf numFmtId="0" fontId="32" fillId="0" borderId="0" xfId="0" applyFont="1" applyAlignment="1" applyProtection="1">
      <alignment horizontal="center" vertical="center" wrapText="1"/>
    </xf>
    <xf numFmtId="0" fontId="32" fillId="0" borderId="0" xfId="0" applyFont="1" applyAlignment="1" applyProtection="1">
      <alignment horizontal="center" vertical="center"/>
    </xf>
    <xf numFmtId="174" fontId="32" fillId="0" borderId="0" xfId="1" applyNumberFormat="1" applyFont="1" applyAlignment="1" applyProtection="1">
      <alignment horizontal="center" vertical="center"/>
    </xf>
    <xf numFmtId="172" fontId="32" fillId="3" borderId="32" xfId="1" applyNumberFormat="1" applyFont="1" applyFill="1" applyBorder="1" applyAlignment="1" applyProtection="1">
      <alignment horizontal="center" vertical="center"/>
    </xf>
    <xf numFmtId="2" fontId="34" fillId="0" borderId="32" xfId="0" applyNumberFormat="1" applyFont="1" applyBorder="1" applyAlignment="1" applyProtection="1">
      <alignment horizontal="left" vertical="center"/>
    </xf>
    <xf numFmtId="43" fontId="32" fillId="3" borderId="32" xfId="1" applyNumberFormat="1" applyFont="1" applyFill="1" applyBorder="1" applyAlignment="1" applyProtection="1">
      <alignment horizontal="center" vertical="center"/>
    </xf>
    <xf numFmtId="0" fontId="32" fillId="7" borderId="32" xfId="0" applyNumberFormat="1" applyFont="1" applyFill="1" applyBorder="1" applyAlignment="1" applyProtection="1">
      <alignment horizontal="center" vertical="center" wrapText="1"/>
    </xf>
    <xf numFmtId="0" fontId="32" fillId="7" borderId="32" xfId="0" applyFont="1" applyFill="1" applyBorder="1" applyAlignment="1" applyProtection="1">
      <alignment horizontal="center" vertical="center" wrapText="1"/>
    </xf>
    <xf numFmtId="0" fontId="34" fillId="3" borderId="32" xfId="0" applyNumberFormat="1" applyFont="1" applyFill="1" applyBorder="1" applyAlignment="1" applyProtection="1">
      <alignment horizontal="center" vertical="center"/>
    </xf>
    <xf numFmtId="0" fontId="32" fillId="3" borderId="32" xfId="0" applyFont="1" applyFill="1" applyBorder="1" applyAlignment="1" applyProtection="1">
      <alignment vertical="center" wrapText="1"/>
    </xf>
    <xf numFmtId="43" fontId="32" fillId="3" borderId="32" xfId="1" applyNumberFormat="1" applyFont="1" applyFill="1" applyBorder="1" applyAlignment="1" applyProtection="1">
      <alignment vertical="center" wrapText="1"/>
    </xf>
    <xf numFmtId="0" fontId="32" fillId="0" borderId="0" xfId="0" applyFont="1" applyAlignment="1" applyProtection="1">
      <alignment vertical="center" wrapText="1"/>
    </xf>
    <xf numFmtId="43" fontId="32" fillId="3" borderId="32" xfId="1" applyNumberFormat="1" applyFont="1" applyFill="1" applyBorder="1" applyAlignment="1" applyProtection="1">
      <alignment horizontal="center" vertical="center" wrapText="1"/>
    </xf>
    <xf numFmtId="0" fontId="34" fillId="8" borderId="32" xfId="0" applyNumberFormat="1" applyFont="1" applyFill="1" applyBorder="1" applyAlignment="1" applyProtection="1">
      <alignment horizontal="center" vertical="center"/>
    </xf>
    <xf numFmtId="0" fontId="34" fillId="8" borderId="33" xfId="0" applyFont="1" applyFill="1" applyBorder="1" applyAlignment="1" applyProtection="1">
      <alignment horizontal="center" vertical="center"/>
    </xf>
    <xf numFmtId="0" fontId="34" fillId="3" borderId="33" xfId="0" applyFont="1" applyFill="1" applyBorder="1" applyAlignment="1" applyProtection="1">
      <alignment horizontal="center" vertical="center"/>
    </xf>
    <xf numFmtId="43" fontId="32" fillId="3" borderId="1" xfId="1" applyNumberFormat="1" applyFont="1" applyFill="1" applyBorder="1" applyAlignment="1" applyProtection="1">
      <alignment vertical="center"/>
    </xf>
    <xf numFmtId="43" fontId="11" fillId="3" borderId="1" xfId="1" applyNumberFormat="1" applyFont="1" applyFill="1" applyBorder="1" applyAlignment="1" applyProtection="1">
      <alignment vertical="center"/>
    </xf>
    <xf numFmtId="43" fontId="34" fillId="3" borderId="38" xfId="1" applyNumberFormat="1" applyFont="1" applyFill="1" applyBorder="1" applyAlignment="1" applyProtection="1">
      <alignment vertical="center" wrapText="1"/>
    </xf>
    <xf numFmtId="174" fontId="11" fillId="0" borderId="0" xfId="1" applyNumberFormat="1" applyFont="1" applyFill="1" applyProtection="1"/>
    <xf numFmtId="0" fontId="26" fillId="0" borderId="0" xfId="0" applyNumberFormat="1" applyFont="1" applyProtection="1"/>
    <xf numFmtId="0" fontId="34" fillId="0" borderId="0" xfId="0" applyNumberFormat="1" applyFont="1" applyAlignment="1" applyProtection="1">
      <alignment horizontal="center"/>
    </xf>
    <xf numFmtId="43" fontId="34" fillId="0" borderId="32" xfId="1" applyNumberFormat="1" applyFont="1" applyBorder="1" applyAlignment="1" applyProtection="1">
      <alignment horizontal="center" vertical="center" wrapText="1"/>
      <protection locked="0"/>
    </xf>
    <xf numFmtId="43" fontId="34" fillId="0" borderId="1" xfId="1" applyNumberFormat="1" applyFont="1" applyBorder="1" applyAlignment="1" applyProtection="1">
      <alignment vertical="center" wrapText="1"/>
      <protection locked="0"/>
    </xf>
    <xf numFmtId="0" fontId="46" fillId="0" borderId="0" xfId="0" applyFont="1" applyAlignment="1" applyProtection="1"/>
    <xf numFmtId="0" fontId="47" fillId="0" borderId="0" xfId="0" applyFont="1" applyProtection="1"/>
    <xf numFmtId="0" fontId="18" fillId="0" borderId="0" xfId="6" applyFont="1" applyFill="1" applyProtection="1"/>
    <xf numFmtId="0" fontId="48" fillId="0" borderId="0" xfId="0" applyFont="1" applyProtection="1"/>
    <xf numFmtId="0" fontId="18" fillId="0" borderId="0" xfId="0" applyFont="1" applyProtection="1"/>
    <xf numFmtId="0" fontId="50" fillId="0" borderId="0" xfId="0" applyFont="1" applyAlignment="1" applyProtection="1"/>
    <xf numFmtId="0" fontId="51" fillId="0" borderId="0" xfId="0" applyFont="1" applyAlignment="1" applyProtection="1"/>
    <xf numFmtId="0" fontId="51" fillId="0" borderId="0" xfId="0" applyFont="1" applyAlignment="1" applyProtection="1">
      <alignment horizontal="center"/>
    </xf>
    <xf numFmtId="0" fontId="52" fillId="0" borderId="0" xfId="0" applyFont="1" applyAlignment="1" applyProtection="1"/>
    <xf numFmtId="0" fontId="51" fillId="0" borderId="0" xfId="0" applyFont="1" applyProtection="1"/>
    <xf numFmtId="43" fontId="46" fillId="0" borderId="1" xfId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wrapText="1"/>
    </xf>
    <xf numFmtId="0" fontId="53" fillId="0" borderId="0" xfId="0" applyFont="1" applyAlignment="1" applyProtection="1"/>
    <xf numFmtId="0" fontId="53" fillId="5" borderId="0" xfId="0" applyFont="1" applyFill="1" applyBorder="1" applyAlignment="1" applyProtection="1">
      <alignment horizontal="center" wrapText="1"/>
    </xf>
    <xf numFmtId="0" fontId="48" fillId="0" borderId="0" xfId="0" applyFont="1" applyAlignment="1" applyProtection="1">
      <alignment horizontal="right"/>
    </xf>
    <xf numFmtId="0" fontId="18" fillId="3" borderId="1" xfId="0" applyFont="1" applyFill="1" applyBorder="1" applyAlignment="1" applyProtection="1">
      <alignment horizontal="center" textRotation="90" wrapText="1"/>
    </xf>
    <xf numFmtId="0" fontId="47" fillId="3" borderId="1" xfId="0" applyFont="1" applyFill="1" applyBorder="1" applyAlignment="1" applyProtection="1">
      <alignment horizontal="center" textRotation="90" wrapText="1"/>
    </xf>
    <xf numFmtId="0" fontId="18" fillId="3" borderId="1" xfId="0" applyFont="1" applyFill="1" applyBorder="1" applyAlignment="1" applyProtection="1">
      <alignment horizontal="center"/>
    </xf>
    <xf numFmtId="0" fontId="18" fillId="3" borderId="1" xfId="0" applyFont="1" applyFill="1" applyBorder="1" applyAlignment="1" applyProtection="1">
      <alignment horizontal="center" wrapText="1"/>
    </xf>
    <xf numFmtId="0" fontId="47" fillId="3" borderId="1" xfId="0" applyFont="1" applyFill="1" applyBorder="1" applyAlignment="1" applyProtection="1">
      <alignment horizontal="center"/>
    </xf>
    <xf numFmtId="0" fontId="47" fillId="0" borderId="1" xfId="0" applyFont="1" applyBorder="1" applyAlignment="1" applyProtection="1">
      <alignment horizontal="left" vertical="center" wrapText="1"/>
    </xf>
    <xf numFmtId="0" fontId="47" fillId="0" borderId="1" xfId="0" applyFont="1" applyBorder="1" applyAlignment="1" applyProtection="1">
      <alignment horizontal="center" vertical="center" wrapText="1"/>
    </xf>
    <xf numFmtId="0" fontId="47" fillId="0" borderId="1" xfId="0" applyFont="1" applyBorder="1" applyAlignment="1" applyProtection="1">
      <alignment horizontal="center" textRotation="90" wrapText="1"/>
    </xf>
    <xf numFmtId="0" fontId="47" fillId="0" borderId="0" xfId="0" applyFont="1" applyFill="1" applyProtection="1"/>
    <xf numFmtId="0" fontId="47" fillId="0" borderId="0" xfId="0" applyFont="1" applyFill="1" applyAlignment="1" applyProtection="1"/>
    <xf numFmtId="43" fontId="47" fillId="6" borderId="1" xfId="1" applyFont="1" applyFill="1" applyBorder="1" applyAlignment="1" applyProtection="1">
      <alignment horizontal="center" vertical="center" wrapText="1"/>
    </xf>
    <xf numFmtId="0" fontId="47" fillId="6" borderId="1" xfId="0" applyFont="1" applyFill="1" applyBorder="1" applyAlignment="1" applyProtection="1">
      <alignment horizontal="center" vertical="center" wrapText="1"/>
    </xf>
    <xf numFmtId="43" fontId="18" fillId="6" borderId="1" xfId="1" applyFont="1" applyFill="1" applyBorder="1" applyAlignment="1" applyProtection="1">
      <alignment horizontal="center" vertical="center"/>
    </xf>
    <xf numFmtId="43" fontId="47" fillId="6" borderId="1" xfId="1" applyFont="1" applyFill="1" applyBorder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5" fillId="0" borderId="0" xfId="0" applyFont="1" applyProtection="1"/>
    <xf numFmtId="0" fontId="17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left" vertical="center" wrapText="1"/>
    </xf>
    <xf numFmtId="0" fontId="39" fillId="0" borderId="0" xfId="0" applyFont="1" applyAlignment="1" applyProtection="1">
      <alignment vertical="center" wrapText="1"/>
    </xf>
    <xf numFmtId="0" fontId="41" fillId="0" borderId="0" xfId="0" applyFont="1" applyAlignment="1" applyProtection="1">
      <alignment horizontal="center"/>
    </xf>
    <xf numFmtId="0" fontId="17" fillId="0" borderId="0" xfId="0" applyFont="1" applyProtection="1"/>
    <xf numFmtId="0" fontId="38" fillId="3" borderId="36" xfId="0" applyFont="1" applyFill="1" applyBorder="1" applyAlignment="1" applyProtection="1">
      <alignment horizontal="center" textRotation="90" wrapText="1"/>
    </xf>
    <xf numFmtId="0" fontId="15" fillId="3" borderId="36" xfId="0" applyFont="1" applyFill="1" applyBorder="1" applyAlignment="1" applyProtection="1">
      <alignment horizontal="center" textRotation="90" wrapText="1"/>
    </xf>
    <xf numFmtId="0" fontId="15" fillId="3" borderId="36" xfId="0" applyFont="1" applyFill="1" applyBorder="1" applyAlignment="1" applyProtection="1">
      <alignment horizontal="center" textRotation="90"/>
    </xf>
    <xf numFmtId="0" fontId="15" fillId="3" borderId="1" xfId="0" applyFont="1" applyFill="1" applyBorder="1" applyAlignment="1" applyProtection="1">
      <alignment horizontal="center"/>
    </xf>
    <xf numFmtId="0" fontId="15" fillId="3" borderId="1" xfId="0" applyFont="1" applyFill="1" applyBorder="1" applyAlignment="1" applyProtection="1">
      <alignment horizontal="center" vertical="center"/>
    </xf>
    <xf numFmtId="0" fontId="38" fillId="3" borderId="1" xfId="0" applyFont="1" applyFill="1" applyBorder="1" applyAlignment="1" applyProtection="1">
      <alignment horizontal="center" wrapText="1"/>
    </xf>
    <xf numFmtId="0" fontId="15" fillId="3" borderId="1" xfId="0" applyFont="1" applyFill="1" applyBorder="1" applyAlignment="1" applyProtection="1">
      <alignment horizontal="center" wrapText="1"/>
    </xf>
    <xf numFmtId="0" fontId="38" fillId="0" borderId="38" xfId="0" applyFont="1" applyBorder="1" applyAlignment="1" applyProtection="1">
      <alignment wrapText="1"/>
    </xf>
    <xf numFmtId="0" fontId="38" fillId="0" borderId="44" xfId="0" applyFont="1" applyBorder="1" applyAlignment="1" applyProtection="1">
      <alignment horizontal="center" vertical="center"/>
    </xf>
    <xf numFmtId="0" fontId="38" fillId="0" borderId="32" xfId="0" applyFont="1" applyBorder="1" applyAlignment="1" applyProtection="1">
      <alignment wrapText="1"/>
    </xf>
    <xf numFmtId="0" fontId="38" fillId="0" borderId="32" xfId="0" applyFont="1" applyBorder="1" applyAlignment="1" applyProtection="1">
      <alignment horizontal="center" vertical="center" wrapText="1"/>
    </xf>
    <xf numFmtId="0" fontId="38" fillId="0" borderId="32" xfId="0" applyFont="1" applyBorder="1" applyAlignment="1" applyProtection="1">
      <alignment vertical="center" wrapText="1"/>
    </xf>
    <xf numFmtId="0" fontId="15" fillId="0" borderId="0" xfId="6" applyFont="1" applyFill="1" applyProtection="1"/>
    <xf numFmtId="0" fontId="26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left"/>
    </xf>
    <xf numFmtId="0" fontId="24" fillId="0" borderId="0" xfId="0" applyFont="1" applyAlignment="1" applyProtection="1">
      <alignment horizontal="left"/>
    </xf>
    <xf numFmtId="0" fontId="38" fillId="6" borderId="38" xfId="1" applyNumberFormat="1" applyFont="1" applyFill="1" applyBorder="1" applyProtection="1"/>
    <xf numFmtId="0" fontId="38" fillId="6" borderId="32" xfId="1" applyNumberFormat="1" applyFont="1" applyFill="1" applyBorder="1" applyProtection="1"/>
    <xf numFmtId="0" fontId="38" fillId="6" borderId="33" xfId="0" applyFont="1" applyFill="1" applyBorder="1" applyAlignment="1" applyProtection="1">
      <alignment horizontal="center" vertical="center"/>
    </xf>
    <xf numFmtId="0" fontId="15" fillId="6" borderId="32" xfId="1" applyNumberFormat="1" applyFont="1" applyFill="1" applyBorder="1" applyProtection="1"/>
    <xf numFmtId="0" fontId="15" fillId="4" borderId="0" xfId="0" applyFont="1" applyFill="1" applyAlignment="1" applyProtection="1">
      <alignment vertical="center"/>
    </xf>
    <xf numFmtId="0" fontId="15" fillId="4" borderId="0" xfId="0" applyFont="1" applyFill="1" applyProtection="1"/>
    <xf numFmtId="0" fontId="15" fillId="4" borderId="0" xfId="0" applyFont="1" applyFill="1" applyAlignment="1" applyProtection="1">
      <alignment horizontal="center"/>
    </xf>
    <xf numFmtId="0" fontId="38" fillId="4" borderId="0" xfId="0" applyFont="1" applyFill="1" applyProtection="1"/>
    <xf numFmtId="0" fontId="15" fillId="0" borderId="35" xfId="1" applyNumberFormat="1" applyFont="1" applyBorder="1" applyProtection="1">
      <protection locked="0"/>
    </xf>
    <xf numFmtId="0" fontId="15" fillId="0" borderId="38" xfId="1" applyNumberFormat="1" applyFont="1" applyBorder="1" applyAlignment="1" applyProtection="1">
      <alignment horizontal="center"/>
      <protection locked="0"/>
    </xf>
    <xf numFmtId="0" fontId="38" fillId="0" borderId="38" xfId="1" applyNumberFormat="1" applyFont="1" applyBorder="1" applyProtection="1">
      <protection locked="0"/>
    </xf>
    <xf numFmtId="0" fontId="15" fillId="0" borderId="38" xfId="1" applyNumberFormat="1" applyFont="1" applyBorder="1" applyProtection="1">
      <protection locked="0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31" fillId="0" borderId="0" xfId="0" applyFont="1" applyAlignment="1" applyProtection="1">
      <alignment wrapText="1"/>
    </xf>
    <xf numFmtId="0" fontId="31" fillId="0" borderId="0" xfId="0" applyFont="1" applyAlignment="1" applyProtection="1">
      <alignment horizontal="center" vertical="center"/>
    </xf>
    <xf numFmtId="0" fontId="31" fillId="0" borderId="0" xfId="0" applyFont="1" applyAlignment="1" applyProtection="1">
      <alignment horizontal="center"/>
    </xf>
    <xf numFmtId="0" fontId="24" fillId="0" borderId="0" xfId="0" applyFont="1" applyAlignment="1" applyProtection="1">
      <alignment vertical="center"/>
    </xf>
    <xf numFmtId="0" fontId="26" fillId="0" borderId="43" xfId="0" applyFont="1" applyBorder="1" applyAlignment="1" applyProtection="1">
      <alignment horizontal="right"/>
    </xf>
    <xf numFmtId="0" fontId="2" fillId="3" borderId="36" xfId="0" applyFont="1" applyFill="1" applyBorder="1" applyAlignment="1" applyProtection="1">
      <alignment horizontal="center" vertical="center"/>
    </xf>
    <xf numFmtId="0" fontId="31" fillId="3" borderId="36" xfId="0" applyFont="1" applyFill="1" applyBorder="1" applyAlignment="1" applyProtection="1">
      <alignment horizontal="center" vertical="center" wrapText="1"/>
    </xf>
    <xf numFmtId="0" fontId="31" fillId="3" borderId="36" xfId="0" applyFont="1" applyFill="1" applyBorder="1" applyAlignment="1" applyProtection="1">
      <alignment horizontal="center" wrapText="1"/>
    </xf>
    <xf numFmtId="0" fontId="2" fillId="0" borderId="0" xfId="0" applyFont="1" applyAlignment="1" applyProtection="1">
      <alignment vertical="center"/>
    </xf>
    <xf numFmtId="0" fontId="1" fillId="3" borderId="32" xfId="0" applyFont="1" applyFill="1" applyBorder="1" applyAlignment="1" applyProtection="1">
      <alignment horizontal="center" vertical="center"/>
    </xf>
    <xf numFmtId="0" fontId="24" fillId="3" borderId="32" xfId="0" applyFont="1" applyFill="1" applyBorder="1" applyAlignment="1" applyProtection="1">
      <alignment horizontal="center" wrapText="1"/>
    </xf>
    <xf numFmtId="0" fontId="1" fillId="0" borderId="32" xfId="0" applyFont="1" applyBorder="1" applyAlignment="1" applyProtection="1">
      <alignment horizontal="center" vertical="center"/>
    </xf>
    <xf numFmtId="0" fontId="24" fillId="0" borderId="32" xfId="0" applyFont="1" applyBorder="1" applyAlignment="1" applyProtection="1">
      <alignment vertical="center" wrapText="1"/>
    </xf>
    <xf numFmtId="0" fontId="24" fillId="0" borderId="32" xfId="0" applyFont="1" applyBorder="1" applyAlignment="1" applyProtection="1">
      <alignment horizontal="center" wrapText="1"/>
    </xf>
    <xf numFmtId="0" fontId="24" fillId="0" borderId="32" xfId="0" applyFont="1" applyBorder="1" applyAlignment="1" applyProtection="1">
      <alignment wrapText="1"/>
    </xf>
    <xf numFmtId="0" fontId="24" fillId="0" borderId="32" xfId="0" applyFont="1" applyBorder="1" applyAlignment="1" applyProtection="1">
      <alignment vertical="center"/>
    </xf>
    <xf numFmtId="0" fontId="24" fillId="0" borderId="32" xfId="0" applyFont="1" applyBorder="1" applyAlignment="1" applyProtection="1">
      <alignment horizontal="center"/>
    </xf>
    <xf numFmtId="0" fontId="1" fillId="0" borderId="32" xfId="0" applyFont="1" applyBorder="1" applyAlignment="1" applyProtection="1">
      <alignment vertical="center" wrapText="1"/>
    </xf>
    <xf numFmtId="0" fontId="31" fillId="3" borderId="32" xfId="0" applyFont="1" applyFill="1" applyBorder="1" applyAlignment="1" applyProtection="1">
      <alignment horizontal="center" wrapText="1"/>
    </xf>
    <xf numFmtId="0" fontId="31" fillId="0" borderId="0" xfId="0" applyFont="1" applyAlignment="1" applyProtection="1">
      <alignment vertical="center"/>
    </xf>
    <xf numFmtId="0" fontId="54" fillId="0" borderId="0" xfId="0" applyFont="1" applyAlignment="1" applyProtection="1"/>
    <xf numFmtId="0" fontId="31" fillId="0" borderId="0" xfId="0" applyFont="1" applyAlignment="1" applyProtection="1">
      <alignment horizontal="center" wrapText="1"/>
    </xf>
    <xf numFmtId="0" fontId="26" fillId="0" borderId="0" xfId="0" applyFont="1" applyBorder="1" applyAlignment="1" applyProtection="1">
      <alignment horizontal="right"/>
    </xf>
    <xf numFmtId="0" fontId="31" fillId="3" borderId="1" xfId="0" applyFont="1" applyFill="1" applyBorder="1" applyAlignment="1" applyProtection="1">
      <alignment vertical="center" wrapText="1"/>
    </xf>
    <xf numFmtId="0" fontId="24" fillId="3" borderId="1" xfId="0" applyFont="1" applyFill="1" applyBorder="1" applyAlignment="1" applyProtection="1">
      <alignment horizontal="center" vertical="center" wrapText="1"/>
    </xf>
    <xf numFmtId="0" fontId="31" fillId="0" borderId="0" xfId="0" applyFont="1" applyAlignment="1" applyProtection="1">
      <alignment vertical="center" wrapText="1"/>
    </xf>
    <xf numFmtId="0" fontId="24" fillId="0" borderId="38" xfId="0" applyFont="1" applyBorder="1" applyAlignment="1" applyProtection="1">
      <alignment wrapText="1"/>
    </xf>
    <xf numFmtId="0" fontId="24" fillId="0" borderId="44" xfId="0" applyFont="1" applyBorder="1" applyAlignment="1" applyProtection="1">
      <alignment horizontal="center" vertical="center" wrapText="1"/>
    </xf>
    <xf numFmtId="43" fontId="24" fillId="6" borderId="6" xfId="1" applyFont="1" applyFill="1" applyBorder="1" applyAlignment="1" applyProtection="1">
      <alignment horizontal="center" wrapText="1"/>
    </xf>
    <xf numFmtId="43" fontId="24" fillId="6" borderId="1" xfId="1" applyFont="1" applyFill="1" applyBorder="1" applyAlignment="1" applyProtection="1">
      <alignment horizontal="center" wrapText="1"/>
    </xf>
    <xf numFmtId="0" fontId="24" fillId="0" borderId="36" xfId="0" applyFont="1" applyBorder="1" applyAlignment="1" applyProtection="1">
      <alignment wrapText="1"/>
    </xf>
    <xf numFmtId="0" fontId="24" fillId="0" borderId="1" xfId="0" applyFont="1" applyBorder="1" applyAlignment="1" applyProtection="1">
      <alignment horizontal="center" vertical="center" textRotation="90" wrapText="1"/>
    </xf>
    <xf numFmtId="0" fontId="24" fillId="0" borderId="1" xfId="0" applyFont="1" applyBorder="1" applyAlignment="1" applyProtection="1">
      <alignment vertical="center" wrapText="1"/>
    </xf>
    <xf numFmtId="0" fontId="31" fillId="0" borderId="0" xfId="0" applyFont="1" applyBorder="1" applyAlignment="1" applyProtection="1">
      <alignment horizontal="center" wrapText="1"/>
    </xf>
    <xf numFmtId="0" fontId="31" fillId="0" borderId="0" xfId="0" applyFont="1" applyBorder="1" applyAlignment="1" applyProtection="1">
      <alignment horizontal="center" vertical="center" wrapText="1"/>
    </xf>
    <xf numFmtId="0" fontId="24" fillId="0" borderId="0" xfId="0" applyFont="1" applyBorder="1" applyAlignment="1" applyProtection="1">
      <alignment horizontal="center" vertical="center" wrapText="1"/>
    </xf>
    <xf numFmtId="0" fontId="26" fillId="0" borderId="0" xfId="0" applyFont="1" applyAlignment="1" applyProtection="1">
      <alignment vertical="center"/>
    </xf>
    <xf numFmtId="49" fontId="24" fillId="0" borderId="0" xfId="0" applyNumberFormat="1" applyFont="1" applyAlignment="1" applyProtection="1">
      <alignment horizontal="left" wrapText="1"/>
    </xf>
    <xf numFmtId="0" fontId="54" fillId="0" borderId="0" xfId="0" applyFont="1" applyProtection="1"/>
    <xf numFmtId="43" fontId="24" fillId="6" borderId="6" xfId="1" applyFont="1" applyFill="1" applyBorder="1" applyAlignment="1" applyProtection="1">
      <alignment horizontal="center"/>
    </xf>
    <xf numFmtId="43" fontId="24" fillId="6" borderId="1" xfId="1" applyFont="1" applyFill="1" applyBorder="1" applyAlignment="1" applyProtection="1">
      <alignment horizontal="center"/>
    </xf>
    <xf numFmtId="0" fontId="24" fillId="0" borderId="0" xfId="0" applyNumberFormat="1" applyFont="1" applyProtection="1"/>
    <xf numFmtId="0" fontId="54" fillId="0" borderId="0" xfId="0" applyNumberFormat="1" applyFont="1" applyAlignment="1" applyProtection="1"/>
    <xf numFmtId="0" fontId="20" fillId="0" borderId="0" xfId="0" applyNumberFormat="1" applyFont="1" applyBorder="1" applyProtection="1"/>
    <xf numFmtId="0" fontId="24" fillId="5" borderId="0" xfId="0" applyNumberFormat="1" applyFont="1" applyFill="1" applyBorder="1" applyAlignment="1" applyProtection="1">
      <alignment vertical="center" wrapText="1"/>
    </xf>
    <xf numFmtId="0" fontId="31" fillId="5" borderId="0" xfId="0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Alignment="1" applyProtection="1">
      <alignment horizontal="center" vertical="center" wrapText="1"/>
    </xf>
    <xf numFmtId="0" fontId="55" fillId="0" borderId="0" xfId="0" applyNumberFormat="1" applyFont="1" applyAlignment="1" applyProtection="1"/>
    <xf numFmtId="0" fontId="24" fillId="0" borderId="0" xfId="0" applyNumberFormat="1" applyFont="1" applyAlignment="1" applyProtection="1">
      <alignment vertical="center" wrapText="1"/>
    </xf>
    <xf numFmtId="0" fontId="24" fillId="3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wrapText="1"/>
    </xf>
    <xf numFmtId="0" fontId="24" fillId="0" borderId="1" xfId="0" applyNumberFormat="1" applyFont="1" applyBorder="1" applyAlignment="1" applyProtection="1">
      <alignment horizontal="center"/>
    </xf>
    <xf numFmtId="0" fontId="24" fillId="0" borderId="1" xfId="0" applyNumberFormat="1" applyFont="1" applyBorder="1" applyProtection="1"/>
    <xf numFmtId="0" fontId="24" fillId="3" borderId="1" xfId="0" applyNumberFormat="1" applyFont="1" applyFill="1" applyBorder="1" applyAlignment="1" applyProtection="1">
      <alignment horizontal="center"/>
    </xf>
    <xf numFmtId="0" fontId="31" fillId="3" borderId="1" xfId="0" applyNumberFormat="1" applyFont="1" applyFill="1" applyBorder="1" applyAlignment="1" applyProtection="1">
      <alignment horizontal="center"/>
    </xf>
    <xf numFmtId="0" fontId="56" fillId="0" borderId="0" xfId="0" applyNumberFormat="1" applyFont="1" applyAlignment="1" applyProtection="1"/>
    <xf numFmtId="0" fontId="57" fillId="0" borderId="0" xfId="0" applyNumberFormat="1" applyFont="1" applyAlignment="1" applyProtection="1"/>
    <xf numFmtId="0" fontId="1" fillId="0" borderId="0" xfId="6" applyNumberFormat="1" applyFont="1" applyFill="1" applyProtection="1"/>
    <xf numFmtId="0" fontId="56" fillId="0" borderId="0" xfId="0" applyNumberFormat="1" applyFont="1" applyAlignment="1" applyProtection="1">
      <alignment horizontal="center"/>
    </xf>
    <xf numFmtId="0" fontId="57" fillId="0" borderId="0" xfId="0" applyNumberFormat="1" applyFont="1" applyProtection="1"/>
    <xf numFmtId="0" fontId="24" fillId="0" borderId="1" xfId="0" applyNumberFormat="1" applyFont="1" applyBorder="1" applyProtection="1">
      <protection locked="0"/>
    </xf>
    <xf numFmtId="43" fontId="24" fillId="3" borderId="1" xfId="1" applyFont="1" applyFill="1" applyBorder="1" applyAlignment="1" applyProtection="1">
      <alignment horizontal="center" wrapText="1"/>
    </xf>
    <xf numFmtId="0" fontId="24" fillId="0" borderId="0" xfId="0" applyFont="1" applyAlignment="1" applyProtection="1">
      <alignment horizontal="center"/>
    </xf>
    <xf numFmtId="0" fontId="24" fillId="0" borderId="0" xfId="0" applyFont="1" applyAlignment="1" applyProtection="1">
      <alignment horizontal="right" vertical="center" wrapText="1"/>
    </xf>
    <xf numFmtId="0" fontId="0" fillId="0" borderId="0" xfId="0" applyFont="1" applyAlignment="1" applyProtection="1"/>
    <xf numFmtId="0" fontId="31" fillId="0" borderId="0" xfId="0" applyFont="1" applyAlignment="1" applyProtection="1">
      <alignment horizontal="center" wrapText="1"/>
    </xf>
    <xf numFmtId="0" fontId="31" fillId="0" borderId="0" xfId="0" applyFont="1" applyAlignment="1" applyProtection="1">
      <alignment horizontal="center" vertical="top" wrapText="1"/>
    </xf>
    <xf numFmtId="0" fontId="6" fillId="0" borderId="0" xfId="0" applyFont="1" applyBorder="1" applyAlignment="1" applyProtection="1"/>
    <xf numFmtId="0" fontId="31" fillId="5" borderId="0" xfId="0" applyFont="1" applyFill="1" applyBorder="1" applyAlignment="1" applyProtection="1">
      <alignment horizontal="center" vertical="center" wrapText="1"/>
    </xf>
    <xf numFmtId="0" fontId="31" fillId="3" borderId="32" xfId="0" applyFont="1" applyFill="1" applyBorder="1" applyAlignment="1" applyProtection="1">
      <alignment horizontal="center" vertical="center"/>
    </xf>
    <xf numFmtId="0" fontId="24" fillId="3" borderId="32" xfId="0" applyFont="1" applyFill="1" applyBorder="1" applyAlignment="1" applyProtection="1">
      <alignment horizontal="center" vertical="center"/>
    </xf>
    <xf numFmtId="0" fontId="24" fillId="3" borderId="32" xfId="0" applyFont="1" applyFill="1" applyBorder="1" applyAlignment="1" applyProtection="1">
      <alignment horizontal="center"/>
    </xf>
    <xf numFmtId="0" fontId="31" fillId="3" borderId="33" xfId="0" applyFont="1" applyFill="1" applyBorder="1" applyAlignment="1" applyProtection="1">
      <alignment horizontal="center" vertical="center"/>
    </xf>
    <xf numFmtId="49" fontId="31" fillId="0" borderId="0" xfId="0" applyNumberFormat="1" applyFont="1" applyAlignment="1" applyProtection="1">
      <alignment horizontal="left" wrapText="1"/>
    </xf>
    <xf numFmtId="0" fontId="24" fillId="3" borderId="33" xfId="0" applyFont="1" applyFill="1" applyBorder="1" applyAlignment="1" applyProtection="1">
      <alignment vertical="center" wrapText="1"/>
    </xf>
    <xf numFmtId="0" fontId="24" fillId="3" borderId="1" xfId="0" applyFont="1" applyFill="1" applyBorder="1" applyAlignment="1" applyProtection="1">
      <alignment wrapText="1"/>
    </xf>
    <xf numFmtId="0" fontId="24" fillId="3" borderId="34" xfId="0" applyFont="1" applyFill="1" applyBorder="1" applyAlignment="1" applyProtection="1">
      <alignment vertical="center" wrapText="1"/>
    </xf>
    <xf numFmtId="0" fontId="24" fillId="3" borderId="32" xfId="0" applyFont="1" applyFill="1" applyBorder="1" applyAlignment="1" applyProtection="1">
      <alignment vertical="center" wrapText="1"/>
    </xf>
    <xf numFmtId="49" fontId="1" fillId="3" borderId="38" xfId="0" applyNumberFormat="1" applyFont="1" applyFill="1" applyBorder="1" applyAlignment="1" applyProtection="1">
      <alignment horizontal="center"/>
    </xf>
    <xf numFmtId="0" fontId="1" fillId="3" borderId="38" xfId="0" applyFont="1" applyFill="1" applyBorder="1" applyAlignment="1" applyProtection="1">
      <alignment horizontal="center"/>
    </xf>
    <xf numFmtId="0" fontId="24" fillId="3" borderId="0" xfId="0" applyFont="1" applyFill="1" applyBorder="1" applyAlignment="1" applyProtection="1">
      <alignment horizontal="center" wrapText="1"/>
    </xf>
    <xf numFmtId="0" fontId="24" fillId="3" borderId="34" xfId="0" applyFont="1" applyFill="1" applyBorder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 wrapText="1"/>
    </xf>
    <xf numFmtId="0" fontId="28" fillId="0" borderId="0" xfId="0" applyFont="1" applyAlignment="1" applyProtection="1">
      <alignment horizontal="center"/>
    </xf>
    <xf numFmtId="49" fontId="31" fillId="3" borderId="32" xfId="0" applyNumberFormat="1" applyFont="1" applyFill="1" applyBorder="1" applyAlignment="1" applyProtection="1">
      <alignment horizontal="center" vertical="center"/>
    </xf>
    <xf numFmtId="0" fontId="31" fillId="3" borderId="32" xfId="0" applyFont="1" applyFill="1" applyBorder="1" applyAlignment="1" applyProtection="1">
      <alignment wrapText="1"/>
    </xf>
    <xf numFmtId="0" fontId="57" fillId="0" borderId="0" xfId="0" applyFont="1" applyProtection="1"/>
    <xf numFmtId="49" fontId="0" fillId="0" borderId="0" xfId="0" applyNumberFormat="1" applyFont="1" applyAlignment="1" applyProtection="1">
      <alignment horizontal="left"/>
    </xf>
    <xf numFmtId="0" fontId="56" fillId="0" borderId="0" xfId="0" applyFont="1" applyAlignment="1" applyProtection="1"/>
    <xf numFmtId="0" fontId="57" fillId="0" borderId="0" xfId="0" applyFont="1" applyAlignment="1" applyProtection="1"/>
    <xf numFmtId="0" fontId="24" fillId="4" borderId="0" xfId="0" applyFont="1" applyFill="1" applyAlignment="1" applyProtection="1"/>
    <xf numFmtId="0" fontId="26" fillId="4" borderId="0" xfId="0" applyFont="1" applyFill="1" applyAlignment="1" applyProtection="1"/>
    <xf numFmtId="0" fontId="28" fillId="0" borderId="0" xfId="0" applyFont="1" applyProtection="1"/>
    <xf numFmtId="0" fontId="26" fillId="4" borderId="0" xfId="0" applyFont="1" applyFill="1" applyProtection="1"/>
    <xf numFmtId="0" fontId="28" fillId="4" borderId="0" xfId="0" applyFont="1" applyFill="1" applyProtection="1"/>
    <xf numFmtId="0" fontId="28" fillId="4" borderId="0" xfId="0" applyFont="1" applyFill="1" applyAlignment="1" applyProtection="1">
      <alignment wrapText="1"/>
    </xf>
    <xf numFmtId="43" fontId="28" fillId="4" borderId="0" xfId="1" applyFont="1" applyFill="1" applyProtection="1"/>
    <xf numFmtId="0" fontId="28" fillId="4" borderId="0" xfId="0" applyFont="1" applyFill="1" applyAlignment="1" applyProtection="1"/>
    <xf numFmtId="0" fontId="58" fillId="4" borderId="0" xfId="0" applyFont="1" applyFill="1" applyAlignment="1" applyProtection="1">
      <alignment horizontal="center"/>
    </xf>
    <xf numFmtId="0" fontId="24" fillId="9" borderId="0" xfId="0" applyFont="1" applyFill="1" applyBorder="1" applyAlignment="1" applyProtection="1">
      <alignment horizontal="right" vertical="center" wrapText="1"/>
    </xf>
    <xf numFmtId="0" fontId="54" fillId="4" borderId="0" xfId="0" applyFont="1" applyFill="1" applyProtection="1"/>
    <xf numFmtId="0" fontId="28" fillId="4" borderId="0" xfId="0" applyFont="1" applyFill="1" applyAlignment="1" applyProtection="1">
      <alignment horizontal="center"/>
    </xf>
    <xf numFmtId="0" fontId="28" fillId="2" borderId="0" xfId="0" applyFont="1" applyFill="1" applyProtection="1"/>
    <xf numFmtId="0" fontId="2" fillId="0" borderId="0" xfId="0" applyFont="1" applyAlignment="1" applyProtection="1">
      <alignment horizontal="center" wrapText="1"/>
    </xf>
    <xf numFmtId="0" fontId="28" fillId="0" borderId="0" xfId="0" applyFont="1" applyAlignment="1" applyProtection="1">
      <alignment wrapText="1"/>
    </xf>
    <xf numFmtId="2" fontId="2" fillId="0" borderId="0" xfId="0" applyNumberFormat="1" applyFont="1" applyAlignment="1" applyProtection="1">
      <alignment horizontal="center" wrapText="1"/>
    </xf>
    <xf numFmtId="2" fontId="24" fillId="5" borderId="0" xfId="0" applyNumberFormat="1" applyFont="1" applyFill="1" applyBorder="1" applyAlignment="1" applyProtection="1">
      <alignment horizontal="left" vertical="center" wrapText="1"/>
    </xf>
    <xf numFmtId="0" fontId="24" fillId="5" borderId="0" xfId="0" applyFont="1" applyFill="1" applyBorder="1" applyAlignment="1" applyProtection="1">
      <alignment horizontal="left" vertical="center" wrapText="1"/>
    </xf>
    <xf numFmtId="2" fontId="28" fillId="0" borderId="0" xfId="0" applyNumberFormat="1" applyFont="1" applyAlignment="1" applyProtection="1">
      <alignment horizontal="center" wrapText="1"/>
    </xf>
    <xf numFmtId="0" fontId="31" fillId="4" borderId="0" xfId="0" applyFont="1" applyFill="1" applyAlignment="1" applyProtection="1">
      <alignment horizontal="center" wrapText="1"/>
    </xf>
    <xf numFmtId="0" fontId="54" fillId="2" borderId="0" xfId="0" applyFont="1" applyFill="1" applyProtection="1"/>
    <xf numFmtId="0" fontId="59" fillId="3" borderId="1" xfId="0" applyFont="1" applyFill="1" applyBorder="1" applyAlignment="1" applyProtection="1">
      <alignment horizontal="left" vertical="center" wrapText="1"/>
    </xf>
    <xf numFmtId="0" fontId="59" fillId="3" borderId="1" xfId="0" applyFont="1" applyFill="1" applyBorder="1" applyAlignment="1" applyProtection="1">
      <alignment horizontal="center" vertical="center" wrapText="1"/>
    </xf>
    <xf numFmtId="0" fontId="59" fillId="3" borderId="1" xfId="0" applyFont="1" applyFill="1" applyBorder="1" applyAlignment="1" applyProtection="1">
      <alignment horizontal="center" vertical="center" textRotation="90" wrapText="1"/>
    </xf>
    <xf numFmtId="0" fontId="28" fillId="3" borderId="1" xfId="0" applyFont="1" applyFill="1" applyBorder="1" applyAlignment="1" applyProtection="1">
      <alignment horizontal="left" vertical="center" wrapText="1"/>
    </xf>
    <xf numFmtId="0" fontId="28" fillId="3" borderId="1" xfId="0" applyFont="1" applyFill="1" applyBorder="1" applyAlignment="1" applyProtection="1">
      <alignment horizontal="center" vertical="center" wrapText="1"/>
    </xf>
    <xf numFmtId="0" fontId="59" fillId="4" borderId="1" xfId="0" applyFont="1" applyFill="1" applyBorder="1" applyAlignment="1" applyProtection="1">
      <alignment horizontal="center" vertical="center" wrapText="1"/>
    </xf>
    <xf numFmtId="0" fontId="59" fillId="4" borderId="1" xfId="0" applyFont="1" applyFill="1" applyBorder="1" applyAlignment="1" applyProtection="1">
      <alignment horizontal="left" vertical="center" wrapText="1"/>
    </xf>
    <xf numFmtId="0" fontId="59" fillId="4" borderId="1" xfId="0" applyFont="1" applyFill="1" applyBorder="1" applyAlignment="1" applyProtection="1">
      <alignment horizontal="justify" vertical="center" wrapText="1"/>
    </xf>
    <xf numFmtId="0" fontId="59" fillId="4" borderId="1" xfId="0" applyFont="1" applyFill="1" applyBorder="1" applyAlignment="1" applyProtection="1">
      <alignment vertical="center" wrapText="1"/>
    </xf>
    <xf numFmtId="0" fontId="59" fillId="3" borderId="1" xfId="0" applyFont="1" applyFill="1" applyBorder="1" applyAlignment="1" applyProtection="1">
      <alignment vertical="center" wrapText="1"/>
    </xf>
    <xf numFmtId="9" fontId="54" fillId="3" borderId="1" xfId="7" applyFont="1" applyFill="1" applyBorder="1" applyAlignment="1" applyProtection="1">
      <alignment vertical="center" wrapText="1"/>
    </xf>
    <xf numFmtId="174" fontId="59" fillId="3" borderId="1" xfId="1" applyNumberFormat="1" applyFont="1" applyFill="1" applyBorder="1" applyAlignment="1" applyProtection="1">
      <alignment horizontal="center" vertical="center" wrapText="1"/>
    </xf>
    <xf numFmtId="174" fontId="59" fillId="3" borderId="1" xfId="1" applyNumberFormat="1" applyFont="1" applyFill="1" applyBorder="1" applyAlignment="1" applyProtection="1">
      <alignment horizontal="right" vertical="center" wrapText="1"/>
    </xf>
    <xf numFmtId="43" fontId="54" fillId="3" borderId="1" xfId="1" applyFont="1" applyFill="1" applyBorder="1" applyAlignment="1" applyProtection="1">
      <alignment vertical="center" wrapText="1"/>
    </xf>
    <xf numFmtId="174" fontId="54" fillId="3" borderId="1" xfId="1" applyNumberFormat="1" applyFont="1" applyFill="1" applyBorder="1" applyAlignment="1" applyProtection="1">
      <alignment vertical="center"/>
    </xf>
    <xf numFmtId="0" fontId="54" fillId="4" borderId="0" xfId="0" applyFont="1" applyFill="1" applyAlignment="1" applyProtection="1"/>
    <xf numFmtId="0" fontId="60" fillId="4" borderId="0" xfId="0" applyFont="1" applyFill="1" applyAlignment="1" applyProtection="1"/>
    <xf numFmtId="0" fontId="24" fillId="9" borderId="0" xfId="0" applyFont="1" applyFill="1" applyBorder="1" applyAlignment="1" applyProtection="1">
      <alignment horizontal="left" vertical="center" wrapText="1"/>
    </xf>
    <xf numFmtId="0" fontId="24" fillId="4" borderId="0" xfId="0" applyFont="1" applyFill="1" applyAlignment="1" applyProtection="1">
      <alignment horizontal="right" vertical="center" wrapText="1"/>
    </xf>
    <xf numFmtId="0" fontId="29" fillId="4" borderId="0" xfId="0" applyFont="1" applyFill="1" applyAlignment="1" applyProtection="1">
      <alignment horizontal="center"/>
    </xf>
    <xf numFmtId="0" fontId="28" fillId="3" borderId="1" xfId="0" applyFont="1" applyFill="1" applyBorder="1" applyAlignment="1" applyProtection="1">
      <alignment horizontal="center"/>
    </xf>
    <xf numFmtId="0" fontId="28" fillId="3" borderId="1" xfId="0" applyFont="1" applyFill="1" applyBorder="1" applyAlignment="1" applyProtection="1">
      <alignment vertical="top" wrapText="1"/>
    </xf>
    <xf numFmtId="0" fontId="28" fillId="3" borderId="1" xfId="0" applyFont="1" applyFill="1" applyBorder="1" applyAlignment="1" applyProtection="1">
      <alignment horizontal="center" vertical="top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43" fillId="3" borderId="1" xfId="0" applyFont="1" applyFill="1" applyBorder="1" applyAlignment="1" applyProtection="1">
      <alignment vertical="top" wrapText="1"/>
    </xf>
    <xf numFmtId="43" fontId="28" fillId="3" borderId="1" xfId="1" applyFont="1" applyFill="1" applyBorder="1" applyAlignment="1" applyProtection="1">
      <alignment vertical="top" wrapText="1"/>
    </xf>
    <xf numFmtId="0" fontId="28" fillId="2" borderId="1" xfId="0" applyFont="1" applyFill="1" applyBorder="1" applyProtection="1"/>
    <xf numFmtId="0" fontId="28" fillId="4" borderId="1" xfId="0" applyFont="1" applyFill="1" applyBorder="1" applyAlignment="1" applyProtection="1">
      <alignment horizontal="center"/>
    </xf>
    <xf numFmtId="0" fontId="28" fillId="4" borderId="1" xfId="0" applyFont="1" applyFill="1" applyBorder="1" applyAlignment="1" applyProtection="1">
      <alignment vertical="top" wrapText="1"/>
    </xf>
    <xf numFmtId="43" fontId="27" fillId="3" borderId="1" xfId="1" applyFont="1" applyFill="1" applyBorder="1" applyAlignment="1" applyProtection="1">
      <alignment vertical="top" wrapText="1"/>
    </xf>
    <xf numFmtId="0" fontId="29" fillId="3" borderId="1" xfId="0" applyFont="1" applyFill="1" applyBorder="1" applyAlignment="1" applyProtection="1">
      <alignment vertical="top" wrapText="1"/>
    </xf>
    <xf numFmtId="43" fontId="28" fillId="3" borderId="1" xfId="1" applyFont="1" applyFill="1" applyBorder="1" applyAlignment="1" applyProtection="1">
      <alignment vertical="top"/>
    </xf>
    <xf numFmtId="43" fontId="2" fillId="0" borderId="0" xfId="1" applyFont="1" applyAlignment="1" applyProtection="1">
      <alignment horizontal="center" wrapText="1"/>
    </xf>
    <xf numFmtId="43" fontId="37" fillId="0" borderId="0" xfId="1" applyFont="1" applyAlignment="1" applyProtection="1">
      <alignment horizontal="right"/>
    </xf>
    <xf numFmtId="43" fontId="28" fillId="0" borderId="0" xfId="1" applyFont="1" applyAlignment="1" applyProtection="1">
      <alignment wrapText="1"/>
    </xf>
    <xf numFmtId="0" fontId="32" fillId="0" borderId="0" xfId="0" applyFont="1" applyAlignment="1" applyProtection="1">
      <alignment horizontal="center" vertical="center"/>
    </xf>
    <xf numFmtId="0" fontId="34" fillId="0" borderId="0" xfId="0" applyFont="1" applyAlignment="1" applyProtection="1"/>
    <xf numFmtId="0" fontId="54" fillId="0" borderId="0" xfId="0" applyNumberFormat="1" applyFont="1" applyAlignment="1" applyProtection="1"/>
    <xf numFmtId="0" fontId="2" fillId="0" borderId="0" xfId="6" applyFont="1" applyFill="1" applyBorder="1" applyAlignment="1" applyProtection="1">
      <alignment horizontal="center" wrapText="1"/>
    </xf>
    <xf numFmtId="0" fontId="61" fillId="0" borderId="0" xfId="6" applyFont="1" applyFill="1" applyBorder="1" applyAlignment="1" applyProtection="1">
      <alignment horizontal="center" wrapText="1"/>
    </xf>
    <xf numFmtId="0" fontId="44" fillId="0" borderId="0" xfId="6" applyFont="1" applyBorder="1" applyAlignment="1" applyProtection="1">
      <alignment horizontal="center"/>
    </xf>
    <xf numFmtId="0" fontId="44" fillId="0" borderId="0" xfId="6" applyFont="1" applyBorder="1" applyProtection="1"/>
    <xf numFmtId="0" fontId="62" fillId="0" borderId="0" xfId="6" applyFont="1" applyBorder="1" applyAlignment="1" applyProtection="1">
      <alignment wrapText="1"/>
    </xf>
    <xf numFmtId="43" fontId="62" fillId="0" borderId="0" xfId="6" applyNumberFormat="1" applyFont="1" applyBorder="1" applyAlignment="1" applyProtection="1"/>
    <xf numFmtId="43" fontId="62" fillId="0" borderId="0" xfId="6" applyNumberFormat="1" applyFont="1" applyBorder="1" applyAlignment="1" applyProtection="1">
      <alignment horizontal="center"/>
    </xf>
    <xf numFmtId="43" fontId="61" fillId="0" borderId="0" xfId="6" applyNumberFormat="1" applyFont="1" applyProtection="1"/>
    <xf numFmtId="0" fontId="61" fillId="0" borderId="0" xfId="6" applyFont="1" applyBorder="1" applyAlignment="1" applyProtection="1">
      <alignment wrapText="1"/>
    </xf>
    <xf numFmtId="9" fontId="24" fillId="3" borderId="36" xfId="7" applyFont="1" applyFill="1" applyBorder="1" applyProtection="1"/>
    <xf numFmtId="9" fontId="24" fillId="3" borderId="1" xfId="7" applyFont="1" applyFill="1" applyBorder="1" applyProtection="1"/>
    <xf numFmtId="43" fontId="61" fillId="0" borderId="0" xfId="6" applyNumberFormat="1" applyFont="1" applyBorder="1" applyAlignment="1" applyProtection="1">
      <alignment wrapText="1"/>
    </xf>
    <xf numFmtId="174" fontId="63" fillId="0" borderId="0" xfId="1" applyNumberFormat="1" applyFont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</xf>
    <xf numFmtId="43" fontId="32" fillId="3" borderId="33" xfId="1" applyNumberFormat="1" applyFont="1" applyFill="1" applyBorder="1" applyAlignment="1" applyProtection="1">
      <alignment vertical="center" wrapText="1"/>
    </xf>
    <xf numFmtId="43" fontId="32" fillId="3" borderId="33" xfId="1" applyNumberFormat="1" applyFont="1" applyFill="1" applyBorder="1" applyAlignment="1" applyProtection="1">
      <alignment horizontal="center" vertical="center" wrapText="1"/>
    </xf>
    <xf numFmtId="43" fontId="34" fillId="3" borderId="1" xfId="1" applyNumberFormat="1" applyFont="1" applyFill="1" applyBorder="1" applyAlignment="1" applyProtection="1">
      <alignment horizontal="center" vertical="center" wrapText="1"/>
    </xf>
    <xf numFmtId="0" fontId="32" fillId="0" borderId="0" xfId="0" applyFont="1" applyBorder="1" applyAlignment="1" applyProtection="1">
      <alignment vertical="center"/>
    </xf>
    <xf numFmtId="43" fontId="32" fillId="3" borderId="2" xfId="1" applyNumberFormat="1" applyFont="1" applyFill="1" applyBorder="1" applyAlignment="1" applyProtection="1">
      <alignment vertical="center"/>
    </xf>
    <xf numFmtId="43" fontId="34" fillId="3" borderId="44" xfId="1" applyNumberFormat="1" applyFont="1" applyFill="1" applyBorder="1" applyAlignment="1" applyProtection="1">
      <alignment vertical="center" wrapText="1"/>
    </xf>
    <xf numFmtId="43" fontId="32" fillId="3" borderId="33" xfId="1" applyNumberFormat="1" applyFont="1" applyFill="1" applyBorder="1" applyAlignment="1" applyProtection="1">
      <alignment horizontal="center" vertical="center"/>
    </xf>
    <xf numFmtId="43" fontId="32" fillId="3" borderId="1" xfId="1" applyNumberFormat="1" applyFont="1" applyFill="1" applyBorder="1" applyAlignment="1" applyProtection="1">
      <alignment horizontal="center" vertical="center"/>
    </xf>
    <xf numFmtId="0" fontId="61" fillId="0" borderId="0" xfId="6" applyNumberFormat="1" applyFont="1" applyBorder="1" applyAlignment="1" applyProtection="1">
      <alignment wrapText="1"/>
    </xf>
    <xf numFmtId="0" fontId="47" fillId="0" borderId="0" xfId="0" applyNumberFormat="1" applyFont="1" applyFill="1" applyProtection="1"/>
    <xf numFmtId="0" fontId="47" fillId="0" borderId="0" xfId="0" applyNumberFormat="1" applyFont="1" applyFill="1" applyAlignment="1" applyProtection="1"/>
    <xf numFmtId="0" fontId="61" fillId="0" borderId="0" xfId="0" applyNumberFormat="1" applyFont="1" applyFill="1" applyBorder="1" applyAlignment="1" applyProtection="1">
      <alignment horizontal="center" vertical="center" wrapText="1"/>
    </xf>
    <xf numFmtId="43" fontId="61" fillId="0" borderId="0" xfId="1" applyFont="1" applyFill="1" applyBorder="1" applyAlignment="1" applyProtection="1">
      <alignment horizontal="center" vertical="center" wrapText="1"/>
    </xf>
    <xf numFmtId="43" fontId="61" fillId="0" borderId="0" xfId="0" applyNumberFormat="1" applyFont="1" applyAlignment="1" applyProtection="1">
      <alignment vertical="center"/>
    </xf>
    <xf numFmtId="43" fontId="61" fillId="0" borderId="0" xfId="0" applyNumberFormat="1" applyFont="1" applyAlignment="1" applyProtection="1">
      <alignment horizontal="center" vertical="center" wrapText="1"/>
    </xf>
    <xf numFmtId="0" fontId="1" fillId="0" borderId="0" xfId="0" applyFont="1" applyAlignment="1">
      <alignment wrapText="1"/>
    </xf>
    <xf numFmtId="0" fontId="2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wrapText="1"/>
    </xf>
    <xf numFmtId="0" fontId="7" fillId="0" borderId="0" xfId="0" applyFont="1" applyFill="1" applyBorder="1" applyAlignment="1" applyProtection="1"/>
    <xf numFmtId="0" fontId="29" fillId="0" borderId="0" xfId="0" applyFont="1" applyAlignment="1" applyProtection="1">
      <alignment horizontal="center"/>
    </xf>
    <xf numFmtId="0" fontId="28" fillId="0" borderId="1" xfId="0" applyFont="1" applyBorder="1" applyAlignment="1" applyProtection="1">
      <alignment horizontal="left" vertical="center" wrapText="1"/>
    </xf>
    <xf numFmtId="0" fontId="28" fillId="0" borderId="1" xfId="0" applyFont="1" applyBorder="1" applyAlignment="1" applyProtection="1">
      <alignment horizontal="center" vertical="center" wrapText="1"/>
    </xf>
    <xf numFmtId="0" fontId="28" fillId="0" borderId="1" xfId="0" applyFont="1" applyBorder="1" applyAlignment="1" applyProtection="1">
      <alignment horizontal="left" vertical="center" wrapText="1" indent="1"/>
    </xf>
    <xf numFmtId="0" fontId="28" fillId="0" borderId="1" xfId="0" applyFont="1" applyBorder="1" applyAlignment="1" applyProtection="1">
      <alignment horizontal="left" vertical="center" wrapText="1" indent="2"/>
    </xf>
    <xf numFmtId="0" fontId="28" fillId="0" borderId="0" xfId="0" applyFont="1" applyBorder="1"/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vertical="top" wrapText="1"/>
    </xf>
    <xf numFmtId="0" fontId="28" fillId="0" borderId="7" xfId="0" applyFont="1" applyBorder="1" applyAlignment="1">
      <alignment vertical="top" wrapText="1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top" wrapText="1"/>
    </xf>
    <xf numFmtId="0" fontId="28" fillId="0" borderId="0" xfId="0" applyFont="1" applyAlignment="1">
      <alignment horizontal="center"/>
    </xf>
    <xf numFmtId="0" fontId="21" fillId="0" borderId="1" xfId="0" applyFont="1" applyBorder="1" applyAlignment="1">
      <alignment vertical="top" wrapText="1"/>
    </xf>
    <xf numFmtId="0" fontId="27" fillId="0" borderId="0" xfId="0" applyNumberFormat="1" applyFont="1" applyProtection="1"/>
    <xf numFmtId="43" fontId="27" fillId="0" borderId="0" xfId="0" applyNumberFormat="1" applyFont="1" applyProtection="1"/>
    <xf numFmtId="0" fontId="34" fillId="0" borderId="42" xfId="0" applyFont="1" applyBorder="1" applyAlignment="1">
      <alignment horizontal="center" vertical="center" wrapText="1"/>
    </xf>
    <xf numFmtId="2" fontId="34" fillId="0" borderId="0" xfId="0" applyNumberFormat="1" applyFont="1"/>
    <xf numFmtId="2" fontId="34" fillId="0" borderId="0" xfId="0" applyNumberFormat="1" applyFont="1" applyAlignment="1">
      <alignment horizontal="left"/>
    </xf>
    <xf numFmtId="2" fontId="32" fillId="5" borderId="0" xfId="0" applyNumberFormat="1" applyFont="1" applyFill="1" applyBorder="1" applyAlignment="1">
      <alignment horizontal="center" wrapText="1"/>
    </xf>
    <xf numFmtId="2" fontId="34" fillId="3" borderId="1" xfId="0" applyNumberFormat="1" applyFont="1" applyFill="1" applyBorder="1" applyAlignment="1">
      <alignment horizontal="center" vertical="center" wrapText="1"/>
    </xf>
    <xf numFmtId="2" fontId="34" fillId="0" borderId="6" xfId="0" applyNumberFormat="1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2" fontId="36" fillId="0" borderId="0" xfId="0" applyNumberFormat="1" applyFont="1" applyAlignment="1"/>
    <xf numFmtId="2" fontId="34" fillId="0" borderId="1" xfId="0" applyNumberFormat="1" applyFont="1" applyBorder="1" applyAlignment="1">
      <alignment horizontal="center" vertical="center"/>
    </xf>
    <xf numFmtId="2" fontId="24" fillId="0" borderId="0" xfId="0" applyNumberFormat="1" applyFont="1" applyAlignment="1" applyProtection="1">
      <alignment horizontal="center"/>
    </xf>
    <xf numFmtId="2" fontId="34" fillId="0" borderId="0" xfId="0" applyNumberFormat="1" applyFont="1" applyAlignment="1" applyProtection="1">
      <alignment horizontal="center"/>
    </xf>
    <xf numFmtId="2" fontId="34" fillId="0" borderId="0" xfId="0" applyNumberFormat="1" applyFont="1" applyAlignment="1">
      <alignment horizontal="center"/>
    </xf>
    <xf numFmtId="173" fontId="34" fillId="0" borderId="1" xfId="0" applyNumberFormat="1" applyFont="1" applyBorder="1" applyAlignment="1">
      <alignment horizontal="center"/>
    </xf>
    <xf numFmtId="0" fontId="36" fillId="0" borderId="0" xfId="0" applyFont="1" applyAlignment="1">
      <alignment wrapText="1"/>
    </xf>
    <xf numFmtId="0" fontId="34" fillId="0" borderId="0" xfId="0" applyFont="1" applyAlignment="1">
      <alignment vertical="center"/>
    </xf>
    <xf numFmtId="173" fontId="34" fillId="0" borderId="1" xfId="0" applyNumberFormat="1" applyFont="1" applyBorder="1" applyAlignment="1">
      <alignment horizontal="center" vertical="center"/>
    </xf>
    <xf numFmtId="0" fontId="24" fillId="0" borderId="0" xfId="0" applyFont="1" applyAlignment="1" applyProtection="1">
      <alignment horizontal="right" vertical="center"/>
    </xf>
    <xf numFmtId="0" fontId="36" fillId="0" borderId="0" xfId="0" applyFont="1" applyAlignment="1">
      <alignment vertical="center"/>
    </xf>
    <xf numFmtId="0" fontId="24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center"/>
    </xf>
    <xf numFmtId="0" fontId="24" fillId="0" borderId="0" xfId="0" applyFont="1" applyAlignment="1" applyProtection="1"/>
    <xf numFmtId="0" fontId="47" fillId="0" borderId="0" xfId="0" applyFont="1" applyAlignment="1" applyProtection="1"/>
    <xf numFmtId="0" fontId="40" fillId="0" borderId="0" xfId="0" applyFont="1" applyAlignment="1" applyProtection="1"/>
    <xf numFmtId="0" fontId="0" fillId="0" borderId="0" xfId="0" applyFont="1" applyAlignment="1" applyProtection="1"/>
    <xf numFmtId="0" fontId="31" fillId="0" borderId="0" xfId="0" applyFont="1" applyAlignment="1" applyProtection="1">
      <alignment horizontal="center" wrapText="1"/>
    </xf>
    <xf numFmtId="0" fontId="54" fillId="0" borderId="0" xfId="0" applyFont="1" applyAlignment="1" applyProtection="1"/>
    <xf numFmtId="43" fontId="38" fillId="0" borderId="0" xfId="1" applyFont="1"/>
    <xf numFmtId="43" fontId="38" fillId="0" borderId="0" xfId="1" applyFont="1" applyAlignment="1">
      <alignment vertical="center"/>
    </xf>
    <xf numFmtId="43" fontId="39" fillId="0" borderId="0" xfId="1" applyFont="1" applyAlignment="1">
      <alignment horizontal="center" vertical="center" wrapText="1"/>
    </xf>
    <xf numFmtId="43" fontId="39" fillId="0" borderId="0" xfId="1" applyFont="1" applyAlignment="1">
      <alignment vertical="center"/>
    </xf>
    <xf numFmtId="43" fontId="40" fillId="0" borderId="0" xfId="1" applyFont="1" applyAlignment="1"/>
    <xf numFmtId="2" fontId="38" fillId="0" borderId="38" xfId="0" applyNumberFormat="1" applyFont="1" applyBorder="1" applyAlignment="1" applyProtection="1">
      <alignment horizontal="center" vertical="center"/>
    </xf>
    <xf numFmtId="173" fontId="38" fillId="0" borderId="38" xfId="0" applyNumberFormat="1" applyFont="1" applyBorder="1" applyAlignment="1" applyProtection="1">
      <alignment horizontal="center" vertical="center"/>
    </xf>
    <xf numFmtId="2" fontId="24" fillId="0" borderId="38" xfId="0" applyNumberFormat="1" applyFont="1" applyBorder="1" applyAlignment="1" applyProtection="1">
      <alignment horizontal="center" vertical="center"/>
    </xf>
    <xf numFmtId="173" fontId="24" fillId="0" borderId="38" xfId="0" applyNumberFormat="1" applyFont="1" applyBorder="1" applyAlignment="1" applyProtection="1">
      <alignment horizontal="center" vertical="center"/>
    </xf>
    <xf numFmtId="0" fontId="24" fillId="11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4" fillId="0" borderId="0" xfId="0" applyFont="1" applyAlignment="1">
      <alignment horizontal="center"/>
    </xf>
    <xf numFmtId="0" fontId="60" fillId="0" borderId="0" xfId="0" applyFont="1"/>
    <xf numFmtId="0" fontId="54" fillId="0" borderId="0" xfId="0" applyFont="1"/>
    <xf numFmtId="0" fontId="24" fillId="3" borderId="1" xfId="0" applyFont="1" applyFill="1" applyBorder="1" applyAlignment="1">
      <alignment horizontal="center" vertical="center" wrapText="1"/>
    </xf>
    <xf numFmtId="0" fontId="24" fillId="3" borderId="27" xfId="0" applyFont="1" applyFill="1" applyBorder="1" applyAlignment="1">
      <alignment horizontal="center" vertical="center" wrapText="1"/>
    </xf>
    <xf numFmtId="43" fontId="24" fillId="3" borderId="1" xfId="1" applyFont="1" applyFill="1" applyBorder="1" applyAlignment="1">
      <alignment horizontal="center" vertical="center" wrapText="1"/>
    </xf>
    <xf numFmtId="0" fontId="24" fillId="11" borderId="1" xfId="0" applyFont="1" applyFill="1" applyBorder="1" applyAlignment="1" applyProtection="1">
      <alignment vertical="center" wrapText="1"/>
      <protection locked="0"/>
    </xf>
    <xf numFmtId="43" fontId="24" fillId="11" borderId="1" xfId="1" applyFont="1" applyFill="1" applyBorder="1" applyAlignment="1" applyProtection="1">
      <alignment horizontal="center" vertical="center" wrapText="1"/>
      <protection locked="0"/>
    </xf>
    <xf numFmtId="49" fontId="31" fillId="3" borderId="32" xfId="0" applyNumberFormat="1" applyFont="1" applyFill="1" applyBorder="1" applyAlignment="1" applyProtection="1">
      <alignment horizontal="center" vertical="center" wrapText="1"/>
    </xf>
    <xf numFmtId="49" fontId="24" fillId="0" borderId="32" xfId="0" applyNumberFormat="1" applyFont="1" applyBorder="1" applyAlignment="1" applyProtection="1">
      <alignment horizontal="center" vertical="center" wrapText="1"/>
    </xf>
    <xf numFmtId="0" fontId="24" fillId="0" borderId="32" xfId="0" applyFont="1" applyFill="1" applyBorder="1" applyAlignment="1" applyProtection="1">
      <alignment horizontal="center" vertical="center" wrapText="1"/>
    </xf>
    <xf numFmtId="2" fontId="24" fillId="5" borderId="32" xfId="0" applyNumberFormat="1" applyFont="1" applyFill="1" applyBorder="1" applyAlignment="1" applyProtection="1">
      <alignment horizontal="left" vertical="center" wrapText="1"/>
    </xf>
    <xf numFmtId="173" fontId="24" fillId="5" borderId="32" xfId="0" applyNumberFormat="1" applyFont="1" applyFill="1" applyBorder="1" applyAlignment="1" applyProtection="1">
      <alignment horizontal="left" vertical="center" wrapText="1"/>
    </xf>
    <xf numFmtId="0" fontId="54" fillId="0" borderId="0" xfId="0" applyFont="1" applyBorder="1" applyProtection="1"/>
    <xf numFmtId="0" fontId="54" fillId="4" borderId="0" xfId="0" applyFont="1" applyFill="1" applyBorder="1" applyAlignment="1" applyProtection="1"/>
    <xf numFmtId="39" fontId="44" fillId="6" borderId="1" xfId="1" applyNumberFormat="1" applyFont="1" applyFill="1" applyBorder="1" applyAlignment="1" applyProtection="1"/>
    <xf numFmtId="39" fontId="45" fillId="3" borderId="1" xfId="1" applyNumberFormat="1" applyFont="1" applyFill="1" applyBorder="1" applyAlignment="1" applyProtection="1"/>
    <xf numFmtId="0" fontId="34" fillId="5" borderId="0" xfId="0" applyFont="1" applyFill="1" applyBorder="1" applyAlignment="1" applyProtection="1">
      <alignment horizontal="left" vertical="center" wrapText="1"/>
    </xf>
    <xf numFmtId="43" fontId="44" fillId="0" borderId="13" xfId="1" applyFont="1" applyBorder="1" applyAlignment="1" applyProtection="1">
      <protection locked="0"/>
    </xf>
    <xf numFmtId="43" fontId="44" fillId="0" borderId="1" xfId="1" applyFont="1" applyBorder="1" applyAlignment="1" applyProtection="1">
      <protection locked="0"/>
    </xf>
    <xf numFmtId="43" fontId="34" fillId="3" borderId="32" xfId="1" applyNumberFormat="1" applyFont="1" applyFill="1" applyBorder="1" applyAlignment="1">
      <alignment vertical="center" wrapText="1"/>
    </xf>
    <xf numFmtId="43" fontId="34" fillId="0" borderId="32" xfId="1" applyNumberFormat="1" applyFont="1" applyFill="1" applyBorder="1" applyAlignment="1" applyProtection="1">
      <alignment vertical="center" wrapText="1"/>
      <protection locked="0"/>
    </xf>
    <xf numFmtId="0" fontId="2" fillId="3" borderId="28" xfId="6" applyFont="1" applyFill="1" applyBorder="1" applyAlignment="1" applyProtection="1">
      <alignment horizontal="center" vertical="center"/>
    </xf>
    <xf numFmtId="0" fontId="2" fillId="3" borderId="29" xfId="6" applyFont="1" applyFill="1" applyBorder="1" applyAlignment="1" applyProtection="1">
      <alignment horizontal="center" vertical="center" wrapText="1"/>
    </xf>
    <xf numFmtId="0" fontId="2" fillId="3" borderId="29" xfId="6" applyFont="1" applyFill="1" applyBorder="1" applyAlignment="1" applyProtection="1">
      <alignment horizontal="center" vertical="center" wrapText="1"/>
      <protection locked="0"/>
    </xf>
    <xf numFmtId="0" fontId="2" fillId="3" borderId="30" xfId="6" applyFont="1" applyFill="1" applyBorder="1" applyAlignment="1" applyProtection="1">
      <alignment horizontal="center" vertical="center" wrapText="1"/>
      <protection locked="0"/>
    </xf>
    <xf numFmtId="0" fontId="1" fillId="3" borderId="19" xfId="6" applyFont="1" applyFill="1" applyBorder="1" applyAlignment="1" applyProtection="1">
      <alignment horizontal="center" vertical="center"/>
    </xf>
    <xf numFmtId="0" fontId="1" fillId="3" borderId="2" xfId="6" applyFont="1" applyFill="1" applyBorder="1" applyAlignment="1" applyProtection="1">
      <alignment horizontal="center" vertical="center" wrapText="1"/>
    </xf>
    <xf numFmtId="0" fontId="1" fillId="3" borderId="1" xfId="6" applyFont="1" applyFill="1" applyBorder="1" applyAlignment="1" applyProtection="1">
      <alignment horizontal="center" vertical="center" wrapText="1"/>
    </xf>
    <xf numFmtId="0" fontId="1" fillId="3" borderId="18" xfId="6" applyFont="1" applyFill="1" applyBorder="1" applyAlignment="1" applyProtection="1">
      <alignment horizontal="center" vertical="center" wrapText="1"/>
    </xf>
    <xf numFmtId="43" fontId="29" fillId="0" borderId="25" xfId="1" applyFont="1" applyFill="1" applyBorder="1" applyProtection="1">
      <protection locked="0"/>
    </xf>
    <xf numFmtId="43" fontId="31" fillId="6" borderId="32" xfId="1" applyNumberFormat="1" applyFont="1" applyFill="1" applyBorder="1" applyProtection="1"/>
    <xf numFmtId="43" fontId="1" fillId="6" borderId="1" xfId="2" applyFont="1" applyFill="1" applyBorder="1"/>
    <xf numFmtId="43" fontId="1" fillId="6" borderId="1" xfId="2" applyNumberFormat="1" applyFont="1" applyFill="1" applyBorder="1"/>
    <xf numFmtId="43" fontId="1" fillId="6" borderId="7" xfId="2" applyFont="1" applyFill="1" applyBorder="1"/>
    <xf numFmtId="49" fontId="2" fillId="3" borderId="1" xfId="6" applyNumberFormat="1" applyFont="1" applyFill="1" applyBorder="1" applyAlignment="1">
      <alignment horizontal="center" vertical="center"/>
    </xf>
    <xf numFmtId="0" fontId="2" fillId="3" borderId="1" xfId="6" applyFont="1" applyFill="1" applyBorder="1" applyAlignment="1">
      <alignment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2" fillId="3" borderId="1" xfId="6" applyFont="1" applyFill="1" applyBorder="1" applyAlignment="1" applyProtection="1">
      <alignment horizontal="center" vertical="center" wrapText="1"/>
    </xf>
    <xf numFmtId="0" fontId="1" fillId="3" borderId="1" xfId="6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1" applyNumberFormat="1" applyFont="1" applyFill="1" applyBorder="1" applyAlignment="1" applyProtection="1">
      <alignment horizontal="center" wrapText="1"/>
    </xf>
    <xf numFmtId="0" fontId="2" fillId="3" borderId="1" xfId="0" applyFont="1" applyFill="1" applyBorder="1" applyAlignment="1" applyProtection="1">
      <alignment horizontal="center" wrapText="1"/>
    </xf>
    <xf numFmtId="49" fontId="2" fillId="3" borderId="1" xfId="6" applyNumberFormat="1" applyFont="1" applyFill="1" applyBorder="1" applyAlignment="1" applyProtection="1">
      <alignment horizontal="center" vertical="center" wrapText="1"/>
    </xf>
    <xf numFmtId="49" fontId="1" fillId="3" borderId="1" xfId="6" applyNumberFormat="1" applyFont="1" applyFill="1" applyBorder="1" applyAlignment="1" applyProtection="1">
      <alignment horizontal="center" vertical="center" wrapText="1"/>
    </xf>
    <xf numFmtId="43" fontId="1" fillId="6" borderId="1" xfId="6" applyNumberFormat="1" applyFont="1" applyFill="1" applyBorder="1" applyAlignment="1" applyProtection="1">
      <alignment horizontal="center"/>
    </xf>
    <xf numFmtId="43" fontId="1" fillId="0" borderId="1" xfId="6" applyNumberFormat="1" applyFont="1" applyFill="1" applyBorder="1" applyAlignment="1" applyProtection="1">
      <alignment horizontal="center"/>
      <protection locked="0"/>
    </xf>
    <xf numFmtId="43" fontId="24" fillId="0" borderId="32" xfId="1" applyNumberFormat="1" applyFont="1" applyFill="1" applyBorder="1" applyProtection="1">
      <protection locked="0"/>
    </xf>
    <xf numFmtId="43" fontId="24" fillId="6" borderId="33" xfId="1" applyNumberFormat="1" applyFont="1" applyFill="1" applyBorder="1" applyProtection="1"/>
    <xf numFmtId="43" fontId="24" fillId="6" borderId="32" xfId="1" applyNumberFormat="1" applyFont="1" applyFill="1" applyBorder="1" applyProtection="1"/>
    <xf numFmtId="43" fontId="24" fillId="6" borderId="36" xfId="1" applyNumberFormat="1" applyFont="1" applyFill="1" applyBorder="1" applyProtection="1"/>
    <xf numFmtId="0" fontId="24" fillId="6" borderId="1" xfId="0" applyFont="1" applyFill="1" applyBorder="1" applyAlignment="1" applyProtection="1"/>
    <xf numFmtId="43" fontId="24" fillId="6" borderId="1" xfId="1" applyNumberFormat="1" applyFont="1" applyFill="1" applyBorder="1" applyProtection="1"/>
    <xf numFmtId="43" fontId="24" fillId="6" borderId="38" xfId="1" applyNumberFormat="1" applyFont="1" applyFill="1" applyBorder="1" applyProtection="1"/>
    <xf numFmtId="43" fontId="31" fillId="0" borderId="32" xfId="1" applyNumberFormat="1" applyFont="1" applyFill="1" applyBorder="1" applyProtection="1">
      <protection locked="0"/>
    </xf>
    <xf numFmtId="43" fontId="24" fillId="0" borderId="33" xfId="1" applyNumberFormat="1" applyFont="1" applyFill="1" applyBorder="1" applyProtection="1">
      <protection locked="0"/>
    </xf>
    <xf numFmtId="0" fontId="24" fillId="6" borderId="0" xfId="0" applyFont="1" applyFill="1" applyAlignment="1" applyProtection="1"/>
    <xf numFmtId="43" fontId="32" fillId="6" borderId="32" xfId="1" applyNumberFormat="1" applyFont="1" applyFill="1" applyBorder="1" applyAlignment="1" applyProtection="1">
      <alignment vertical="center"/>
    </xf>
    <xf numFmtId="43" fontId="32" fillId="6" borderId="32" xfId="1" applyNumberFormat="1" applyFont="1" applyFill="1" applyBorder="1" applyAlignment="1" applyProtection="1">
      <alignment horizontal="center" vertical="center"/>
    </xf>
    <xf numFmtId="43" fontId="32" fillId="6" borderId="36" xfId="1" applyNumberFormat="1" applyFont="1" applyFill="1" applyBorder="1" applyAlignment="1" applyProtection="1">
      <alignment horizontal="center" vertical="center"/>
    </xf>
    <xf numFmtId="43" fontId="32" fillId="6" borderId="1" xfId="1" applyNumberFormat="1" applyFont="1" applyFill="1" applyBorder="1" applyAlignment="1" applyProtection="1">
      <alignment horizontal="center" vertical="center"/>
    </xf>
    <xf numFmtId="43" fontId="34" fillId="0" borderId="32" xfId="1" applyNumberFormat="1" applyFont="1" applyBorder="1" applyAlignment="1" applyProtection="1">
      <alignment horizontal="center" vertical="center"/>
      <protection locked="0"/>
    </xf>
    <xf numFmtId="43" fontId="34" fillId="6" borderId="36" xfId="1" applyNumberFormat="1" applyFont="1" applyFill="1" applyBorder="1" applyAlignment="1" applyProtection="1">
      <alignment horizontal="center" vertical="center" wrapText="1"/>
    </xf>
    <xf numFmtId="43" fontId="34" fillId="6" borderId="1" xfId="1" applyNumberFormat="1" applyFont="1" applyFill="1" applyBorder="1" applyAlignment="1" applyProtection="1">
      <alignment horizontal="center" vertical="center" wrapText="1"/>
    </xf>
    <xf numFmtId="43" fontId="34" fillId="8" borderId="1" xfId="1" applyNumberFormat="1" applyFont="1" applyFill="1" applyBorder="1" applyAlignment="1" applyProtection="1">
      <alignment horizontal="center" vertical="center"/>
      <protection locked="0"/>
    </xf>
    <xf numFmtId="43" fontId="11" fillId="6" borderId="1" xfId="1" applyNumberFormat="1" applyFont="1" applyFill="1" applyBorder="1" applyProtection="1"/>
    <xf numFmtId="43" fontId="11" fillId="6" borderId="1" xfId="1" applyNumberFormat="1" applyFont="1" applyFill="1" applyBorder="1" applyAlignment="1" applyProtection="1">
      <alignment vertical="center"/>
    </xf>
    <xf numFmtId="0" fontId="39" fillId="0" borderId="38" xfId="1" applyNumberFormat="1" applyFont="1" applyFill="1" applyBorder="1" applyAlignment="1" applyProtection="1">
      <alignment horizontal="center" vertical="center"/>
      <protection locked="0"/>
    </xf>
    <xf numFmtId="172" fontId="24" fillId="0" borderId="6" xfId="1" applyNumberFormat="1" applyFont="1" applyBorder="1" applyAlignment="1" applyProtection="1">
      <alignment horizontal="center" wrapText="1"/>
      <protection locked="0"/>
    </xf>
    <xf numFmtId="172" fontId="28" fillId="0" borderId="1" xfId="1" applyNumberFormat="1" applyFont="1" applyBorder="1" applyProtection="1">
      <protection locked="0"/>
    </xf>
    <xf numFmtId="172" fontId="28" fillId="0" borderId="1" xfId="1" applyNumberFormat="1" applyFont="1" applyBorder="1" applyAlignment="1" applyProtection="1">
      <alignment horizontal="left" indent="2"/>
      <protection locked="0"/>
    </xf>
    <xf numFmtId="172" fontId="24" fillId="3" borderId="1" xfId="1" applyNumberFormat="1" applyFont="1" applyFill="1" applyBorder="1" applyAlignment="1" applyProtection="1">
      <alignment horizontal="center" wrapText="1"/>
    </xf>
    <xf numFmtId="43" fontId="28" fillId="6" borderId="1" xfId="1" applyFont="1" applyFill="1" applyBorder="1" applyAlignment="1">
      <alignment vertical="top" wrapText="1"/>
    </xf>
    <xf numFmtId="43" fontId="28" fillId="6" borderId="1" xfId="1" applyFont="1" applyFill="1" applyBorder="1"/>
    <xf numFmtId="43" fontId="24" fillId="6" borderId="1" xfId="1" applyFont="1" applyFill="1" applyBorder="1" applyAlignment="1">
      <alignment vertical="top" wrapText="1"/>
    </xf>
    <xf numFmtId="43" fontId="29" fillId="0" borderId="1" xfId="1" applyFont="1" applyFill="1" applyBorder="1" applyAlignment="1" applyProtection="1">
      <alignment horizontal="justify" vertical="top" wrapText="1"/>
      <protection locked="0"/>
    </xf>
    <xf numFmtId="43" fontId="29" fillId="0" borderId="1" xfId="1" applyFont="1" applyFill="1" applyBorder="1" applyAlignment="1" applyProtection="1">
      <alignment vertical="top" wrapText="1"/>
      <protection locked="0"/>
    </xf>
    <xf numFmtId="9" fontId="59" fillId="6" borderId="1" xfId="7" applyFont="1" applyFill="1" applyBorder="1" applyAlignment="1" applyProtection="1">
      <alignment horizontal="center" vertical="center" wrapText="1"/>
    </xf>
    <xf numFmtId="174" fontId="59" fillId="6" borderId="1" xfId="1" applyNumberFormat="1" applyFont="1" applyFill="1" applyBorder="1" applyAlignment="1" applyProtection="1">
      <alignment horizontal="center" vertical="center" wrapText="1"/>
    </xf>
    <xf numFmtId="43" fontId="59" fillId="6" borderId="1" xfId="1" applyFont="1" applyFill="1" applyBorder="1" applyAlignment="1" applyProtection="1">
      <alignment horizontal="right" vertical="center" wrapText="1"/>
    </xf>
    <xf numFmtId="174" fontId="59" fillId="6" borderId="1" xfId="1" applyNumberFormat="1" applyFont="1" applyFill="1" applyBorder="1" applyAlignment="1" applyProtection="1">
      <alignment horizontal="right" vertical="center" wrapText="1"/>
    </xf>
    <xf numFmtId="174" fontId="54" fillId="6" borderId="1" xfId="1" applyNumberFormat="1" applyFont="1" applyFill="1" applyBorder="1" applyAlignment="1" applyProtection="1">
      <alignment vertical="center"/>
    </xf>
    <xf numFmtId="9" fontId="38" fillId="6" borderId="1" xfId="7" applyFont="1" applyFill="1" applyBorder="1" applyAlignment="1" applyProtection="1">
      <alignment horizontal="right" vertical="center" wrapText="1"/>
    </xf>
    <xf numFmtId="43" fontId="38" fillId="6" borderId="1" xfId="1" applyFont="1" applyFill="1" applyBorder="1" applyAlignment="1" applyProtection="1">
      <alignment horizontal="right" vertical="center" wrapText="1"/>
    </xf>
    <xf numFmtId="174" fontId="38" fillId="6" borderId="1" xfId="1" applyNumberFormat="1" applyFont="1" applyFill="1" applyBorder="1" applyAlignment="1" applyProtection="1">
      <alignment horizontal="right" vertical="center" wrapText="1"/>
    </xf>
    <xf numFmtId="43" fontId="38" fillId="6" borderId="1" xfId="1" applyFont="1" applyFill="1" applyBorder="1" applyAlignment="1" applyProtection="1">
      <alignment horizontal="center" vertical="center" wrapText="1"/>
    </xf>
    <xf numFmtId="9" fontId="59" fillId="6" borderId="1" xfId="7" applyFont="1" applyFill="1" applyBorder="1" applyAlignment="1" applyProtection="1">
      <alignment horizontal="right" vertical="center" wrapText="1"/>
    </xf>
    <xf numFmtId="43" fontId="59" fillId="6" borderId="1" xfId="1" applyFont="1" applyFill="1" applyBorder="1" applyAlignment="1" applyProtection="1">
      <alignment horizontal="center" vertical="center" wrapText="1"/>
    </xf>
    <xf numFmtId="174" fontId="59" fillId="6" borderId="1" xfId="1" applyNumberFormat="1" applyFont="1" applyFill="1" applyBorder="1" applyAlignment="1" applyProtection="1">
      <alignment vertical="center" wrapText="1"/>
    </xf>
    <xf numFmtId="43" fontId="59" fillId="6" borderId="1" xfId="1" applyFont="1" applyFill="1" applyBorder="1" applyAlignment="1" applyProtection="1">
      <alignment vertical="center" wrapText="1"/>
    </xf>
    <xf numFmtId="174" fontId="59" fillId="0" borderId="1" xfId="1" applyNumberFormat="1" applyFont="1" applyFill="1" applyBorder="1" applyAlignment="1" applyProtection="1">
      <alignment horizontal="right" vertical="center" wrapText="1"/>
      <protection locked="0"/>
    </xf>
    <xf numFmtId="43" fontId="28" fillId="0" borderId="1" xfId="1" applyFont="1" applyFill="1" applyBorder="1" applyAlignment="1" applyProtection="1">
      <alignment vertical="top" wrapText="1"/>
      <protection locked="0"/>
    </xf>
    <xf numFmtId="43" fontId="28" fillId="6" borderId="1" xfId="1" applyFont="1" applyFill="1" applyBorder="1" applyAlignment="1" applyProtection="1">
      <alignment vertical="top" wrapText="1"/>
    </xf>
    <xf numFmtId="0" fontId="28" fillId="6" borderId="1" xfId="0" applyFont="1" applyFill="1" applyBorder="1" applyAlignment="1" applyProtection="1">
      <alignment vertical="top" wrapText="1"/>
    </xf>
    <xf numFmtId="9" fontId="28" fillId="6" borderId="1" xfId="0" applyNumberFormat="1" applyFont="1" applyFill="1" applyBorder="1" applyAlignment="1" applyProtection="1">
      <alignment horizontal="right" vertical="top" wrapText="1"/>
    </xf>
    <xf numFmtId="43" fontId="28" fillId="6" borderId="1" xfId="1" applyFont="1" applyFill="1" applyBorder="1" applyAlignment="1" applyProtection="1">
      <alignment vertical="top"/>
    </xf>
    <xf numFmtId="0" fontId="28" fillId="6" borderId="1" xfId="0" applyFont="1" applyFill="1" applyBorder="1" applyAlignment="1" applyProtection="1">
      <alignment vertical="top"/>
    </xf>
    <xf numFmtId="43" fontId="24" fillId="6" borderId="39" xfId="1" applyNumberFormat="1" applyFont="1" applyFill="1" applyBorder="1" applyProtection="1"/>
    <xf numFmtId="43" fontId="31" fillId="0" borderId="32" xfId="0" applyNumberFormat="1" applyFont="1" applyFill="1" applyBorder="1" applyProtection="1">
      <protection locked="0"/>
    </xf>
    <xf numFmtId="43" fontId="31" fillId="3" borderId="33" xfId="1" applyNumberFormat="1" applyFont="1" applyFill="1" applyBorder="1" applyProtection="1"/>
    <xf numFmtId="43" fontId="24" fillId="0" borderId="32" xfId="0" applyNumberFormat="1" applyFont="1" applyFill="1" applyBorder="1" applyProtection="1">
      <protection locked="0"/>
    </xf>
    <xf numFmtId="43" fontId="31" fillId="3" borderId="1" xfId="1" applyNumberFormat="1" applyFont="1" applyFill="1" applyBorder="1" applyProtection="1"/>
    <xf numFmtId="43" fontId="24" fillId="10" borderId="32" xfId="1" applyNumberFormat="1" applyFont="1" applyFill="1" applyBorder="1" applyProtection="1">
      <protection locked="0"/>
    </xf>
    <xf numFmtId="43" fontId="31" fillId="3" borderId="33" xfId="1" applyNumberFormat="1" applyFont="1" applyFill="1" applyBorder="1" applyAlignment="1" applyProtection="1">
      <alignment vertical="center"/>
    </xf>
    <xf numFmtId="172" fontId="24" fillId="11" borderId="1" xfId="1" applyNumberFormat="1" applyFont="1" applyFill="1" applyBorder="1" applyAlignment="1" applyProtection="1">
      <alignment horizontal="center" vertical="center" wrapText="1"/>
      <protection locked="0"/>
    </xf>
    <xf numFmtId="172" fontId="24" fillId="3" borderId="1" xfId="1" applyNumberFormat="1" applyFont="1" applyFill="1" applyBorder="1" applyAlignment="1">
      <alignment horizontal="center" vertical="center" wrapText="1"/>
    </xf>
    <xf numFmtId="10" fontId="28" fillId="0" borderId="1" xfId="0" applyNumberFormat="1" applyFont="1" applyFill="1" applyBorder="1" applyAlignment="1" applyProtection="1">
      <protection locked="0"/>
    </xf>
    <xf numFmtId="0" fontId="28" fillId="3" borderId="1" xfId="0" applyFont="1" applyFill="1" applyBorder="1" applyAlignment="1">
      <alignment horizontal="left" vertical="center" wrapText="1"/>
    </xf>
    <xf numFmtId="0" fontId="28" fillId="3" borderId="7" xfId="0" applyFont="1" applyFill="1" applyBorder="1" applyAlignment="1">
      <alignment vertical="center" wrapText="1"/>
    </xf>
    <xf numFmtId="9" fontId="28" fillId="3" borderId="1" xfId="7" applyFont="1" applyFill="1" applyBorder="1" applyAlignment="1">
      <alignment horizontal="center" vertical="top" wrapText="1"/>
    </xf>
    <xf numFmtId="10" fontId="28" fillId="3" borderId="1" xfId="0" applyNumberFormat="1" applyFont="1" applyFill="1" applyBorder="1" applyAlignment="1">
      <alignment horizontal="center" vertical="top" wrapText="1"/>
    </xf>
    <xf numFmtId="10" fontId="28" fillId="3" borderId="7" xfId="0" applyNumberFormat="1" applyFont="1" applyFill="1" applyBorder="1" applyAlignment="1">
      <alignment horizontal="center" vertical="top" wrapText="1"/>
    </xf>
    <xf numFmtId="9" fontId="28" fillId="6" borderId="1" xfId="7" applyFont="1" applyFill="1" applyBorder="1" applyAlignment="1">
      <alignment horizontal="center" vertical="top" wrapText="1"/>
    </xf>
    <xf numFmtId="10" fontId="28" fillId="6" borderId="1" xfId="0" applyNumberFormat="1" applyFont="1" applyFill="1" applyBorder="1" applyAlignment="1">
      <alignment horizontal="center" vertical="top" wrapText="1"/>
    </xf>
    <xf numFmtId="10" fontId="28" fillId="6" borderId="7" xfId="0" applyNumberFormat="1" applyFont="1" applyFill="1" applyBorder="1" applyAlignment="1">
      <alignment horizontal="center" vertical="top" wrapText="1"/>
    </xf>
    <xf numFmtId="0" fontId="28" fillId="6" borderId="1" xfId="7" applyNumberFormat="1" applyFont="1" applyFill="1" applyBorder="1" applyAlignment="1">
      <alignment horizontal="center" vertical="top" wrapText="1"/>
    </xf>
    <xf numFmtId="2" fontId="28" fillId="6" borderId="1" xfId="7" applyNumberFormat="1" applyFont="1" applyFill="1" applyBorder="1" applyAlignment="1">
      <alignment horizontal="center" vertical="top" wrapText="1"/>
    </xf>
    <xf numFmtId="43" fontId="28" fillId="6" borderId="1" xfId="0" applyNumberFormat="1" applyFont="1" applyFill="1" applyBorder="1" applyAlignment="1">
      <alignment horizontal="center" vertical="top" wrapText="1"/>
    </xf>
    <xf numFmtId="10" fontId="28" fillId="6" borderId="1" xfId="7" applyNumberFormat="1" applyFont="1" applyFill="1" applyBorder="1" applyAlignment="1">
      <alignment horizontal="center" vertical="top" wrapText="1"/>
    </xf>
    <xf numFmtId="10" fontId="28" fillId="0" borderId="1" xfId="0" applyNumberFormat="1" applyFont="1" applyFill="1" applyBorder="1" applyProtection="1">
      <protection locked="0"/>
    </xf>
    <xf numFmtId="0" fontId="28" fillId="6" borderId="1" xfId="0" applyNumberFormat="1" applyFont="1" applyFill="1" applyBorder="1" applyAlignment="1">
      <alignment horizontal="center" vertical="top" wrapText="1"/>
    </xf>
    <xf numFmtId="0" fontId="28" fillId="6" borderId="1" xfId="0" applyNumberFormat="1" applyFont="1" applyFill="1" applyBorder="1" applyAlignment="1">
      <alignment horizontal="center" vertical="center" wrapText="1"/>
    </xf>
    <xf numFmtId="10" fontId="28" fillId="0" borderId="1" xfId="0" applyNumberFormat="1" applyFont="1" applyFill="1" applyBorder="1" applyAlignment="1" applyProtection="1">
      <alignment vertical="center"/>
      <protection locked="0"/>
    </xf>
    <xf numFmtId="10" fontId="28" fillId="3" borderId="1" xfId="0" applyNumberFormat="1" applyFont="1" applyFill="1" applyBorder="1" applyAlignment="1" applyProtection="1"/>
    <xf numFmtId="179" fontId="28" fillId="6" borderId="1" xfId="7" applyNumberFormat="1" applyFont="1" applyFill="1" applyBorder="1" applyAlignment="1" applyProtection="1">
      <alignment horizontal="center" vertical="center" wrapText="1"/>
    </xf>
    <xf numFmtId="2" fontId="28" fillId="6" borderId="1" xfId="7" applyNumberFormat="1" applyFont="1" applyFill="1" applyBorder="1" applyAlignment="1" applyProtection="1">
      <alignment horizontal="center" vertical="center" wrapText="1"/>
    </xf>
    <xf numFmtId="179" fontId="28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8" fillId="3" borderId="1" xfId="0" applyFont="1" applyFill="1" applyBorder="1" applyAlignment="1" applyProtection="1">
      <alignment vertical="center" wrapText="1"/>
    </xf>
    <xf numFmtId="179" fontId="28" fillId="3" borderId="1" xfId="7" applyNumberFormat="1" applyFont="1" applyFill="1" applyBorder="1" applyAlignment="1" applyProtection="1">
      <alignment horizontal="center" vertical="center" wrapText="1"/>
    </xf>
    <xf numFmtId="9" fontId="28" fillId="0" borderId="1" xfId="7" applyFont="1" applyFill="1" applyBorder="1" applyAlignment="1" applyProtection="1">
      <alignment horizontal="center" vertical="center" wrapText="1"/>
      <protection locked="0"/>
    </xf>
    <xf numFmtId="179" fontId="1" fillId="6" borderId="1" xfId="7" applyNumberFormat="1" applyFont="1" applyFill="1" applyBorder="1" applyAlignment="1" applyProtection="1">
      <alignment horizontal="center" vertical="center" wrapText="1"/>
    </xf>
    <xf numFmtId="2" fontId="28" fillId="6" borderId="1" xfId="1" applyNumberFormat="1" applyFont="1" applyFill="1" applyBorder="1" applyAlignment="1" applyProtection="1">
      <alignment horizontal="center" vertical="center" wrapText="1"/>
    </xf>
    <xf numFmtId="0" fontId="29" fillId="3" borderId="1" xfId="0" applyFont="1" applyFill="1" applyBorder="1" applyAlignment="1" applyProtection="1">
      <alignment horizontal="center" vertical="center" wrapText="1"/>
    </xf>
    <xf numFmtId="0" fontId="29" fillId="3" borderId="1" xfId="0" applyFont="1" applyFill="1" applyBorder="1" applyAlignment="1" applyProtection="1">
      <alignment vertical="center" wrapText="1"/>
    </xf>
    <xf numFmtId="43" fontId="1" fillId="6" borderId="1" xfId="1" applyFont="1" applyFill="1" applyBorder="1" applyProtection="1"/>
    <xf numFmtId="43" fontId="1" fillId="6" borderId="18" xfId="1" applyFont="1" applyFill="1" applyBorder="1" applyProtection="1"/>
    <xf numFmtId="43" fontId="1" fillId="6" borderId="18" xfId="1" applyFont="1" applyFill="1" applyBorder="1" applyAlignment="1" applyProtection="1">
      <alignment horizontal="center"/>
    </xf>
    <xf numFmtId="43" fontId="24" fillId="0" borderId="34" xfId="1" applyFont="1" applyBorder="1" applyProtection="1">
      <protection locked="0"/>
    </xf>
    <xf numFmtId="0" fontId="1" fillId="3" borderId="37" xfId="0" applyFont="1" applyFill="1" applyBorder="1" applyAlignment="1" applyProtection="1">
      <alignment horizontal="center"/>
    </xf>
    <xf numFmtId="43" fontId="24" fillId="3" borderId="1" xfId="1" applyFont="1" applyFill="1" applyBorder="1" applyProtection="1"/>
    <xf numFmtId="2" fontId="28" fillId="0" borderId="1" xfId="1" applyNumberFormat="1" applyFont="1" applyBorder="1" applyProtection="1">
      <protection locked="0"/>
    </xf>
    <xf numFmtId="4" fontId="11" fillId="0" borderId="1" xfId="0" applyNumberFormat="1" applyFont="1" applyBorder="1" applyProtection="1">
      <protection locked="0"/>
    </xf>
    <xf numFmtId="4" fontId="34" fillId="0" borderId="0" xfId="0" applyNumberFormat="1" applyFont="1"/>
    <xf numFmtId="0" fontId="0" fillId="0" borderId="0" xfId="0" applyFont="1" applyAlignment="1" applyProtection="1"/>
    <xf numFmtId="0" fontId="24" fillId="0" borderId="0" xfId="0" applyFont="1" applyAlignment="1" applyProtection="1"/>
    <xf numFmtId="0" fontId="24" fillId="0" borderId="0" xfId="0" applyFont="1" applyAlignment="1" applyProtection="1">
      <alignment horizontal="left"/>
    </xf>
    <xf numFmtId="0" fontId="24" fillId="0" borderId="0" xfId="0" applyFont="1" applyAlignment="1" applyProtection="1">
      <alignment horizontal="right"/>
    </xf>
    <xf numFmtId="0" fontId="34" fillId="8" borderId="32" xfId="0" applyFont="1" applyFill="1" applyBorder="1" applyAlignment="1" applyProtection="1">
      <alignment horizontal="left" vertical="center" wrapText="1"/>
      <protection locked="0"/>
    </xf>
    <xf numFmtId="0" fontId="32" fillId="3" borderId="33" xfId="0" applyFont="1" applyFill="1" applyBorder="1" applyAlignment="1">
      <alignment horizontal="center" vertical="center"/>
    </xf>
    <xf numFmtId="0" fontId="32" fillId="3" borderId="43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</xf>
    <xf numFmtId="0" fontId="32" fillId="3" borderId="35" xfId="0" applyFont="1" applyFill="1" applyBorder="1" applyAlignment="1">
      <alignment horizontal="center" vertical="center"/>
    </xf>
    <xf numFmtId="0" fontId="24" fillId="0" borderId="0" xfId="0" applyFont="1" applyAlignment="1" applyProtection="1"/>
    <xf numFmtId="0" fontId="24" fillId="0" borderId="0" xfId="0" applyFont="1" applyAlignment="1" applyProtection="1">
      <alignment horizontal="right"/>
    </xf>
    <xf numFmtId="0" fontId="24" fillId="0" borderId="0" xfId="0" applyFont="1" applyAlignment="1" applyProtection="1">
      <alignment horizontal="center"/>
    </xf>
    <xf numFmtId="0" fontId="0" fillId="0" borderId="0" xfId="0" applyFont="1" applyAlignment="1" applyProtection="1"/>
    <xf numFmtId="0" fontId="31" fillId="0" borderId="0" xfId="0" applyFont="1" applyAlignment="1" applyProtection="1">
      <alignment horizontal="center" wrapText="1"/>
    </xf>
    <xf numFmtId="0" fontId="54" fillId="0" borderId="0" xfId="0" applyFont="1" applyAlignment="1" applyProtection="1"/>
    <xf numFmtId="0" fontId="45" fillId="0" borderId="1" xfId="6" applyFont="1" applyFill="1" applyBorder="1" applyAlignment="1" applyProtection="1">
      <alignment wrapText="1"/>
      <protection locked="0"/>
    </xf>
    <xf numFmtId="2" fontId="34" fillId="0" borderId="6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wrapText="1"/>
    </xf>
    <xf numFmtId="0" fontId="34" fillId="0" borderId="35" xfId="0" applyFont="1" applyBorder="1" applyAlignment="1">
      <alignment horizontal="center" vertical="center"/>
    </xf>
    <xf numFmtId="43" fontId="34" fillId="0" borderId="38" xfId="1" applyNumberFormat="1" applyFont="1" applyBorder="1" applyProtection="1">
      <protection locked="0"/>
    </xf>
    <xf numFmtId="0" fontId="34" fillId="3" borderId="1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43" fontId="34" fillId="3" borderId="44" xfId="1" applyNumberFormat="1" applyFont="1" applyFill="1" applyBorder="1"/>
    <xf numFmtId="43" fontId="34" fillId="3" borderId="33" xfId="1" applyNumberFormat="1" applyFont="1" applyFill="1" applyBorder="1"/>
    <xf numFmtId="0" fontId="34" fillId="0" borderId="1" xfId="0" applyFont="1" applyBorder="1" applyProtection="1">
      <protection locked="0"/>
    </xf>
    <xf numFmtId="0" fontId="11" fillId="0" borderId="1" xfId="6" applyFont="1" applyFill="1" applyBorder="1" applyProtection="1">
      <protection locked="0"/>
    </xf>
    <xf numFmtId="0" fontId="24" fillId="6" borderId="39" xfId="0" applyFont="1" applyFill="1" applyBorder="1" applyAlignment="1" applyProtection="1">
      <alignment horizontal="center" vertical="center" wrapText="1"/>
    </xf>
    <xf numFmtId="43" fontId="24" fillId="6" borderId="7" xfId="1" applyFont="1" applyFill="1" applyBorder="1" applyAlignment="1" applyProtection="1">
      <alignment horizontal="center" vertical="center" wrapText="1"/>
    </xf>
    <xf numFmtId="0" fontId="31" fillId="0" borderId="1" xfId="0" applyFont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center" vertical="center" wrapText="1"/>
    </xf>
    <xf numFmtId="0" fontId="61" fillId="0" borderId="1" xfId="6" applyNumberFormat="1" applyFont="1" applyBorder="1" applyAlignment="1" applyProtection="1">
      <alignment wrapText="1"/>
    </xf>
    <xf numFmtId="0" fontId="24" fillId="0" borderId="1" xfId="0" applyFont="1" applyBorder="1" applyProtection="1"/>
    <xf numFmtId="0" fontId="24" fillId="0" borderId="32" xfId="0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0" fillId="0" borderId="0" xfId="0" applyFont="1" applyAlignment="1" applyProtection="1">
      <protection locked="0"/>
    </xf>
    <xf numFmtId="0" fontId="24" fillId="0" borderId="0" xfId="0" applyFont="1" applyAlignment="1" applyProtection="1">
      <protection locked="0"/>
    </xf>
    <xf numFmtId="0" fontId="26" fillId="0" borderId="0" xfId="0" applyFont="1" applyAlignment="1" applyProtection="1">
      <protection locked="0"/>
    </xf>
    <xf numFmtId="0" fontId="24" fillId="0" borderId="36" xfId="0" applyFont="1" applyBorder="1" applyAlignment="1" applyProtection="1">
      <alignment horizontal="center"/>
      <protection locked="0"/>
    </xf>
    <xf numFmtId="0" fontId="24" fillId="0" borderId="36" xfId="0" applyFont="1" applyBorder="1" applyProtection="1">
      <protection locked="0"/>
    </xf>
    <xf numFmtId="43" fontId="24" fillId="0" borderId="36" xfId="1" applyFont="1" applyBorder="1" applyProtection="1">
      <protection locked="0"/>
    </xf>
    <xf numFmtId="0" fontId="24" fillId="0" borderId="1" xfId="0" applyFont="1" applyBorder="1" applyAlignment="1" applyProtection="1">
      <alignment horizontal="center"/>
      <protection locked="0"/>
    </xf>
    <xf numFmtId="0" fontId="24" fillId="0" borderId="1" xfId="0" applyFont="1" applyBorder="1" applyProtection="1">
      <protection locked="0"/>
    </xf>
    <xf numFmtId="43" fontId="24" fillId="0" borderId="1" xfId="1" applyFont="1" applyBorder="1" applyProtection="1">
      <protection locked="0"/>
    </xf>
    <xf numFmtId="0" fontId="24" fillId="0" borderId="1" xfId="0" applyFont="1" applyBorder="1" applyAlignment="1" applyProtection="1">
      <protection locked="0"/>
    </xf>
    <xf numFmtId="0" fontId="26" fillId="0" borderId="1" xfId="0" applyFont="1" applyBorder="1" applyProtection="1">
      <protection locked="0"/>
    </xf>
    <xf numFmtId="0" fontId="0" fillId="0" borderId="1" xfId="0" applyFont="1" applyBorder="1" applyAlignment="1" applyProtection="1">
      <protection locked="0"/>
    </xf>
    <xf numFmtId="0" fontId="1" fillId="0" borderId="1" xfId="6" applyFont="1" applyFill="1" applyBorder="1" applyProtection="1">
      <protection locked="0"/>
    </xf>
    <xf numFmtId="49" fontId="24" fillId="0" borderId="32" xfId="0" applyNumberFormat="1" applyFont="1" applyBorder="1" applyAlignment="1" applyProtection="1">
      <alignment horizontal="left"/>
      <protection locked="0"/>
    </xf>
    <xf numFmtId="43" fontId="24" fillId="6" borderId="32" xfId="1" applyFont="1" applyFill="1" applyBorder="1" applyProtection="1">
      <protection locked="0"/>
    </xf>
    <xf numFmtId="49" fontId="24" fillId="0" borderId="32" xfId="0" applyNumberFormat="1" applyFont="1" applyBorder="1" applyAlignment="1" applyProtection="1">
      <alignment horizontal="center"/>
      <protection locked="0"/>
    </xf>
    <xf numFmtId="0" fontId="1" fillId="3" borderId="44" xfId="0" applyFont="1" applyFill="1" applyBorder="1" applyAlignment="1" applyProtection="1">
      <alignment horizontal="center"/>
    </xf>
    <xf numFmtId="0" fontId="31" fillId="3" borderId="33" xfId="0" applyFont="1" applyFill="1" applyBorder="1" applyAlignment="1" applyProtection="1">
      <alignment wrapText="1"/>
    </xf>
    <xf numFmtId="0" fontId="1" fillId="3" borderId="35" xfId="0" applyFont="1" applyFill="1" applyBorder="1" applyAlignment="1" applyProtection="1">
      <alignment horizontal="center"/>
    </xf>
    <xf numFmtId="43" fontId="24" fillId="0" borderId="38" xfId="1" applyFont="1" applyBorder="1" applyProtection="1">
      <protection locked="0"/>
    </xf>
    <xf numFmtId="0" fontId="1" fillId="3" borderId="1" xfId="0" applyFont="1" applyFill="1" applyBorder="1" applyAlignment="1" applyProtection="1">
      <alignment horizontal="center"/>
    </xf>
    <xf numFmtId="49" fontId="28" fillId="4" borderId="1" xfId="0" applyNumberFormat="1" applyFont="1" applyFill="1" applyBorder="1" applyAlignment="1">
      <alignment horizontal="center" vertical="top" wrapText="1"/>
    </xf>
    <xf numFmtId="194" fontId="28" fillId="0" borderId="1" xfId="1" applyNumberFormat="1" applyFont="1" applyBorder="1" applyProtection="1">
      <protection locked="0"/>
    </xf>
    <xf numFmtId="43" fontId="44" fillId="6" borderId="1" xfId="1" applyNumberFormat="1" applyFont="1" applyFill="1" applyBorder="1" applyAlignment="1" applyProtection="1">
      <protection locked="0"/>
    </xf>
    <xf numFmtId="0" fontId="63" fillId="0" borderId="0" xfId="0" applyFont="1" applyAlignment="1" applyProtection="1">
      <alignment vertical="center"/>
    </xf>
    <xf numFmtId="0" fontId="38" fillId="4" borderId="0" xfId="0" applyFont="1" applyFill="1"/>
    <xf numFmtId="0" fontId="24" fillId="4" borderId="0" xfId="0" applyFont="1" applyFill="1" applyProtection="1"/>
    <xf numFmtId="0" fontId="34" fillId="4" borderId="0" xfId="0" applyFont="1" applyFill="1" applyProtection="1"/>
    <xf numFmtId="9" fontId="24" fillId="3" borderId="32" xfId="7" applyFont="1" applyFill="1" applyBorder="1" applyAlignment="1" applyProtection="1">
      <alignment vertical="center"/>
    </xf>
    <xf numFmtId="0" fontId="27" fillId="4" borderId="0" xfId="0" applyFont="1" applyFill="1" applyAlignment="1" applyProtection="1"/>
    <xf numFmtId="0" fontId="27" fillId="0" borderId="0" xfId="6" applyFont="1" applyFill="1" applyBorder="1"/>
    <xf numFmtId="0" fontId="62" fillId="0" borderId="0" xfId="0" applyFont="1" applyAlignment="1" applyProtection="1">
      <alignment vertical="center"/>
    </xf>
    <xf numFmtId="43" fontId="34" fillId="0" borderId="33" xfId="1" applyNumberFormat="1" applyFont="1" applyBorder="1" applyAlignment="1" applyProtection="1">
      <alignment vertical="center"/>
      <protection locked="0"/>
    </xf>
    <xf numFmtId="43" fontId="34" fillId="0" borderId="33" xfId="1" applyNumberFormat="1" applyFont="1" applyBorder="1" applyAlignment="1" applyProtection="1">
      <alignment horizontal="center" vertical="center" wrapText="1"/>
      <protection locked="0"/>
    </xf>
    <xf numFmtId="43" fontId="62" fillId="4" borderId="0" xfId="1" applyNumberFormat="1" applyFont="1" applyFill="1" applyBorder="1" applyAlignment="1" applyProtection="1">
      <alignment horizontal="center" vertical="center" wrapText="1"/>
    </xf>
    <xf numFmtId="43" fontId="61" fillId="4" borderId="0" xfId="6" applyNumberFormat="1" applyFont="1" applyFill="1" applyBorder="1" applyAlignment="1" applyProtection="1">
      <alignment wrapText="1"/>
    </xf>
    <xf numFmtId="0" fontId="27" fillId="0" borderId="0" xfId="0" applyFont="1" applyProtection="1"/>
    <xf numFmtId="0" fontId="27" fillId="0" borderId="0" xfId="0" applyFont="1" applyAlignment="1" applyProtection="1">
      <alignment wrapText="1"/>
    </xf>
    <xf numFmtId="43" fontId="61" fillId="0" borderId="0" xfId="6" applyNumberFormat="1" applyFont="1" applyFill="1" applyBorder="1" applyProtection="1"/>
    <xf numFmtId="43" fontId="2" fillId="3" borderId="29" xfId="1" applyFont="1" applyFill="1" applyBorder="1" applyProtection="1"/>
    <xf numFmtId="43" fontId="2" fillId="3" borderId="30" xfId="1" applyFont="1" applyFill="1" applyBorder="1" applyProtection="1"/>
    <xf numFmtId="0" fontId="24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right"/>
    </xf>
    <xf numFmtId="0" fontId="24" fillId="5" borderId="0" xfId="0" applyFont="1" applyFill="1" applyBorder="1" applyAlignment="1" applyProtection="1">
      <alignment horizontal="left" vertical="center" wrapText="1"/>
    </xf>
    <xf numFmtId="0" fontId="29" fillId="3" borderId="1" xfId="0" applyFont="1" applyFill="1" applyBorder="1" applyAlignment="1" applyProtection="1">
      <alignment horizontal="center"/>
    </xf>
    <xf numFmtId="0" fontId="29" fillId="3" borderId="1" xfId="0" applyFont="1" applyFill="1" applyBorder="1" applyProtection="1"/>
    <xf numFmtId="43" fontId="29" fillId="3" borderId="1" xfId="0" applyNumberFormat="1" applyFont="1" applyFill="1" applyBorder="1" applyProtection="1"/>
    <xf numFmtId="0" fontId="61" fillId="0" borderId="0" xfId="0" applyFont="1" applyProtection="1"/>
    <xf numFmtId="0" fontId="43" fillId="0" borderId="0" xfId="0" applyFont="1" applyProtection="1"/>
    <xf numFmtId="43" fontId="61" fillId="0" borderId="0" xfId="0" applyNumberFormat="1" applyFont="1" applyProtection="1"/>
    <xf numFmtId="0" fontId="28" fillId="3" borderId="1" xfId="0" applyFont="1" applyFill="1" applyBorder="1" applyProtection="1"/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/>
    <xf numFmtId="0" fontId="31" fillId="5" borderId="0" xfId="0" applyFont="1" applyFill="1" applyBorder="1" applyAlignment="1" applyProtection="1">
      <alignment horizontal="center" wrapText="1"/>
    </xf>
    <xf numFmtId="0" fontId="1" fillId="0" borderId="0" xfId="6" applyNumberFormat="1" applyFont="1" applyFill="1" applyAlignment="1" applyProtection="1">
      <alignment horizontal="center" wrapText="1"/>
    </xf>
    <xf numFmtId="0" fontId="2" fillId="0" borderId="0" xfId="6" applyFont="1" applyFill="1" applyAlignment="1" applyProtection="1">
      <alignment horizontal="center" vertical="center"/>
    </xf>
    <xf numFmtId="0" fontId="24" fillId="0" borderId="0" xfId="0" applyFont="1" applyAlignment="1" applyProtection="1">
      <alignment horizontal="right" vertical="center" wrapText="1"/>
    </xf>
    <xf numFmtId="0" fontId="1" fillId="0" borderId="0" xfId="6" applyFont="1" applyFill="1" applyAlignment="1">
      <alignment horizontal="center" wrapText="1"/>
    </xf>
    <xf numFmtId="0" fontId="1" fillId="0" borderId="0" xfId="6" applyNumberFormat="1" applyFont="1" applyFill="1" applyAlignment="1">
      <alignment horizontal="right" wrapText="1"/>
    </xf>
    <xf numFmtId="0" fontId="2" fillId="0" borderId="0" xfId="6" applyFont="1" applyFill="1" applyAlignment="1">
      <alignment horizontal="center"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6" applyNumberFormat="1" applyFont="1" applyFill="1" applyAlignment="1" applyProtection="1">
      <alignment horizontal="left" wrapText="1"/>
    </xf>
    <xf numFmtId="0" fontId="2" fillId="0" borderId="0" xfId="6" applyFont="1" applyFill="1" applyAlignment="1" applyProtection="1">
      <alignment horizontal="center" vertical="center" wrapText="1"/>
    </xf>
    <xf numFmtId="0" fontId="1" fillId="0" borderId="0" xfId="6" applyNumberFormat="1" applyFont="1" applyFill="1" applyAlignment="1" applyProtection="1">
      <alignment horizontal="right" wrapText="1"/>
    </xf>
    <xf numFmtId="0" fontId="24" fillId="0" borderId="0" xfId="0" applyFont="1" applyAlignment="1" applyProtection="1">
      <alignment horizontal="left" vertical="center" wrapText="1"/>
    </xf>
    <xf numFmtId="0" fontId="11" fillId="0" borderId="0" xfId="6" applyNumberFormat="1" applyFont="1" applyFill="1" applyAlignment="1" applyProtection="1">
      <alignment horizontal="right" wrapText="1"/>
    </xf>
    <xf numFmtId="0" fontId="13" fillId="0" borderId="0" xfId="6" applyFont="1" applyFill="1" applyAlignment="1" applyProtection="1">
      <alignment horizontal="center" vertical="center"/>
    </xf>
    <xf numFmtId="0" fontId="34" fillId="0" borderId="0" xfId="0" applyFont="1" applyAlignment="1" applyProtection="1">
      <alignment horizontal="left" vertical="center"/>
    </xf>
    <xf numFmtId="0" fontId="34" fillId="0" borderId="0" xfId="0" applyFont="1" applyAlignment="1" applyProtection="1">
      <alignment horizontal="right" vertical="center"/>
    </xf>
    <xf numFmtId="0" fontId="31" fillId="5" borderId="42" xfId="0" applyFont="1" applyFill="1" applyBorder="1" applyAlignment="1" applyProtection="1">
      <alignment horizontal="center" vertical="center" wrapText="1"/>
    </xf>
    <xf numFmtId="0" fontId="1" fillId="0" borderId="0" xfId="0" applyFont="1" applyBorder="1" applyProtection="1"/>
    <xf numFmtId="0" fontId="24" fillId="0" borderId="0" xfId="0" applyFont="1" applyAlignment="1" applyProtection="1"/>
    <xf numFmtId="43" fontId="61" fillId="0" borderId="0" xfId="1" applyFont="1" applyBorder="1" applyAlignment="1" applyProtection="1">
      <alignment horizontal="center" wrapText="1"/>
    </xf>
    <xf numFmtId="0" fontId="34" fillId="0" borderId="0" xfId="0" applyFont="1" applyAlignment="1">
      <alignment horizontal="right" wrapText="1"/>
    </xf>
    <xf numFmtId="174" fontId="32" fillId="7" borderId="33" xfId="1" applyNumberFormat="1" applyFont="1" applyFill="1" applyBorder="1" applyAlignment="1" applyProtection="1">
      <alignment horizontal="center" vertical="center" wrapText="1"/>
    </xf>
    <xf numFmtId="174" fontId="11" fillId="3" borderId="47" xfId="1" applyNumberFormat="1" applyFont="1" applyFill="1" applyBorder="1" applyProtection="1"/>
    <xf numFmtId="174" fontId="11" fillId="3" borderId="34" xfId="1" applyNumberFormat="1" applyFont="1" applyFill="1" applyBorder="1" applyProtection="1"/>
    <xf numFmtId="43" fontId="32" fillId="3" borderId="39" xfId="1" applyNumberFormat="1" applyFont="1" applyFill="1" applyBorder="1" applyAlignment="1" applyProtection="1">
      <alignment horizontal="center" vertical="center"/>
    </xf>
    <xf numFmtId="43" fontId="11" fillId="3" borderId="45" xfId="1" applyNumberFormat="1" applyFont="1" applyFill="1" applyBorder="1" applyProtection="1"/>
    <xf numFmtId="43" fontId="11" fillId="3" borderId="46" xfId="1" applyNumberFormat="1" applyFont="1" applyFill="1" applyBorder="1" applyProtection="1"/>
    <xf numFmtId="174" fontId="34" fillId="0" borderId="0" xfId="1" applyNumberFormat="1" applyFont="1" applyAlignment="1" applyProtection="1">
      <alignment horizontal="center"/>
    </xf>
    <xf numFmtId="174" fontId="34" fillId="0" borderId="0" xfId="1" applyNumberFormat="1" applyFont="1" applyAlignment="1" applyProtection="1"/>
    <xf numFmtId="0" fontId="34" fillId="5" borderId="0" xfId="0" applyFont="1" applyFill="1" applyBorder="1" applyAlignment="1" applyProtection="1">
      <alignment horizontal="left" vertical="center" wrapText="1"/>
    </xf>
    <xf numFmtId="0" fontId="32" fillId="0" borderId="0" xfId="0" applyFont="1" applyAlignment="1" applyProtection="1">
      <alignment horizontal="left" wrapText="1"/>
    </xf>
    <xf numFmtId="0" fontId="32" fillId="0" borderId="0" xfId="0" applyFont="1" applyAlignment="1" applyProtection="1">
      <alignment horizontal="left" vertical="center" wrapText="1"/>
    </xf>
    <xf numFmtId="0" fontId="32" fillId="5" borderId="42" xfId="0" applyFont="1" applyFill="1" applyBorder="1" applyAlignment="1" applyProtection="1">
      <alignment horizontal="center" vertical="center" wrapText="1"/>
    </xf>
    <xf numFmtId="0" fontId="11" fillId="0" borderId="0" xfId="0" applyFont="1" applyBorder="1" applyProtection="1"/>
    <xf numFmtId="0" fontId="32" fillId="0" borderId="0" xfId="0" applyFont="1" applyAlignment="1" applyProtection="1">
      <alignment horizontal="center" vertical="center"/>
    </xf>
    <xf numFmtId="0" fontId="34" fillId="0" borderId="0" xfId="0" applyFont="1" applyAlignment="1" applyProtection="1"/>
    <xf numFmtId="174" fontId="34" fillId="5" borderId="0" xfId="1" applyNumberFormat="1" applyFont="1" applyFill="1" applyBorder="1" applyAlignment="1" applyProtection="1">
      <alignment horizontal="right" vertical="center" wrapText="1"/>
    </xf>
    <xf numFmtId="0" fontId="32" fillId="3" borderId="33" xfId="0" applyFont="1" applyFill="1" applyBorder="1" applyAlignment="1">
      <alignment horizontal="center" vertical="center" wrapText="1"/>
    </xf>
    <xf numFmtId="0" fontId="12" fillId="3" borderId="47" xfId="0" applyFont="1" applyFill="1" applyBorder="1"/>
    <xf numFmtId="0" fontId="12" fillId="3" borderId="34" xfId="0" applyFont="1" applyFill="1" applyBorder="1"/>
    <xf numFmtId="0" fontId="38" fillId="0" borderId="36" xfId="0" applyFont="1" applyBorder="1" applyAlignment="1">
      <alignment horizontal="center" vertical="center" wrapText="1"/>
    </xf>
    <xf numFmtId="0" fontId="14" fillId="0" borderId="37" xfId="0" applyFont="1" applyBorder="1"/>
    <xf numFmtId="0" fontId="14" fillId="0" borderId="38" xfId="0" applyFont="1" applyBorder="1"/>
    <xf numFmtId="2" fontId="38" fillId="0" borderId="33" xfId="0" applyNumberFormat="1" applyFont="1" applyBorder="1" applyAlignment="1">
      <alignment horizontal="left" vertical="center" wrapText="1"/>
    </xf>
    <xf numFmtId="0" fontId="14" fillId="0" borderId="34" xfId="0" applyFont="1" applyBorder="1" applyAlignment="1">
      <alignment horizontal="left"/>
    </xf>
    <xf numFmtId="0" fontId="39" fillId="3" borderId="33" xfId="0" applyFont="1" applyFill="1" applyBorder="1" applyAlignment="1">
      <alignment horizontal="center" vertical="center"/>
    </xf>
    <xf numFmtId="0" fontId="14" fillId="3" borderId="34" xfId="0" applyFont="1" applyFill="1" applyBorder="1"/>
    <xf numFmtId="0" fontId="38" fillId="5" borderId="0" xfId="0" applyFont="1" applyFill="1" applyBorder="1" applyAlignment="1" applyProtection="1">
      <alignment horizontal="left" wrapText="1"/>
    </xf>
    <xf numFmtId="0" fontId="38" fillId="0" borderId="0" xfId="0" applyFont="1" applyAlignment="1">
      <alignment horizontal="right" wrapText="1"/>
    </xf>
    <xf numFmtId="0" fontId="40" fillId="0" borderId="0" xfId="0" applyFont="1" applyAlignment="1"/>
    <xf numFmtId="0" fontId="39" fillId="0" borderId="0" xfId="0" applyFont="1" applyAlignment="1">
      <alignment horizontal="center"/>
    </xf>
    <xf numFmtId="0" fontId="38" fillId="5" borderId="0" xfId="0" applyFont="1" applyFill="1" applyBorder="1" applyAlignment="1" applyProtection="1">
      <alignment horizontal="right" vertical="center" wrapText="1"/>
    </xf>
    <xf numFmtId="0" fontId="41" fillId="0" borderId="43" xfId="0" applyFont="1" applyBorder="1" applyAlignment="1" applyProtection="1">
      <alignment horizontal="right"/>
    </xf>
    <xf numFmtId="0" fontId="32" fillId="3" borderId="36" xfId="0" applyFont="1" applyFill="1" applyBorder="1" applyAlignment="1">
      <alignment horizontal="center" vertical="center" wrapText="1"/>
    </xf>
    <xf numFmtId="0" fontId="32" fillId="3" borderId="38" xfId="0" applyFont="1" applyFill="1" applyBorder="1" applyAlignment="1">
      <alignment horizontal="center" vertical="center" wrapText="1"/>
    </xf>
    <xf numFmtId="0" fontId="32" fillId="3" borderId="33" xfId="0" applyFont="1" applyFill="1" applyBorder="1" applyAlignment="1">
      <alignment horizontal="center" vertical="center"/>
    </xf>
    <xf numFmtId="0" fontId="32" fillId="3" borderId="43" xfId="0" applyFont="1" applyFill="1" applyBorder="1" applyAlignment="1">
      <alignment horizontal="center" vertical="center"/>
    </xf>
    <xf numFmtId="0" fontId="34" fillId="0" borderId="48" xfId="0" applyFont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/>
    <xf numFmtId="0" fontId="32" fillId="0" borderId="0" xfId="0" applyFont="1" applyAlignment="1">
      <alignment horizontal="center" wrapText="1"/>
    </xf>
    <xf numFmtId="0" fontId="36" fillId="0" borderId="0" xfId="0" applyFont="1" applyAlignment="1">
      <alignment wrapText="1"/>
    </xf>
    <xf numFmtId="0" fontId="11" fillId="0" borderId="0" xfId="0" applyFont="1" applyFill="1" applyAlignment="1" applyProtection="1">
      <alignment horizontal="left" vertical="center" wrapText="1"/>
      <protection locked="0"/>
    </xf>
    <xf numFmtId="0" fontId="34" fillId="0" borderId="0" xfId="0" applyFont="1" applyAlignment="1" applyProtection="1">
      <alignment horizontal="center" vertical="center"/>
    </xf>
    <xf numFmtId="0" fontId="34" fillId="0" borderId="0" xfId="0" applyFont="1" applyAlignment="1" applyProtection="1">
      <alignment horizontal="right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/>
    </xf>
    <xf numFmtId="0" fontId="32" fillId="3" borderId="35" xfId="0" applyFont="1" applyFill="1" applyBorder="1" applyAlignment="1">
      <alignment horizontal="center" vertical="center"/>
    </xf>
    <xf numFmtId="0" fontId="34" fillId="0" borderId="49" xfId="0" applyFont="1" applyBorder="1" applyAlignment="1">
      <alignment horizontal="center" vertical="center" wrapText="1"/>
    </xf>
    <xf numFmtId="0" fontId="32" fillId="3" borderId="39" xfId="0" applyFont="1" applyFill="1" applyBorder="1" applyAlignment="1">
      <alignment horizontal="center" vertical="center" wrapText="1"/>
    </xf>
    <xf numFmtId="0" fontId="11" fillId="3" borderId="50" xfId="0" applyFont="1" applyFill="1" applyBorder="1"/>
    <xf numFmtId="0" fontId="34" fillId="5" borderId="0" xfId="0" applyFont="1" applyFill="1" applyBorder="1" applyAlignment="1" applyProtection="1">
      <alignment horizontal="right" vertical="center" wrapText="1"/>
    </xf>
    <xf numFmtId="0" fontId="12" fillId="0" borderId="0" xfId="0" applyFont="1" applyBorder="1" applyProtection="1"/>
    <xf numFmtId="0" fontId="12" fillId="3" borderId="50" xfId="0" applyFont="1" applyFill="1" applyBorder="1"/>
    <xf numFmtId="0" fontId="35" fillId="3" borderId="7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 wrapText="1"/>
    </xf>
    <xf numFmtId="0" fontId="32" fillId="3" borderId="31" xfId="0" applyFont="1" applyFill="1" applyBorder="1" applyAlignment="1">
      <alignment horizontal="center" vertical="center" wrapText="1"/>
    </xf>
    <xf numFmtId="0" fontId="34" fillId="0" borderId="51" xfId="0" applyFont="1" applyBorder="1" applyAlignment="1">
      <alignment horizontal="center" vertical="center" wrapText="1"/>
    </xf>
    <xf numFmtId="0" fontId="34" fillId="0" borderId="5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right" wrapText="1"/>
    </xf>
    <xf numFmtId="0" fontId="34" fillId="0" borderId="0" xfId="0" applyFont="1" applyAlignment="1">
      <alignment horizontal="right"/>
    </xf>
    <xf numFmtId="0" fontId="45" fillId="3" borderId="2" xfId="0" applyFont="1" applyFill="1" applyBorder="1" applyAlignment="1">
      <alignment horizontal="center" vertical="center"/>
    </xf>
    <xf numFmtId="0" fontId="45" fillId="3" borderId="12" xfId="0" applyFont="1" applyFill="1" applyBorder="1" applyAlignment="1">
      <alignment horizontal="center" vertical="center"/>
    </xf>
    <xf numFmtId="0" fontId="32" fillId="3" borderId="7" xfId="0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center" vertical="center" wrapText="1"/>
    </xf>
    <xf numFmtId="0" fontId="47" fillId="0" borderId="1" xfId="0" applyFont="1" applyBorder="1" applyAlignment="1" applyProtection="1">
      <alignment horizontal="center" vertical="center" textRotation="90" wrapText="1"/>
    </xf>
    <xf numFmtId="0" fontId="53" fillId="6" borderId="1" xfId="0" applyFont="1" applyFill="1" applyBorder="1" applyAlignment="1" applyProtection="1">
      <alignment horizontal="center" vertical="center" wrapText="1"/>
    </xf>
    <xf numFmtId="0" fontId="47" fillId="3" borderId="1" xfId="0" applyFont="1" applyFill="1" applyBorder="1" applyAlignment="1" applyProtection="1">
      <alignment horizontal="center" textRotation="90" wrapText="1"/>
    </xf>
    <xf numFmtId="0" fontId="53" fillId="3" borderId="1" xfId="0" applyFont="1" applyFill="1" applyBorder="1" applyAlignment="1" applyProtection="1">
      <alignment horizontal="center" textRotation="90" wrapText="1"/>
    </xf>
    <xf numFmtId="0" fontId="47" fillId="3" borderId="1" xfId="0" applyFont="1" applyFill="1" applyBorder="1" applyAlignment="1" applyProtection="1"/>
    <xf numFmtId="0" fontId="19" fillId="3" borderId="1" xfId="0" applyFont="1" applyFill="1" applyBorder="1" applyAlignment="1" applyProtection="1">
      <alignment horizontal="center" wrapText="1"/>
    </xf>
    <xf numFmtId="0" fontId="53" fillId="3" borderId="1" xfId="0" applyFont="1" applyFill="1" applyBorder="1" applyAlignment="1" applyProtection="1">
      <alignment horizontal="center" wrapText="1"/>
    </xf>
    <xf numFmtId="0" fontId="19" fillId="3" borderId="1" xfId="0" applyFont="1" applyFill="1" applyBorder="1" applyAlignment="1" applyProtection="1">
      <alignment horizontal="center"/>
    </xf>
    <xf numFmtId="0" fontId="18" fillId="3" borderId="1" xfId="0" applyFont="1" applyFill="1" applyBorder="1" applyAlignment="1" applyProtection="1">
      <alignment textRotation="90"/>
    </xf>
    <xf numFmtId="0" fontId="47" fillId="3" borderId="1" xfId="0" applyFont="1" applyFill="1" applyBorder="1" applyAlignment="1" applyProtection="1">
      <alignment horizontal="center" vertical="center" wrapText="1"/>
    </xf>
    <xf numFmtId="0" fontId="18" fillId="3" borderId="1" xfId="0" applyFont="1" applyFill="1" applyBorder="1" applyAlignment="1" applyProtection="1">
      <alignment wrapText="1"/>
    </xf>
    <xf numFmtId="0" fontId="18" fillId="3" borderId="1" xfId="0" applyFont="1" applyFill="1" applyBorder="1" applyAlignment="1" applyProtection="1">
      <alignment horizontal="center" textRotation="90"/>
    </xf>
    <xf numFmtId="0" fontId="18" fillId="3" borderId="1" xfId="0" applyFont="1" applyFill="1" applyBorder="1" applyAlignment="1" applyProtection="1">
      <alignment horizontal="center" textRotation="90" wrapText="1"/>
    </xf>
    <xf numFmtId="0" fontId="47" fillId="0" borderId="0" xfId="0" applyFont="1" applyAlignment="1" applyProtection="1">
      <alignment horizontal="right" vertical="center" wrapText="1"/>
    </xf>
    <xf numFmtId="0" fontId="47" fillId="0" borderId="0" xfId="0" applyFont="1" applyAlignment="1" applyProtection="1"/>
    <xf numFmtId="0" fontId="47" fillId="5" borderId="0" xfId="0" applyFont="1" applyFill="1" applyBorder="1" applyAlignment="1" applyProtection="1">
      <alignment horizontal="left" vertical="center" wrapText="1"/>
    </xf>
    <xf numFmtId="0" fontId="47" fillId="5" borderId="0" xfId="0" applyFont="1" applyFill="1" applyBorder="1" applyAlignment="1" applyProtection="1">
      <alignment horizontal="right" vertical="center" wrapText="1"/>
    </xf>
    <xf numFmtId="0" fontId="47" fillId="0" borderId="0" xfId="0" applyFont="1" applyAlignment="1" applyProtection="1">
      <alignment horizontal="right"/>
    </xf>
    <xf numFmtId="0" fontId="46" fillId="0" borderId="0" xfId="0" applyFont="1" applyAlignment="1" applyProtection="1"/>
    <xf numFmtId="0" fontId="39" fillId="6" borderId="33" xfId="0" applyFont="1" applyFill="1" applyBorder="1" applyAlignment="1" applyProtection="1">
      <alignment horizontal="center" vertical="center"/>
    </xf>
    <xf numFmtId="0" fontId="39" fillId="6" borderId="47" xfId="0" applyFont="1" applyFill="1" applyBorder="1" applyAlignment="1" applyProtection="1">
      <alignment horizontal="center" vertical="center"/>
    </xf>
    <xf numFmtId="0" fontId="39" fillId="6" borderId="34" xfId="0" applyFont="1" applyFill="1" applyBorder="1" applyAlignment="1" applyProtection="1">
      <alignment horizontal="center" vertical="center"/>
    </xf>
    <xf numFmtId="0" fontId="33" fillId="3" borderId="36" xfId="0" applyFont="1" applyFill="1" applyBorder="1" applyAlignment="1" applyProtection="1">
      <alignment horizontal="center" vertical="center" wrapText="1"/>
    </xf>
    <xf numFmtId="0" fontId="16" fillId="3" borderId="37" xfId="0" applyFont="1" applyFill="1" applyBorder="1" applyProtection="1"/>
    <xf numFmtId="0" fontId="39" fillId="3" borderId="39" xfId="0" applyFont="1" applyFill="1" applyBorder="1" applyAlignment="1" applyProtection="1">
      <alignment horizontal="center" vertical="center" wrapText="1"/>
    </xf>
    <xf numFmtId="0" fontId="14" fillId="3" borderId="50" xfId="0" applyFont="1" applyFill="1" applyBorder="1" applyProtection="1"/>
    <xf numFmtId="0" fontId="14" fillId="3" borderId="42" xfId="0" applyFont="1" applyFill="1" applyBorder="1" applyProtection="1"/>
    <xf numFmtId="0" fontId="14" fillId="3" borderId="46" xfId="0" applyFont="1" applyFill="1" applyBorder="1" applyProtection="1"/>
    <xf numFmtId="0" fontId="39" fillId="3" borderId="36" xfId="0" applyFont="1" applyFill="1" applyBorder="1" applyAlignment="1" applyProtection="1">
      <alignment horizontal="center" vertical="center" textRotation="90" wrapText="1"/>
    </xf>
    <xf numFmtId="0" fontId="14" fillId="3" borderId="37" xfId="0" applyFont="1" applyFill="1" applyBorder="1" applyAlignment="1" applyProtection="1">
      <alignment vertical="center" textRotation="90"/>
    </xf>
    <xf numFmtId="0" fontId="39" fillId="3" borderId="33" xfId="0" applyFont="1" applyFill="1" applyBorder="1" applyAlignment="1" applyProtection="1">
      <alignment horizontal="center" wrapText="1"/>
    </xf>
    <xf numFmtId="0" fontId="14" fillId="3" borderId="34" xfId="0" applyFont="1" applyFill="1" applyBorder="1" applyProtection="1"/>
    <xf numFmtId="0" fontId="17" fillId="3" borderId="33" xfId="0" applyFont="1" applyFill="1" applyBorder="1" applyAlignment="1" applyProtection="1">
      <alignment horizontal="center" wrapText="1"/>
    </xf>
    <xf numFmtId="0" fontId="14" fillId="3" borderId="47" xfId="0" applyFont="1" applyFill="1" applyBorder="1" applyProtection="1"/>
    <xf numFmtId="0" fontId="38" fillId="0" borderId="37" xfId="0" applyFont="1" applyBorder="1" applyAlignment="1" applyProtection="1">
      <alignment horizontal="center" vertical="center" wrapText="1"/>
    </xf>
    <xf numFmtId="0" fontId="38" fillId="0" borderId="27" xfId="1" applyNumberFormat="1" applyFont="1" applyBorder="1" applyAlignment="1" applyProtection="1">
      <alignment horizontal="center" vertical="center"/>
    </xf>
    <xf numFmtId="0" fontId="38" fillId="0" borderId="6" xfId="1" applyNumberFormat="1" applyFont="1" applyBorder="1" applyAlignment="1" applyProtection="1">
      <alignment horizontal="center" vertical="center"/>
    </xf>
    <xf numFmtId="0" fontId="40" fillId="0" borderId="27" xfId="1" applyNumberFormat="1" applyFont="1" applyBorder="1" applyAlignment="1" applyProtection="1">
      <alignment horizontal="center"/>
    </xf>
    <xf numFmtId="0" fontId="40" fillId="0" borderId="6" xfId="1" applyNumberFormat="1" applyFont="1" applyBorder="1" applyAlignment="1" applyProtection="1">
      <alignment horizontal="center"/>
    </xf>
    <xf numFmtId="0" fontId="15" fillId="0" borderId="0" xfId="0" applyFont="1" applyAlignment="1" applyProtection="1">
      <alignment horizontal="right" wrapText="1"/>
    </xf>
    <xf numFmtId="0" fontId="17" fillId="0" borderId="0" xfId="0" applyFont="1" applyAlignment="1" applyProtection="1">
      <alignment horizontal="center" vertical="center" wrapText="1"/>
    </xf>
    <xf numFmtId="0" fontId="38" fillId="0" borderId="0" xfId="0" applyFont="1" applyAlignment="1" applyProtection="1">
      <alignment horizontal="left" vertical="center" wrapText="1"/>
    </xf>
    <xf numFmtId="0" fontId="40" fillId="0" borderId="0" xfId="0" applyFont="1" applyAlignment="1" applyProtection="1"/>
    <xf numFmtId="0" fontId="38" fillId="0" borderId="0" xfId="0" applyFont="1" applyAlignment="1" applyProtection="1">
      <alignment horizontal="right" wrapText="1"/>
    </xf>
    <xf numFmtId="0" fontId="40" fillId="0" borderId="0" xfId="0" applyFont="1" applyAlignment="1" applyProtection="1">
      <alignment horizontal="right"/>
    </xf>
    <xf numFmtId="0" fontId="39" fillId="3" borderId="33" xfId="0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0" fontId="31" fillId="0" borderId="0" xfId="0" applyFont="1" applyAlignment="1" applyProtection="1">
      <alignment horizontal="center" wrapText="1"/>
    </xf>
    <xf numFmtId="0" fontId="0" fillId="0" borderId="0" xfId="0" applyFont="1" applyAlignment="1" applyProtection="1">
      <alignment wrapText="1"/>
    </xf>
    <xf numFmtId="0" fontId="24" fillId="0" borderId="0" xfId="0" applyFont="1" applyAlignment="1" applyProtection="1">
      <alignment horizontal="left"/>
    </xf>
    <xf numFmtId="0" fontId="31" fillId="3" borderId="33" xfId="0" applyFont="1" applyFill="1" applyBorder="1" applyAlignment="1" applyProtection="1">
      <alignment horizontal="center" vertical="center" wrapText="1"/>
    </xf>
    <xf numFmtId="0" fontId="31" fillId="3" borderId="34" xfId="0" applyFont="1" applyFill="1" applyBorder="1" applyAlignment="1" applyProtection="1">
      <alignment horizontal="center" vertical="center" wrapText="1"/>
    </xf>
    <xf numFmtId="0" fontId="31" fillId="0" borderId="1" xfId="0" applyFont="1" applyBorder="1" applyAlignment="1" applyProtection="1">
      <alignment horizontal="center" wrapText="1"/>
    </xf>
    <xf numFmtId="0" fontId="54" fillId="0" borderId="0" xfId="0" applyFont="1" applyAlignment="1" applyProtection="1"/>
    <xf numFmtId="0" fontId="31" fillId="6" borderId="7" xfId="0" applyFont="1" applyFill="1" applyBorder="1" applyAlignment="1" applyProtection="1">
      <alignment horizontal="center" wrapText="1"/>
    </xf>
    <xf numFmtId="0" fontId="24" fillId="0" borderId="46" xfId="0" applyFont="1" applyBorder="1" applyAlignment="1" applyProtection="1">
      <alignment horizontal="center" vertical="center" textRotation="90"/>
    </xf>
    <xf numFmtId="0" fontId="24" fillId="0" borderId="0" xfId="0" applyNumberFormat="1" applyFont="1" applyAlignment="1" applyProtection="1">
      <alignment horizontal="right" vertical="center" wrapText="1"/>
    </xf>
    <xf numFmtId="0" fontId="24" fillId="3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/>
    </xf>
    <xf numFmtId="0" fontId="31" fillId="0" borderId="0" xfId="0" applyNumberFormat="1" applyFont="1" applyAlignment="1" applyProtection="1">
      <alignment horizontal="center"/>
    </xf>
    <xf numFmtId="0" fontId="54" fillId="0" borderId="0" xfId="0" applyNumberFormat="1" applyFont="1" applyAlignment="1" applyProtection="1"/>
    <xf numFmtId="0" fontId="24" fillId="0" borderId="0" xfId="0" applyNumberFormat="1" applyFont="1" applyAlignment="1" applyProtection="1">
      <alignment horizontal="right"/>
    </xf>
    <xf numFmtId="0" fontId="24" fillId="5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Border="1" applyProtection="1"/>
    <xf numFmtId="0" fontId="26" fillId="0" borderId="0" xfId="0" applyNumberFormat="1" applyFont="1" applyAlignment="1" applyProtection="1">
      <alignment horizontal="right"/>
    </xf>
    <xf numFmtId="0" fontId="24" fillId="5" borderId="0" xfId="0" applyNumberFormat="1" applyFont="1" applyFill="1" applyBorder="1" applyAlignment="1" applyProtection="1">
      <alignment horizontal="left" vertical="center" wrapText="1"/>
    </xf>
    <xf numFmtId="0" fontId="26" fillId="0" borderId="0" xfId="0" applyFont="1" applyAlignment="1" applyProtection="1">
      <alignment horizontal="right"/>
    </xf>
    <xf numFmtId="0" fontId="31" fillId="0" borderId="0" xfId="0" applyFont="1" applyAlignment="1" applyProtection="1">
      <alignment horizontal="center" vertical="top" wrapText="1"/>
    </xf>
    <xf numFmtId="0" fontId="24" fillId="5" borderId="0" xfId="0" applyFont="1" applyFill="1" applyBorder="1" applyAlignment="1" applyProtection="1">
      <alignment horizontal="left" vertical="center" wrapText="1"/>
    </xf>
    <xf numFmtId="0" fontId="6" fillId="0" borderId="0" xfId="0" applyFont="1" applyBorder="1" applyProtection="1"/>
    <xf numFmtId="0" fontId="24" fillId="5" borderId="0" xfId="0" applyFont="1" applyFill="1" applyBorder="1" applyAlignment="1" applyProtection="1">
      <alignment horizontal="right" vertical="center" wrapText="1"/>
    </xf>
    <xf numFmtId="0" fontId="24" fillId="0" borderId="0" xfId="0" applyFont="1" applyAlignment="1" applyProtection="1">
      <alignment horizontal="right" wrapText="1"/>
    </xf>
    <xf numFmtId="0" fontId="31" fillId="0" borderId="0" xfId="0" applyFont="1" applyAlignment="1" applyProtection="1">
      <alignment horizontal="center"/>
    </xf>
    <xf numFmtId="49" fontId="31" fillId="3" borderId="36" xfId="0" applyNumberFormat="1" applyFont="1" applyFill="1" applyBorder="1" applyAlignment="1" applyProtection="1">
      <alignment horizontal="left" vertical="center" wrapText="1"/>
    </xf>
    <xf numFmtId="49" fontId="6" fillId="3" borderId="37" xfId="0" applyNumberFormat="1" applyFont="1" applyFill="1" applyBorder="1" applyAlignment="1" applyProtection="1">
      <alignment horizontal="left"/>
    </xf>
    <xf numFmtId="49" fontId="6" fillId="3" borderId="38" xfId="0" applyNumberFormat="1" applyFont="1" applyFill="1" applyBorder="1" applyAlignment="1" applyProtection="1">
      <alignment horizontal="left"/>
    </xf>
    <xf numFmtId="0" fontId="31" fillId="3" borderId="36" xfId="0" applyFont="1" applyFill="1" applyBorder="1" applyAlignment="1" applyProtection="1">
      <alignment horizontal="center" vertical="center" wrapText="1"/>
    </xf>
    <xf numFmtId="0" fontId="6" fillId="3" borderId="37" xfId="0" applyFont="1" applyFill="1" applyBorder="1" applyProtection="1"/>
    <xf numFmtId="0" fontId="6" fillId="3" borderId="38" xfId="0" applyFont="1" applyFill="1" applyBorder="1" applyProtection="1"/>
    <xf numFmtId="0" fontId="6" fillId="3" borderId="47" xfId="0" applyFont="1" applyFill="1" applyBorder="1" applyProtection="1"/>
    <xf numFmtId="0" fontId="6" fillId="3" borderId="34" xfId="0" applyFont="1" applyFill="1" applyBorder="1" applyProtection="1"/>
    <xf numFmtId="0" fontId="24" fillId="0" borderId="0" xfId="0" applyFont="1" applyAlignment="1" applyProtection="1">
      <alignment horizontal="right"/>
    </xf>
    <xf numFmtId="0" fontId="24" fillId="3" borderId="36" xfId="0" applyFont="1" applyFill="1" applyBorder="1" applyAlignment="1" applyProtection="1">
      <alignment horizontal="center" vertical="center" wrapText="1"/>
    </xf>
    <xf numFmtId="0" fontId="24" fillId="3" borderId="33" xfId="0" applyFont="1" applyFill="1" applyBorder="1" applyAlignment="1" applyProtection="1">
      <alignment horizontal="center" wrapText="1"/>
    </xf>
    <xf numFmtId="0" fontId="6" fillId="3" borderId="45" xfId="0" applyFont="1" applyFill="1" applyBorder="1" applyProtection="1"/>
    <xf numFmtId="0" fontId="29" fillId="4" borderId="0" xfId="0" applyFont="1" applyFill="1" applyAlignment="1">
      <alignment horizontal="center" wrapText="1"/>
    </xf>
    <xf numFmtId="0" fontId="24" fillId="4" borderId="0" xfId="0" applyFont="1" applyFill="1" applyAlignment="1" applyProtection="1">
      <alignment horizontal="center" vertical="center" wrapText="1"/>
    </xf>
    <xf numFmtId="0" fontId="24" fillId="9" borderId="0" xfId="0" applyFont="1" applyFill="1" applyBorder="1" applyAlignment="1" applyProtection="1">
      <alignment horizontal="left" vertical="center" wrapText="1"/>
    </xf>
    <xf numFmtId="0" fontId="54" fillId="2" borderId="0" xfId="0" applyFont="1" applyFill="1" applyAlignment="1" applyProtection="1">
      <alignment horizontal="center" wrapText="1"/>
    </xf>
    <xf numFmtId="0" fontId="58" fillId="4" borderId="0" xfId="0" applyFont="1" applyFill="1" applyAlignment="1" applyProtection="1">
      <alignment horizontal="center"/>
    </xf>
    <xf numFmtId="0" fontId="59" fillId="4" borderId="7" xfId="0" applyFont="1" applyFill="1" applyBorder="1" applyAlignment="1" applyProtection="1">
      <alignment horizontal="left" vertical="center" wrapText="1"/>
    </xf>
    <xf numFmtId="0" fontId="59" fillId="4" borderId="27" xfId="0" applyFont="1" applyFill="1" applyBorder="1" applyAlignment="1" applyProtection="1">
      <alignment horizontal="left" vertical="center" wrapText="1"/>
    </xf>
    <xf numFmtId="0" fontId="59" fillId="4" borderId="6" xfId="0" applyFont="1" applyFill="1" applyBorder="1" applyAlignment="1" applyProtection="1">
      <alignment horizontal="left" vertical="center" wrapText="1"/>
    </xf>
    <xf numFmtId="0" fontId="59" fillId="4" borderId="1" xfId="0" applyFont="1" applyFill="1" applyBorder="1" applyAlignment="1" applyProtection="1">
      <alignment vertical="center" wrapText="1"/>
    </xf>
    <xf numFmtId="0" fontId="59" fillId="4" borderId="1" xfId="0" applyFont="1" applyFill="1" applyBorder="1" applyAlignment="1" applyProtection="1">
      <alignment horizontal="left" vertical="center" wrapText="1"/>
    </xf>
    <xf numFmtId="0" fontId="31" fillId="4" borderId="0" xfId="0" applyFont="1" applyFill="1" applyAlignment="1" applyProtection="1">
      <alignment horizontal="center" wrapText="1"/>
    </xf>
    <xf numFmtId="0" fontId="20" fillId="4" borderId="0" xfId="0" applyFont="1" applyFill="1" applyBorder="1" applyProtection="1"/>
    <xf numFmtId="0" fontId="59" fillId="4" borderId="1" xfId="0" applyFont="1" applyFill="1" applyBorder="1" applyAlignment="1" applyProtection="1">
      <alignment horizontal="justify" vertical="center" wrapText="1"/>
    </xf>
    <xf numFmtId="9" fontId="59" fillId="6" borderId="1" xfId="7" applyFont="1" applyFill="1" applyBorder="1" applyAlignment="1" applyProtection="1">
      <alignment horizontal="right" vertical="center" wrapText="1"/>
    </xf>
    <xf numFmtId="43" fontId="59" fillId="6" borderId="1" xfId="1" applyFont="1" applyFill="1" applyBorder="1" applyAlignment="1" applyProtection="1">
      <alignment horizontal="right" vertical="center" wrapText="1"/>
    </xf>
    <xf numFmtId="0" fontId="59" fillId="4" borderId="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horizontal="right" wrapText="1"/>
    </xf>
    <xf numFmtId="0" fontId="29" fillId="4" borderId="0" xfId="0" applyFont="1" applyFill="1" applyAlignment="1" applyProtection="1">
      <alignment horizontal="center"/>
    </xf>
    <xf numFmtId="0" fontId="24" fillId="4" borderId="0" xfId="0" applyFont="1" applyFill="1" applyAlignment="1" applyProtection="1">
      <alignment horizontal="right" vertical="center" wrapText="1"/>
    </xf>
    <xf numFmtId="0" fontId="28" fillId="0" borderId="0" xfId="0" applyFont="1" applyAlignment="1" applyProtection="1">
      <alignment horizontal="center" wrapText="1"/>
    </xf>
    <xf numFmtId="0" fontId="2" fillId="0" borderId="0" xfId="0" applyFont="1" applyAlignment="1" applyProtection="1">
      <alignment horizontal="center" vertical="center" wrapText="1"/>
    </xf>
    <xf numFmtId="43" fontId="24" fillId="5" borderId="0" xfId="1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right" vertical="top" wrapText="1"/>
    </xf>
    <xf numFmtId="0" fontId="24" fillId="3" borderId="7" xfId="0" applyFont="1" applyFill="1" applyBorder="1" applyAlignment="1">
      <alignment vertical="center" wrapText="1"/>
    </xf>
    <xf numFmtId="0" fontId="24" fillId="3" borderId="6" xfId="0" applyFont="1" applyFill="1" applyBorder="1" applyAlignment="1">
      <alignment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6" fillId="0" borderId="10" xfId="0" applyFont="1" applyBorder="1" applyAlignment="1" applyProtection="1">
      <alignment horizontal="right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29" fillId="0" borderId="0" xfId="0" applyFont="1" applyAlignment="1" applyProtection="1">
      <alignment horizontal="center"/>
    </xf>
    <xf numFmtId="0" fontId="28" fillId="0" borderId="0" xfId="0" applyFont="1" applyAlignment="1" applyProtection="1">
      <alignment horizontal="left"/>
    </xf>
  </cellXfs>
  <cellStyles count="8">
    <cellStyle name="Comma" xfId="1" builtinId="3"/>
    <cellStyle name="Comma 2" xfId="2"/>
    <cellStyle name="Comma 3" xfId="3"/>
    <cellStyle name="Default-ad4e40a" xfId="4"/>
    <cellStyle name="Default-aebc011" xfId="5"/>
    <cellStyle name="Normal" xfId="0" builtinId="0"/>
    <cellStyle name="Normal 2" xfId="6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3295015</xdr:colOff>
      <xdr:row>160</xdr:row>
      <xdr:rowOff>0</xdr:rowOff>
    </xdr:from>
    <xdr:ext cx="196205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9882DE30-CD30-4F8B-8250-F1032A7B1236}"/>
            </a:ext>
          </a:extLst>
        </xdr:cNvPr>
        <xdr:cNvSpPr txBox="1"/>
      </xdr:nvSpPr>
      <xdr:spPr>
        <a:xfrm>
          <a:off x="3495675" y="1754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455295</xdr:colOff>
      <xdr:row>31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645C2FE8-4122-4E16-8C6C-22EDB8E9C0EA}"/>
            </a:ext>
          </a:extLst>
        </xdr:cNvPr>
        <xdr:cNvSpPr txBox="1"/>
      </xdr:nvSpPr>
      <xdr:spPr>
        <a:xfrm>
          <a:off x="455295" y="577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37</xdr:row>
      <xdr:rowOff>95250</xdr:rowOff>
    </xdr:from>
    <xdr:ext cx="19110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1C6054F0-470E-4487-B3F4-4FD67610C5DE}"/>
            </a:ext>
          </a:extLst>
        </xdr:cNvPr>
        <xdr:cNvSpPr txBox="1"/>
      </xdr:nvSpPr>
      <xdr:spPr>
        <a:xfrm>
          <a:off x="93345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37</xdr:row>
      <xdr:rowOff>95250</xdr:rowOff>
    </xdr:from>
    <xdr:ext cx="19110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66357E53-C422-48B5-B484-6BF7327670A9}"/>
            </a:ext>
          </a:extLst>
        </xdr:cNvPr>
        <xdr:cNvSpPr txBox="1"/>
      </xdr:nvSpPr>
      <xdr:spPr>
        <a:xfrm>
          <a:off x="800100" y="747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37</xdr:row>
      <xdr:rowOff>95250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1EED728-C5C7-4654-AAEB-C34A9763E4F0}"/>
            </a:ext>
          </a:extLst>
        </xdr:cNvPr>
        <xdr:cNvSpPr txBox="1"/>
      </xdr:nvSpPr>
      <xdr:spPr>
        <a:xfrm>
          <a:off x="800100" y="747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37</xdr:row>
      <xdr:rowOff>95250</xdr:rowOff>
    </xdr:from>
    <xdr:ext cx="19110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48947B51-9512-41B1-9FF2-29453341AE7A}"/>
            </a:ext>
          </a:extLst>
        </xdr:cNvPr>
        <xdr:cNvSpPr txBox="1"/>
      </xdr:nvSpPr>
      <xdr:spPr>
        <a:xfrm>
          <a:off x="800100" y="747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37</xdr:row>
      <xdr:rowOff>95250</xdr:rowOff>
    </xdr:from>
    <xdr:ext cx="19110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132DF927-7B3C-4D42-89A7-BC011D483E51}"/>
            </a:ext>
          </a:extLst>
        </xdr:cNvPr>
        <xdr:cNvSpPr txBox="1"/>
      </xdr:nvSpPr>
      <xdr:spPr>
        <a:xfrm>
          <a:off x="800100" y="747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32</xdr:row>
      <xdr:rowOff>0</xdr:rowOff>
    </xdr:from>
    <xdr:ext cx="19110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3EB3FEC7-D1A7-4E05-ADA6-46B8C89532EB}"/>
            </a:ext>
          </a:extLst>
        </xdr:cNvPr>
        <xdr:cNvSpPr txBox="1"/>
      </xdr:nvSpPr>
      <xdr:spPr>
        <a:xfrm>
          <a:off x="666750" y="688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36</xdr:row>
      <xdr:rowOff>95250</xdr:rowOff>
    </xdr:from>
    <xdr:ext cx="190889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84EEE761-C06C-4376-BD34-B39166E27403}"/>
            </a:ext>
          </a:extLst>
        </xdr:cNvPr>
        <xdr:cNvSpPr txBox="1"/>
      </xdr:nvSpPr>
      <xdr:spPr>
        <a:xfrm>
          <a:off x="70675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33</xdr:row>
      <xdr:rowOff>0</xdr:rowOff>
    </xdr:from>
    <xdr:ext cx="19110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77A6D63A-DD64-4008-884E-3263E6931324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</xdr:row>
      <xdr:rowOff>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5E23B338-A00E-41C1-AE32-FB84E535443F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91101" cy="26219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573AB12-2430-42DD-9CCC-7E689A5141B6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33</xdr:row>
      <xdr:rowOff>0</xdr:rowOff>
    </xdr:from>
    <xdr:ext cx="19110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F5A1FA4-4C63-4896-9417-8205ADD81421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</xdr:row>
      <xdr:rowOff>0</xdr:rowOff>
    </xdr:from>
    <xdr:ext cx="19110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31146666-54D9-4235-8D29-F11F9BD17917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91101" cy="262198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BB4B6857-5947-4945-A07C-08F0F0776C1E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70AC227C-1B46-406E-8AC4-5B05A1E59F96}"/>
            </a:ext>
          </a:extLst>
        </xdr:cNvPr>
        <xdr:cNvSpPr txBox="1"/>
      </xdr:nvSpPr>
      <xdr:spPr>
        <a:xfrm>
          <a:off x="428625" y="744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91101" cy="262198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A2C50551-C00F-49F4-A4F3-381651F5CD55}"/>
            </a:ext>
          </a:extLst>
        </xdr:cNvPr>
        <xdr:cNvSpPr txBox="1"/>
      </xdr:nvSpPr>
      <xdr:spPr>
        <a:xfrm>
          <a:off x="428625" y="744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38</xdr:row>
      <xdr:rowOff>95250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772A2134-2769-4AAB-8CB5-4B143CA4768B}"/>
            </a:ext>
          </a:extLst>
        </xdr:cNvPr>
        <xdr:cNvSpPr txBox="1"/>
      </xdr:nvSpPr>
      <xdr:spPr>
        <a:xfrm>
          <a:off x="704850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36</xdr:row>
      <xdr:rowOff>95250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C893AB97-08B9-4921-9730-7459FB2CA9A5}"/>
            </a:ext>
          </a:extLst>
        </xdr:cNvPr>
        <xdr:cNvSpPr txBox="1"/>
      </xdr:nvSpPr>
      <xdr:spPr>
        <a:xfrm>
          <a:off x="704850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34</xdr:row>
      <xdr:rowOff>95250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93891F31-0D84-4147-BD07-07814B6C2E56}"/>
            </a:ext>
          </a:extLst>
        </xdr:cNvPr>
        <xdr:cNvSpPr txBox="1"/>
      </xdr:nvSpPr>
      <xdr:spPr>
        <a:xfrm>
          <a:off x="704850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12337</xdr:colOff>
      <xdr:row>34</xdr:row>
      <xdr:rowOff>0</xdr:rowOff>
    </xdr:from>
    <xdr:ext cx="19110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C2FD3DE6-9368-4C6E-B06B-D9E6E596FD37}"/>
            </a:ext>
          </a:extLst>
        </xdr:cNvPr>
        <xdr:cNvSpPr txBox="1"/>
      </xdr:nvSpPr>
      <xdr:spPr>
        <a:xfrm>
          <a:off x="278130" y="15131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38</xdr:row>
      <xdr:rowOff>81280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EA88323-510D-4AFD-BD6B-45339A915C8E}"/>
            </a:ext>
          </a:extLst>
        </xdr:cNvPr>
        <xdr:cNvSpPr txBox="1"/>
      </xdr:nvSpPr>
      <xdr:spPr>
        <a:xfrm>
          <a:off x="6582229" y="162556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35</xdr:row>
      <xdr:rowOff>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90609F68-DAE1-4ADE-B032-C00701604DC5}"/>
            </a:ext>
          </a:extLst>
        </xdr:cNvPr>
        <xdr:cNvSpPr txBox="1"/>
      </xdr:nvSpPr>
      <xdr:spPr>
        <a:xfrm>
          <a:off x="278130" y="1552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37</xdr:row>
      <xdr:rowOff>0</xdr:rowOff>
    </xdr:from>
    <xdr:ext cx="19110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9112BD3-BAE5-4B9E-B06C-D2FB68A9389E}"/>
            </a:ext>
          </a:extLst>
        </xdr:cNvPr>
        <xdr:cNvSpPr txBox="1"/>
      </xdr:nvSpPr>
      <xdr:spPr>
        <a:xfrm>
          <a:off x="278130" y="163149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38</xdr:row>
      <xdr:rowOff>0</xdr:rowOff>
    </xdr:from>
    <xdr:ext cx="19110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1E1BC36D-FC25-463F-BE6D-C4550693A12F}"/>
            </a:ext>
          </a:extLst>
        </xdr:cNvPr>
        <xdr:cNvSpPr txBox="1"/>
      </xdr:nvSpPr>
      <xdr:spPr>
        <a:xfrm>
          <a:off x="278130" y="16709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35</xdr:row>
      <xdr:rowOff>0</xdr:rowOff>
    </xdr:from>
    <xdr:ext cx="19110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6811412D-B5E7-4125-A5D9-8A32AF055B40}"/>
            </a:ext>
          </a:extLst>
        </xdr:cNvPr>
        <xdr:cNvSpPr txBox="1"/>
      </xdr:nvSpPr>
      <xdr:spPr>
        <a:xfrm>
          <a:off x="278130" y="1552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36</xdr:row>
      <xdr:rowOff>0</xdr:rowOff>
    </xdr:from>
    <xdr:ext cx="19110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E0888EEC-2619-4B82-85C0-46C3EAB7B7DB}"/>
            </a:ext>
          </a:extLst>
        </xdr:cNvPr>
        <xdr:cNvSpPr txBox="1"/>
      </xdr:nvSpPr>
      <xdr:spPr>
        <a:xfrm>
          <a:off x="278130" y="15920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37</xdr:row>
      <xdr:rowOff>0</xdr:rowOff>
    </xdr:from>
    <xdr:ext cx="19110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772C33CC-00C7-46C7-BE7B-4CCE8BEAC43F}"/>
            </a:ext>
          </a:extLst>
        </xdr:cNvPr>
        <xdr:cNvSpPr txBox="1"/>
      </xdr:nvSpPr>
      <xdr:spPr>
        <a:xfrm>
          <a:off x="278130" y="163149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38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9CD2387E-3A01-4590-A617-3AABAA2DC83C}"/>
            </a:ext>
          </a:extLst>
        </xdr:cNvPr>
        <xdr:cNvSpPr txBox="1"/>
      </xdr:nvSpPr>
      <xdr:spPr>
        <a:xfrm>
          <a:off x="278130" y="16709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39</xdr:row>
      <xdr:rowOff>0</xdr:rowOff>
    </xdr:from>
    <xdr:ext cx="19110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3C34DBE0-AEE2-4057-8517-29B78EF0A2AA}"/>
            </a:ext>
          </a:extLst>
        </xdr:cNvPr>
        <xdr:cNvSpPr txBox="1"/>
      </xdr:nvSpPr>
      <xdr:spPr>
        <a:xfrm>
          <a:off x="278130" y="1710417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40</xdr:row>
      <xdr:rowOff>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663FD970-1018-40EE-8D73-1F1D88E712E5}"/>
            </a:ext>
          </a:extLst>
        </xdr:cNvPr>
        <xdr:cNvSpPr txBox="1"/>
      </xdr:nvSpPr>
      <xdr:spPr>
        <a:xfrm>
          <a:off x="278130" y="174987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41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D0BE4EE6-E734-4BC6-B810-DF3B9A06654D}"/>
            </a:ext>
          </a:extLst>
        </xdr:cNvPr>
        <xdr:cNvSpPr txBox="1"/>
      </xdr:nvSpPr>
      <xdr:spPr>
        <a:xfrm>
          <a:off x="278130" y="1789339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42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A38C4068-3A2E-4763-9D8D-CA644E76186E}"/>
            </a:ext>
          </a:extLst>
        </xdr:cNvPr>
        <xdr:cNvSpPr txBox="1"/>
      </xdr:nvSpPr>
      <xdr:spPr>
        <a:xfrm>
          <a:off x="278130" y="1828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43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E9F9F211-BC2C-4AAA-839C-D64A90545B63}"/>
            </a:ext>
          </a:extLst>
        </xdr:cNvPr>
        <xdr:cNvSpPr txBox="1"/>
      </xdr:nvSpPr>
      <xdr:spPr>
        <a:xfrm>
          <a:off x="278130" y="186826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12337</xdr:colOff>
      <xdr:row>44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EF10D9D6-7C0C-46D3-A909-E9B30C879003}"/>
            </a:ext>
          </a:extLst>
        </xdr:cNvPr>
        <xdr:cNvSpPr txBox="1"/>
      </xdr:nvSpPr>
      <xdr:spPr>
        <a:xfrm>
          <a:off x="278130" y="188867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16057</xdr:colOff>
      <xdr:row>34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AAA3B111-DB95-4A8F-B657-176E5739D606}"/>
            </a:ext>
          </a:extLst>
        </xdr:cNvPr>
        <xdr:cNvSpPr txBox="1"/>
      </xdr:nvSpPr>
      <xdr:spPr>
        <a:xfrm>
          <a:off x="1771378" y="15131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16057</xdr:colOff>
      <xdr:row>35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7D1CEB91-D51F-4432-BCD4-C29E2B21DF0D}"/>
            </a:ext>
          </a:extLst>
        </xdr:cNvPr>
        <xdr:cNvSpPr txBox="1"/>
      </xdr:nvSpPr>
      <xdr:spPr>
        <a:xfrm>
          <a:off x="1771378" y="1552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16057</xdr:colOff>
      <xdr:row>37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EC3A1C9A-2051-4456-9D51-C3800CE337D8}"/>
            </a:ext>
          </a:extLst>
        </xdr:cNvPr>
        <xdr:cNvSpPr txBox="1"/>
      </xdr:nvSpPr>
      <xdr:spPr>
        <a:xfrm>
          <a:off x="1771378" y="163149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38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B6F1C812-9006-4AAC-922A-AD05038A16F9}"/>
            </a:ext>
          </a:extLst>
        </xdr:cNvPr>
        <xdr:cNvSpPr txBox="1"/>
      </xdr:nvSpPr>
      <xdr:spPr>
        <a:xfrm>
          <a:off x="6582229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16057</xdr:colOff>
      <xdr:row>35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782B0E6D-D741-46E8-BA1C-0A0A33417C3B}"/>
            </a:ext>
          </a:extLst>
        </xdr:cNvPr>
        <xdr:cNvSpPr txBox="1"/>
      </xdr:nvSpPr>
      <xdr:spPr>
        <a:xfrm>
          <a:off x="1771378" y="1552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16057</xdr:colOff>
      <xdr:row>36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DAA0AA04-5517-452D-9D09-EAD1CDC9438A}"/>
            </a:ext>
          </a:extLst>
        </xdr:cNvPr>
        <xdr:cNvSpPr txBox="1"/>
      </xdr:nvSpPr>
      <xdr:spPr>
        <a:xfrm>
          <a:off x="1771378" y="15920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16057</xdr:colOff>
      <xdr:row>37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126DA45B-4BB5-4310-A091-C5772083B6F0}"/>
            </a:ext>
          </a:extLst>
        </xdr:cNvPr>
        <xdr:cNvSpPr txBox="1"/>
      </xdr:nvSpPr>
      <xdr:spPr>
        <a:xfrm>
          <a:off x="1771378" y="163149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38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41885C38-4430-4233-AD58-E2B19248C40C}"/>
            </a:ext>
          </a:extLst>
        </xdr:cNvPr>
        <xdr:cNvSpPr txBox="1"/>
      </xdr:nvSpPr>
      <xdr:spPr>
        <a:xfrm>
          <a:off x="6582229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39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F46A37CB-385B-44D6-82AE-A614B68089B7}"/>
            </a:ext>
          </a:extLst>
        </xdr:cNvPr>
        <xdr:cNvSpPr txBox="1"/>
      </xdr:nvSpPr>
      <xdr:spPr>
        <a:xfrm>
          <a:off x="6582229" y="16564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40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AA423AA-87B6-469C-84CB-27E4A03DBE45}"/>
            </a:ext>
          </a:extLst>
        </xdr:cNvPr>
        <xdr:cNvSpPr txBox="1"/>
      </xdr:nvSpPr>
      <xdr:spPr>
        <a:xfrm>
          <a:off x="6582229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41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26A76F8F-8ED9-4237-9D27-1FEB69A8D367}"/>
            </a:ext>
          </a:extLst>
        </xdr:cNvPr>
        <xdr:cNvSpPr txBox="1"/>
      </xdr:nvSpPr>
      <xdr:spPr>
        <a:xfrm>
          <a:off x="6582229" y="1734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42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E1AD3DFD-676B-438E-B83F-4D3DA913404B}"/>
            </a:ext>
          </a:extLst>
        </xdr:cNvPr>
        <xdr:cNvSpPr txBox="1"/>
      </xdr:nvSpPr>
      <xdr:spPr>
        <a:xfrm>
          <a:off x="6582229" y="17734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8164</xdr:colOff>
      <xdr:row>34</xdr:row>
      <xdr:rowOff>0</xdr:rowOff>
    </xdr:from>
    <xdr:ext cx="197926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3CFF03CE-AF1C-47E2-BEBE-6D47B5D6EDFD}"/>
            </a:ext>
          </a:extLst>
        </xdr:cNvPr>
        <xdr:cNvSpPr txBox="1"/>
      </xdr:nvSpPr>
      <xdr:spPr>
        <a:xfrm>
          <a:off x="276225" y="1042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8164</xdr:colOff>
      <xdr:row>35</xdr:row>
      <xdr:rowOff>0</xdr:rowOff>
    </xdr:from>
    <xdr:ext cx="197926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94527590-023C-45B1-8F8A-1887DBDAD2BA}"/>
            </a:ext>
          </a:extLst>
        </xdr:cNvPr>
        <xdr:cNvSpPr txBox="1"/>
      </xdr:nvSpPr>
      <xdr:spPr>
        <a:xfrm>
          <a:off x="276225" y="1076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8164</xdr:colOff>
      <xdr:row>37</xdr:row>
      <xdr:rowOff>0</xdr:rowOff>
    </xdr:from>
    <xdr:ext cx="197926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CCEFCB96-2DF5-4E13-8FF5-6EF45A6DC948}"/>
            </a:ext>
          </a:extLst>
        </xdr:cNvPr>
        <xdr:cNvSpPr txBox="1"/>
      </xdr:nvSpPr>
      <xdr:spPr>
        <a:xfrm>
          <a:off x="276225" y="114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38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4250AE0D-74B7-4322-8EAF-646018A2406F}"/>
            </a:ext>
          </a:extLst>
        </xdr:cNvPr>
        <xdr:cNvSpPr txBox="1"/>
      </xdr:nvSpPr>
      <xdr:spPr>
        <a:xfrm>
          <a:off x="6582229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8164</xdr:colOff>
      <xdr:row>35</xdr:row>
      <xdr:rowOff>0</xdr:rowOff>
    </xdr:from>
    <xdr:ext cx="197926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B3239917-45D1-44F0-B40A-C8B79C6AA11C}"/>
            </a:ext>
          </a:extLst>
        </xdr:cNvPr>
        <xdr:cNvSpPr txBox="1"/>
      </xdr:nvSpPr>
      <xdr:spPr>
        <a:xfrm>
          <a:off x="276225" y="1076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8164</xdr:colOff>
      <xdr:row>36</xdr:row>
      <xdr:rowOff>0</xdr:rowOff>
    </xdr:from>
    <xdr:ext cx="197926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287CCA41-5081-41D4-9A1E-6B3D62585951}"/>
            </a:ext>
          </a:extLst>
        </xdr:cNvPr>
        <xdr:cNvSpPr txBox="1"/>
      </xdr:nvSpPr>
      <xdr:spPr>
        <a:xfrm>
          <a:off x="27622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8164</xdr:colOff>
      <xdr:row>37</xdr:row>
      <xdr:rowOff>0</xdr:rowOff>
    </xdr:from>
    <xdr:ext cx="197926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4D5379AE-974C-4837-A6C6-4E0FE5B3388C}"/>
            </a:ext>
          </a:extLst>
        </xdr:cNvPr>
        <xdr:cNvSpPr txBox="1"/>
      </xdr:nvSpPr>
      <xdr:spPr>
        <a:xfrm>
          <a:off x="276225" y="114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38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E5487161-C185-47F7-97F9-D3902D971E7D}"/>
            </a:ext>
          </a:extLst>
        </xdr:cNvPr>
        <xdr:cNvSpPr txBox="1"/>
      </xdr:nvSpPr>
      <xdr:spPr>
        <a:xfrm>
          <a:off x="6582229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39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80145804-73E3-44E9-A4F2-7FEA14B04312}"/>
            </a:ext>
          </a:extLst>
        </xdr:cNvPr>
        <xdr:cNvSpPr txBox="1"/>
      </xdr:nvSpPr>
      <xdr:spPr>
        <a:xfrm>
          <a:off x="6582229" y="16564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40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B3EE6B7B-46A0-42F7-B170-7BEA621DB541}"/>
            </a:ext>
          </a:extLst>
        </xdr:cNvPr>
        <xdr:cNvSpPr txBox="1"/>
      </xdr:nvSpPr>
      <xdr:spPr>
        <a:xfrm>
          <a:off x="6582229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41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4D25F9DA-5BE1-4406-9727-6FC266D573F1}"/>
            </a:ext>
          </a:extLst>
        </xdr:cNvPr>
        <xdr:cNvSpPr txBox="1"/>
      </xdr:nvSpPr>
      <xdr:spPr>
        <a:xfrm>
          <a:off x="6582229" y="1734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42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AB73B0EA-F7D1-4A2C-9A5D-582234A13CFD}"/>
            </a:ext>
          </a:extLst>
        </xdr:cNvPr>
        <xdr:cNvSpPr txBox="1"/>
      </xdr:nvSpPr>
      <xdr:spPr>
        <a:xfrm>
          <a:off x="6582229" y="17734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1731645</xdr:colOff>
      <xdr:row>34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DBC38D7A-42F8-48A6-91EC-23B04753FE82}"/>
            </a:ext>
          </a:extLst>
        </xdr:cNvPr>
        <xdr:cNvSpPr txBox="1"/>
      </xdr:nvSpPr>
      <xdr:spPr>
        <a:xfrm>
          <a:off x="3827145" y="146140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1731645</xdr:colOff>
      <xdr:row>35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D26A037E-FE30-4A8C-9691-11C678AA1A5B}"/>
            </a:ext>
          </a:extLst>
        </xdr:cNvPr>
        <xdr:cNvSpPr txBox="1"/>
      </xdr:nvSpPr>
      <xdr:spPr>
        <a:xfrm>
          <a:off x="3827145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1731645</xdr:colOff>
      <xdr:row>37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18E51872-A33A-4E06-A0E0-5AB97AA275FC}"/>
            </a:ext>
          </a:extLst>
        </xdr:cNvPr>
        <xdr:cNvSpPr txBox="1"/>
      </xdr:nvSpPr>
      <xdr:spPr>
        <a:xfrm>
          <a:off x="3827145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38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D6EE0F82-386E-421A-9E59-1CA068B18824}"/>
            </a:ext>
          </a:extLst>
        </xdr:cNvPr>
        <xdr:cNvSpPr txBox="1"/>
      </xdr:nvSpPr>
      <xdr:spPr>
        <a:xfrm>
          <a:off x="10847977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1731645</xdr:colOff>
      <xdr:row>35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F8901A37-8E03-4F29-9221-5DB31A07DA8E}"/>
            </a:ext>
          </a:extLst>
        </xdr:cNvPr>
        <xdr:cNvSpPr txBox="1"/>
      </xdr:nvSpPr>
      <xdr:spPr>
        <a:xfrm>
          <a:off x="3827145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1731645</xdr:colOff>
      <xdr:row>36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71640E93-772D-4BB7-A9E7-DB40090A7FBA}"/>
            </a:ext>
          </a:extLst>
        </xdr:cNvPr>
        <xdr:cNvSpPr txBox="1"/>
      </xdr:nvSpPr>
      <xdr:spPr>
        <a:xfrm>
          <a:off x="3827145" y="15394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1731645</xdr:colOff>
      <xdr:row>37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2D71456D-AE9B-4487-8DF0-4554F7013094}"/>
            </a:ext>
          </a:extLst>
        </xdr:cNvPr>
        <xdr:cNvSpPr txBox="1"/>
      </xdr:nvSpPr>
      <xdr:spPr>
        <a:xfrm>
          <a:off x="3827145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38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89D802E4-1916-41C5-BCF6-ADD040DDFCA4}"/>
            </a:ext>
          </a:extLst>
        </xdr:cNvPr>
        <xdr:cNvSpPr txBox="1"/>
      </xdr:nvSpPr>
      <xdr:spPr>
        <a:xfrm>
          <a:off x="10847977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39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E60EBC4F-2B47-4627-BF56-D5B693583701}"/>
            </a:ext>
          </a:extLst>
        </xdr:cNvPr>
        <xdr:cNvSpPr txBox="1"/>
      </xdr:nvSpPr>
      <xdr:spPr>
        <a:xfrm>
          <a:off x="10847977" y="16564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40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A507512F-864D-43F9-98A4-CE42E7C31035}"/>
            </a:ext>
          </a:extLst>
        </xdr:cNvPr>
        <xdr:cNvSpPr txBox="1"/>
      </xdr:nvSpPr>
      <xdr:spPr>
        <a:xfrm>
          <a:off x="10847977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41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5A95017E-F9A0-46F4-9B51-62C32A216A5F}"/>
            </a:ext>
          </a:extLst>
        </xdr:cNvPr>
        <xdr:cNvSpPr txBox="1"/>
      </xdr:nvSpPr>
      <xdr:spPr>
        <a:xfrm>
          <a:off x="10847977" y="1734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42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569D41A6-37D9-4722-8A12-5865C1AA4984}"/>
            </a:ext>
          </a:extLst>
        </xdr:cNvPr>
        <xdr:cNvSpPr txBox="1"/>
      </xdr:nvSpPr>
      <xdr:spPr>
        <a:xfrm>
          <a:off x="10847977" y="17734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1489075</xdr:colOff>
      <xdr:row>34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31BADFEA-805A-44EA-AC16-E0E81E067094}"/>
            </a:ext>
          </a:extLst>
        </xdr:cNvPr>
        <xdr:cNvSpPr txBox="1"/>
      </xdr:nvSpPr>
      <xdr:spPr>
        <a:xfrm>
          <a:off x="5317218" y="146140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1489075</xdr:colOff>
      <xdr:row>35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C4FED97D-DDF3-43AB-B10F-B14AFE2B1996}"/>
            </a:ext>
          </a:extLst>
        </xdr:cNvPr>
        <xdr:cNvSpPr txBox="1"/>
      </xdr:nvSpPr>
      <xdr:spPr>
        <a:xfrm>
          <a:off x="5317218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1489075</xdr:colOff>
      <xdr:row>37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13E22E3B-CF79-44DB-9A2C-9290D4D4A7D7}"/>
            </a:ext>
          </a:extLst>
        </xdr:cNvPr>
        <xdr:cNvSpPr txBox="1"/>
      </xdr:nvSpPr>
      <xdr:spPr>
        <a:xfrm>
          <a:off x="5317218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38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8BB1B958-DD01-4070-9318-524396D1E158}"/>
            </a:ext>
          </a:extLst>
        </xdr:cNvPr>
        <xdr:cNvSpPr txBox="1"/>
      </xdr:nvSpPr>
      <xdr:spPr>
        <a:xfrm>
          <a:off x="8223704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1489075</xdr:colOff>
      <xdr:row>35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C1679B59-BC2F-4C46-BA4A-42C06D9C8F11}"/>
            </a:ext>
          </a:extLst>
        </xdr:cNvPr>
        <xdr:cNvSpPr txBox="1"/>
      </xdr:nvSpPr>
      <xdr:spPr>
        <a:xfrm>
          <a:off x="5317218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1489075</xdr:colOff>
      <xdr:row>36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58ADA52C-2EB9-442F-966F-F582281FB1A0}"/>
            </a:ext>
          </a:extLst>
        </xdr:cNvPr>
        <xdr:cNvSpPr txBox="1"/>
      </xdr:nvSpPr>
      <xdr:spPr>
        <a:xfrm>
          <a:off x="5317218" y="15394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1489075</xdr:colOff>
      <xdr:row>37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92F51F-B4CA-45B1-A84A-6CFA089986AF}"/>
            </a:ext>
          </a:extLst>
        </xdr:cNvPr>
        <xdr:cNvSpPr txBox="1"/>
      </xdr:nvSpPr>
      <xdr:spPr>
        <a:xfrm>
          <a:off x="5317218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38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91421F08-117C-47E5-9F4E-01DE0EDAE848}"/>
            </a:ext>
          </a:extLst>
        </xdr:cNvPr>
        <xdr:cNvSpPr txBox="1"/>
      </xdr:nvSpPr>
      <xdr:spPr>
        <a:xfrm>
          <a:off x="8223704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39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CD30513A-72A0-4D5B-B159-7B791F3225BB}"/>
            </a:ext>
          </a:extLst>
        </xdr:cNvPr>
        <xdr:cNvSpPr txBox="1"/>
      </xdr:nvSpPr>
      <xdr:spPr>
        <a:xfrm>
          <a:off x="8223704" y="16564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40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E1F630A1-C5C5-4C82-AC78-191244607E14}"/>
            </a:ext>
          </a:extLst>
        </xdr:cNvPr>
        <xdr:cNvSpPr txBox="1"/>
      </xdr:nvSpPr>
      <xdr:spPr>
        <a:xfrm>
          <a:off x="8223704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41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1A8C59A7-7CDA-48CF-ADC3-A145F67D6486}"/>
            </a:ext>
          </a:extLst>
        </xdr:cNvPr>
        <xdr:cNvSpPr txBox="1"/>
      </xdr:nvSpPr>
      <xdr:spPr>
        <a:xfrm>
          <a:off x="8223704" y="1734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42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FD43799-7888-4828-92BB-5124FF40DE72}"/>
            </a:ext>
          </a:extLst>
        </xdr:cNvPr>
        <xdr:cNvSpPr txBox="1"/>
      </xdr:nvSpPr>
      <xdr:spPr>
        <a:xfrm>
          <a:off x="8223704" y="17734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34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93FD9E4F-2852-4158-93F5-94B97252C983}"/>
            </a:ext>
          </a:extLst>
        </xdr:cNvPr>
        <xdr:cNvSpPr txBox="1"/>
      </xdr:nvSpPr>
      <xdr:spPr>
        <a:xfrm>
          <a:off x="6582229" y="146140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35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3FC9C7E0-09C6-465F-B11C-0DA07D295523}"/>
            </a:ext>
          </a:extLst>
        </xdr:cNvPr>
        <xdr:cNvSpPr txBox="1"/>
      </xdr:nvSpPr>
      <xdr:spPr>
        <a:xfrm>
          <a:off x="6582229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37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A46E0371-B6B8-4951-85E6-8A2B6C27E557}"/>
            </a:ext>
          </a:extLst>
        </xdr:cNvPr>
        <xdr:cNvSpPr txBox="1"/>
      </xdr:nvSpPr>
      <xdr:spPr>
        <a:xfrm>
          <a:off x="6582229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38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7C09BA5D-4EB3-46B4-87FC-905813975B34}"/>
            </a:ext>
          </a:extLst>
        </xdr:cNvPr>
        <xdr:cNvSpPr txBox="1"/>
      </xdr:nvSpPr>
      <xdr:spPr>
        <a:xfrm>
          <a:off x="10847977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35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7772E826-5A18-46DC-B1E8-039753ED2323}"/>
            </a:ext>
          </a:extLst>
        </xdr:cNvPr>
        <xdr:cNvSpPr txBox="1"/>
      </xdr:nvSpPr>
      <xdr:spPr>
        <a:xfrm>
          <a:off x="6582229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36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9B7CC25F-C557-4A4A-B197-32EB3F6AA0ED}"/>
            </a:ext>
          </a:extLst>
        </xdr:cNvPr>
        <xdr:cNvSpPr txBox="1"/>
      </xdr:nvSpPr>
      <xdr:spPr>
        <a:xfrm>
          <a:off x="6582229" y="15394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1257300</xdr:colOff>
      <xdr:row>37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94FA4B52-183A-413F-9B9C-BFE63F033661}"/>
            </a:ext>
          </a:extLst>
        </xdr:cNvPr>
        <xdr:cNvSpPr txBox="1"/>
      </xdr:nvSpPr>
      <xdr:spPr>
        <a:xfrm>
          <a:off x="6582229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38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70D34FF-D6BC-4BD6-AC95-F421C57F696F}"/>
            </a:ext>
          </a:extLst>
        </xdr:cNvPr>
        <xdr:cNvSpPr txBox="1"/>
      </xdr:nvSpPr>
      <xdr:spPr>
        <a:xfrm>
          <a:off x="10847977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39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275C5D9-A935-410A-B78C-9719DA117251}"/>
            </a:ext>
          </a:extLst>
        </xdr:cNvPr>
        <xdr:cNvSpPr txBox="1"/>
      </xdr:nvSpPr>
      <xdr:spPr>
        <a:xfrm>
          <a:off x="10847977" y="16564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40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FB6DEE3-8CF2-40B2-80E3-3FFE3E15B929}"/>
            </a:ext>
          </a:extLst>
        </xdr:cNvPr>
        <xdr:cNvSpPr txBox="1"/>
      </xdr:nvSpPr>
      <xdr:spPr>
        <a:xfrm>
          <a:off x="10847977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41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19EB90FD-546E-4FD6-89DF-2229ABF297D6}"/>
            </a:ext>
          </a:extLst>
        </xdr:cNvPr>
        <xdr:cNvSpPr txBox="1"/>
      </xdr:nvSpPr>
      <xdr:spPr>
        <a:xfrm>
          <a:off x="10847977" y="1734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1341120</xdr:colOff>
      <xdr:row>42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1C38B2AD-6272-47C4-B03D-3A757D393CFC}"/>
            </a:ext>
          </a:extLst>
        </xdr:cNvPr>
        <xdr:cNvSpPr txBox="1"/>
      </xdr:nvSpPr>
      <xdr:spPr>
        <a:xfrm>
          <a:off x="10847977" y="17734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34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ACD3E74-B4EC-422A-85A7-BED52F8E6CAA}"/>
            </a:ext>
          </a:extLst>
        </xdr:cNvPr>
        <xdr:cNvSpPr txBox="1"/>
      </xdr:nvSpPr>
      <xdr:spPr>
        <a:xfrm>
          <a:off x="8223704" y="146140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35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4F477987-CDD2-4C43-90C5-41CD5E61D2B5}"/>
            </a:ext>
          </a:extLst>
        </xdr:cNvPr>
        <xdr:cNvSpPr txBox="1"/>
      </xdr:nvSpPr>
      <xdr:spPr>
        <a:xfrm>
          <a:off x="8223704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37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C0676BE8-87AD-44A3-BAA5-A1E8A479A91E}"/>
            </a:ext>
          </a:extLst>
        </xdr:cNvPr>
        <xdr:cNvSpPr txBox="1"/>
      </xdr:nvSpPr>
      <xdr:spPr>
        <a:xfrm>
          <a:off x="8223704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38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18384CAF-D98A-474B-BBA8-F12177C6200A}"/>
            </a:ext>
          </a:extLst>
        </xdr:cNvPr>
        <xdr:cNvSpPr txBox="1"/>
      </xdr:nvSpPr>
      <xdr:spPr>
        <a:xfrm>
          <a:off x="8223704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35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ABE106C2-1C94-473D-AD62-EA8867E805A8}"/>
            </a:ext>
          </a:extLst>
        </xdr:cNvPr>
        <xdr:cNvSpPr txBox="1"/>
      </xdr:nvSpPr>
      <xdr:spPr>
        <a:xfrm>
          <a:off x="8223704" y="15004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36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B75FE8B5-10F0-414C-AC29-C1AE5DE8D3C4}"/>
            </a:ext>
          </a:extLst>
        </xdr:cNvPr>
        <xdr:cNvSpPr txBox="1"/>
      </xdr:nvSpPr>
      <xdr:spPr>
        <a:xfrm>
          <a:off x="8223704" y="15394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37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D2087AB3-E768-475F-A8EA-341D9F8C0FE8}"/>
            </a:ext>
          </a:extLst>
        </xdr:cNvPr>
        <xdr:cNvSpPr txBox="1"/>
      </xdr:nvSpPr>
      <xdr:spPr>
        <a:xfrm>
          <a:off x="8223704" y="157842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38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FDE885C3-C5CA-4B8A-80AD-FE1E8930EB7B}"/>
            </a:ext>
          </a:extLst>
        </xdr:cNvPr>
        <xdr:cNvSpPr txBox="1"/>
      </xdr:nvSpPr>
      <xdr:spPr>
        <a:xfrm>
          <a:off x="8223704" y="16174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39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770E2F4B-9265-4D3F-9D82-CC79A0FFEDAF}"/>
            </a:ext>
          </a:extLst>
        </xdr:cNvPr>
        <xdr:cNvSpPr txBox="1"/>
      </xdr:nvSpPr>
      <xdr:spPr>
        <a:xfrm>
          <a:off x="8223704" y="16564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40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6DB88736-4D3F-4B9F-B9B9-C6ABB4144A3D}"/>
            </a:ext>
          </a:extLst>
        </xdr:cNvPr>
        <xdr:cNvSpPr txBox="1"/>
      </xdr:nvSpPr>
      <xdr:spPr>
        <a:xfrm>
          <a:off x="8223704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41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3C0FDC84-A591-4DA5-BC05-AAB98C62AD0C}"/>
            </a:ext>
          </a:extLst>
        </xdr:cNvPr>
        <xdr:cNvSpPr txBox="1"/>
      </xdr:nvSpPr>
      <xdr:spPr>
        <a:xfrm>
          <a:off x="8223704" y="1734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1628775</xdr:colOff>
      <xdr:row>42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EE99A122-820C-44F3-90B7-36A102935DCF}"/>
            </a:ext>
          </a:extLst>
        </xdr:cNvPr>
        <xdr:cNvSpPr txBox="1"/>
      </xdr:nvSpPr>
      <xdr:spPr>
        <a:xfrm>
          <a:off x="8223704" y="17734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537845</xdr:colOff>
      <xdr:row>32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8C957B3A-6041-40DC-AEF5-E8D30BDF55C6}"/>
            </a:ext>
          </a:extLst>
        </xdr:cNvPr>
        <xdr:cNvSpPr txBox="1"/>
      </xdr:nvSpPr>
      <xdr:spPr>
        <a:xfrm>
          <a:off x="537845" y="6618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2952D75A-59A7-4CF6-A273-6D1DC971BE2B}"/>
            </a:ext>
          </a:extLst>
        </xdr:cNvPr>
        <xdr:cNvSpPr txBox="1"/>
      </xdr:nvSpPr>
      <xdr:spPr>
        <a:xfrm>
          <a:off x="537845" y="6618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307340</xdr:colOff>
      <xdr:row>36</xdr:row>
      <xdr:rowOff>109220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2D4468D7-BC75-4132-8440-350DC9993AAA}"/>
            </a:ext>
          </a:extLst>
        </xdr:cNvPr>
        <xdr:cNvSpPr txBox="1"/>
      </xdr:nvSpPr>
      <xdr:spPr>
        <a:xfrm>
          <a:off x="829908" y="7453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F8411109-33BE-47DF-A1E4-8044C30F54D7}"/>
            </a:ext>
          </a:extLst>
        </xdr:cNvPr>
        <xdr:cNvSpPr txBox="1"/>
      </xdr:nvSpPr>
      <xdr:spPr>
        <a:xfrm>
          <a:off x="537845" y="68131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155B3167-4D63-4679-BE7C-6CFA1A0F3A5A}"/>
            </a:ext>
          </a:extLst>
        </xdr:cNvPr>
        <xdr:cNvSpPr txBox="1"/>
      </xdr:nvSpPr>
      <xdr:spPr>
        <a:xfrm>
          <a:off x="537845" y="68131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35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61E094F1-3FE0-44F3-A2EA-46E0DB6E25A0}"/>
            </a:ext>
          </a:extLst>
        </xdr:cNvPr>
        <xdr:cNvSpPr txBox="1"/>
      </xdr:nvSpPr>
      <xdr:spPr>
        <a:xfrm>
          <a:off x="537845" y="711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F77837B2-A72D-4442-ADA7-B970E2733C04}"/>
            </a:ext>
          </a:extLst>
        </xdr:cNvPr>
        <xdr:cNvSpPr txBox="1"/>
      </xdr:nvSpPr>
      <xdr:spPr>
        <a:xfrm>
          <a:off x="537845" y="711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36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BAE8E836-5525-454E-B085-8629B1C5FB41}"/>
            </a:ext>
          </a:extLst>
        </xdr:cNvPr>
        <xdr:cNvSpPr txBox="1"/>
      </xdr:nvSpPr>
      <xdr:spPr>
        <a:xfrm>
          <a:off x="537845" y="7276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537845</xdr:colOff>
      <xdr:row>36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6009FFE4-7A23-4058-A14F-208887DDA339}"/>
            </a:ext>
          </a:extLst>
        </xdr:cNvPr>
        <xdr:cNvSpPr txBox="1"/>
      </xdr:nvSpPr>
      <xdr:spPr>
        <a:xfrm>
          <a:off x="537845" y="7276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17220</xdr:colOff>
      <xdr:row>36</xdr:row>
      <xdr:rowOff>109220</xdr:rowOff>
    </xdr:from>
    <xdr:ext cx="190889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C912393F-FCF6-4764-886F-A93B6F7F91BB}"/>
            </a:ext>
          </a:extLst>
        </xdr:cNvPr>
        <xdr:cNvSpPr txBox="1"/>
      </xdr:nvSpPr>
      <xdr:spPr>
        <a:xfrm>
          <a:off x="2980429" y="73754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260350</xdr:colOff>
      <xdr:row>36</xdr:row>
      <xdr:rowOff>109220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7B7A5129-6D1C-44D8-AA89-7DFC39EC8222}"/>
            </a:ext>
          </a:extLst>
        </xdr:cNvPr>
        <xdr:cNvSpPr txBox="1"/>
      </xdr:nvSpPr>
      <xdr:spPr>
        <a:xfrm>
          <a:off x="3375585" y="73855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3960</xdr:colOff>
      <xdr:row>36</xdr:row>
      <xdr:rowOff>109220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26150829-A5CF-4745-8105-2C6CEF46451E}"/>
            </a:ext>
          </a:extLst>
        </xdr:cNvPr>
        <xdr:cNvSpPr txBox="1"/>
      </xdr:nvSpPr>
      <xdr:spPr>
        <a:xfrm>
          <a:off x="6309136" y="73855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646430</xdr:colOff>
      <xdr:row>36</xdr:row>
      <xdr:rowOff>109220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750022D8-CD39-4B55-AD72-476C671310B6}"/>
            </a:ext>
          </a:extLst>
        </xdr:cNvPr>
        <xdr:cNvSpPr txBox="1"/>
      </xdr:nvSpPr>
      <xdr:spPr>
        <a:xfrm>
          <a:off x="4844901" y="73855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1120</xdr:colOff>
      <xdr:row>36</xdr:row>
      <xdr:rowOff>109220</xdr:rowOff>
    </xdr:from>
    <xdr:ext cx="197046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76197590-2768-4C14-B303-C5019FE00733}"/>
            </a:ext>
          </a:extLst>
        </xdr:cNvPr>
        <xdr:cNvSpPr txBox="1"/>
      </xdr:nvSpPr>
      <xdr:spPr>
        <a:xfrm>
          <a:off x="5191685" y="7453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8</xdr:col>
      <xdr:colOff>3960</xdr:colOff>
      <xdr:row>36</xdr:row>
      <xdr:rowOff>109220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2F52A510-2CA8-455B-8977-8C15B1CDD3BA}"/>
            </a:ext>
          </a:extLst>
        </xdr:cNvPr>
        <xdr:cNvSpPr txBox="1"/>
      </xdr:nvSpPr>
      <xdr:spPr>
        <a:xfrm>
          <a:off x="6309136" y="73855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9</xdr:col>
      <xdr:colOff>1120</xdr:colOff>
      <xdr:row>36</xdr:row>
      <xdr:rowOff>109220</xdr:rowOff>
    </xdr:from>
    <xdr:ext cx="197046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B9741E30-AAA9-458C-B431-C95B519D9267}"/>
            </a:ext>
          </a:extLst>
        </xdr:cNvPr>
        <xdr:cNvSpPr txBox="1"/>
      </xdr:nvSpPr>
      <xdr:spPr>
        <a:xfrm>
          <a:off x="6446744" y="7453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1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2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3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4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5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6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120650</xdr:colOff>
      <xdr:row>55</xdr:row>
      <xdr:rowOff>95250</xdr:rowOff>
    </xdr:to>
    <xdr:sp macro="" textlink="">
      <xdr:nvSpPr>
        <xdr:cNvPr id="903887" name="AutoShape 3"/>
        <xdr:cNvSpPr>
          <a:spLocks noChangeArrowheads="1"/>
        </xdr:cNvSpPr>
      </xdr:nvSpPr>
      <xdr:spPr bwMode="auto">
        <a:xfrm>
          <a:off x="0" y="0"/>
          <a:ext cx="9461500" cy="94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</xdr:col>
      <xdr:colOff>3810</xdr:colOff>
      <xdr:row>25</xdr:row>
      <xdr:rowOff>0</xdr:rowOff>
    </xdr:from>
    <xdr:ext cx="190889" cy="268124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E2701252-2908-45BD-BFC5-7C7F5BC88C53}"/>
            </a:ext>
          </a:extLst>
        </xdr:cNvPr>
        <xdr:cNvSpPr txBox="1"/>
      </xdr:nvSpPr>
      <xdr:spPr>
        <a:xfrm>
          <a:off x="232410" y="451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3169920</xdr:colOff>
      <xdr:row>28</xdr:row>
      <xdr:rowOff>81280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7B04B00E-F3D4-4AF5-B3E9-58CE01C1C2BC}"/>
            </a:ext>
          </a:extLst>
        </xdr:cNvPr>
        <xdr:cNvSpPr txBox="1"/>
      </xdr:nvSpPr>
      <xdr:spPr>
        <a:xfrm>
          <a:off x="3411220" y="51041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26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1FEEC9F6-4F5F-40A9-97DF-862758A6215F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19110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46765AE2-18F8-41DC-974D-A13B251DB199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4030C44E-A670-4A2E-A6E2-3F0E10673CB5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26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AAE3FD07-E968-48C4-9EE9-9B1CDF49866D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E99A3ABC-7613-481B-9197-1423794318BA}"/>
            </a:ext>
          </a:extLst>
        </xdr:cNvPr>
        <xdr:cNvSpPr txBox="1"/>
      </xdr:nvSpPr>
      <xdr:spPr>
        <a:xfrm>
          <a:off x="228600" y="47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6CB35298-B2B6-44E5-BAFF-28AAAB96427A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3533567B-7FA9-46AB-9C51-DE7A621C5F69}"/>
            </a:ext>
          </a:extLst>
        </xdr:cNvPr>
        <xdr:cNvSpPr txBox="1"/>
      </xdr:nvSpPr>
      <xdr:spPr>
        <a:xfrm>
          <a:off x="228600" y="47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724DBA7A-93F3-450C-B0F1-4855764BFC05}"/>
            </a:ext>
          </a:extLst>
        </xdr:cNvPr>
        <xdr:cNvSpPr txBox="1"/>
      </xdr:nvSpPr>
      <xdr:spPr>
        <a:xfrm>
          <a:off x="228600" y="47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3169920</xdr:colOff>
      <xdr:row>29</xdr:row>
      <xdr:rowOff>81280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CB3FBDAD-63A4-4C87-A646-CA8DC367B700}"/>
            </a:ext>
          </a:extLst>
        </xdr:cNvPr>
        <xdr:cNvSpPr txBox="1"/>
      </xdr:nvSpPr>
      <xdr:spPr>
        <a:xfrm>
          <a:off x="3411220" y="5288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98DCC84D-1822-4118-9B23-F5EAB032926F}"/>
            </a:ext>
          </a:extLst>
        </xdr:cNvPr>
        <xdr:cNvSpPr txBox="1"/>
      </xdr:nvSpPr>
      <xdr:spPr>
        <a:xfrm>
          <a:off x="228600" y="494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9CFE1DFB-5494-4FE1-A182-71064508BAB5}"/>
            </a:ext>
          </a:extLst>
        </xdr:cNvPr>
        <xdr:cNvSpPr txBox="1"/>
      </xdr:nvSpPr>
      <xdr:spPr>
        <a:xfrm>
          <a:off x="228600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879F5A0-29A4-4787-8DAA-C4D6573EF3A5}"/>
            </a:ext>
          </a:extLst>
        </xdr:cNvPr>
        <xdr:cNvSpPr txBox="1"/>
      </xdr:nvSpPr>
      <xdr:spPr>
        <a:xfrm>
          <a:off x="228600" y="494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2957883A-4C42-47A0-90F3-FE08C8DECF99}"/>
            </a:ext>
          </a:extLst>
        </xdr:cNvPr>
        <xdr:cNvSpPr txBox="1"/>
      </xdr:nvSpPr>
      <xdr:spPr>
        <a:xfrm>
          <a:off x="228600" y="494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B8772384-C820-4301-BCA8-2C46C9B6DF02}"/>
            </a:ext>
          </a:extLst>
        </xdr:cNvPr>
        <xdr:cNvSpPr txBox="1"/>
      </xdr:nvSpPr>
      <xdr:spPr>
        <a:xfrm>
          <a:off x="228600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A003F9B6-678A-4132-809F-97E4F49E90DA}"/>
            </a:ext>
          </a:extLst>
        </xdr:cNvPr>
        <xdr:cNvSpPr txBox="1"/>
      </xdr:nvSpPr>
      <xdr:spPr>
        <a:xfrm>
          <a:off x="228600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3173095</xdr:colOff>
      <xdr:row>25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F97725E7-1705-455D-AF75-B1C119411633}"/>
            </a:ext>
          </a:extLst>
        </xdr:cNvPr>
        <xdr:cNvSpPr txBox="1"/>
      </xdr:nvSpPr>
      <xdr:spPr>
        <a:xfrm>
          <a:off x="3414395" y="448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1905</xdr:colOff>
      <xdr:row>25</xdr:row>
      <xdr:rowOff>0</xdr:rowOff>
    </xdr:from>
    <xdr:ext cx="190889" cy="268124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1763C96D-BAF8-4AE9-8088-FE6A2DD2F49E}"/>
            </a:ext>
          </a:extLst>
        </xdr:cNvPr>
        <xdr:cNvSpPr txBox="1"/>
      </xdr:nvSpPr>
      <xdr:spPr>
        <a:xfrm>
          <a:off x="3897630" y="451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26</xdr:row>
      <xdr:rowOff>0</xdr:rowOff>
    </xdr:from>
    <xdr:ext cx="19110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324F8A59-FDDC-4859-BE87-0015706FFC8E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26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7822E42A-9B6B-44CB-BD8E-7BA6021EF88B}"/>
            </a:ext>
          </a:extLst>
        </xdr:cNvPr>
        <xdr:cNvSpPr txBox="1"/>
      </xdr:nvSpPr>
      <xdr:spPr>
        <a:xfrm>
          <a:off x="3416300" y="46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9110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624F7C94-4310-4E52-9552-06482F304082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19110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8859E13F-0AB1-4A42-AA46-5EEAA3A52899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DE98CDF6-2B6D-417B-BFEE-4AC806964EBF}"/>
            </a:ext>
          </a:extLst>
        </xdr:cNvPr>
        <xdr:cNvSpPr txBox="1"/>
      </xdr:nvSpPr>
      <xdr:spPr>
        <a:xfrm>
          <a:off x="3416300" y="483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27</xdr:row>
      <xdr:rowOff>0</xdr:rowOff>
    </xdr:from>
    <xdr:ext cx="19110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FF582B65-E60A-4DE4-AA5D-83D0B9AE2925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9110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7AA68688-19C7-4A3C-B4B8-CA4ECED0C962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28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8CD79B33-F20C-4459-BBAB-7751FF7FC287}"/>
            </a:ext>
          </a:extLst>
        </xdr:cNvPr>
        <xdr:cNvSpPr txBox="1"/>
      </xdr:nvSpPr>
      <xdr:spPr>
        <a:xfrm>
          <a:off x="3416300" y="502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9110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5D3F3FAD-6E91-4A10-9395-6F98BFB796A9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19110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D379B297-DE16-491C-9E58-30014668DC50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29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5CCFE78E-F990-48E2-9E3E-425D7A945B5F}"/>
            </a:ext>
          </a:extLst>
        </xdr:cNvPr>
        <xdr:cNvSpPr txBox="1"/>
      </xdr:nvSpPr>
      <xdr:spPr>
        <a:xfrm>
          <a:off x="3416300" y="52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9110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B6C7F9DF-F0EE-4402-9240-F631994A67C6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30</xdr:row>
      <xdr:rowOff>0</xdr:rowOff>
    </xdr:from>
    <xdr:ext cx="19110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D7BBFC87-508D-468F-A34F-3C524C2716F7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30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58276E70-7647-4C1F-B362-1354E5109537}"/>
            </a:ext>
          </a:extLst>
        </xdr:cNvPr>
        <xdr:cNvSpPr txBox="1"/>
      </xdr:nvSpPr>
      <xdr:spPr>
        <a:xfrm>
          <a:off x="34163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30</xdr:row>
      <xdr:rowOff>0</xdr:rowOff>
    </xdr:from>
    <xdr:ext cx="19110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DCC57321-C31F-4EEE-AEED-83FFF2C32234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31</xdr:row>
      <xdr:rowOff>0</xdr:rowOff>
    </xdr:from>
    <xdr:ext cx="19110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66B86F9-1116-4259-BB5C-6F00A9CD6A6A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31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669087C0-0DE8-48D4-A6E6-16C47EEB06DD}"/>
            </a:ext>
          </a:extLst>
        </xdr:cNvPr>
        <xdr:cNvSpPr txBox="1"/>
      </xdr:nvSpPr>
      <xdr:spPr>
        <a:xfrm>
          <a:off x="3416300" y="5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9110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DFC47EDE-F7C2-4416-8BE4-4CAB2633F435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32</xdr:row>
      <xdr:rowOff>0</xdr:rowOff>
    </xdr:from>
    <xdr:ext cx="19110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8CB08D1F-24ED-4694-BB22-78E18E6B7632}"/>
            </a:ext>
          </a:extLst>
        </xdr:cNvPr>
        <xdr:cNvSpPr txBox="1"/>
      </xdr:nvSpPr>
      <xdr:spPr>
        <a:xfrm>
          <a:off x="2286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2708FEDA-6BE7-4F53-9A2E-FD5B475904FE}"/>
            </a:ext>
          </a:extLst>
        </xdr:cNvPr>
        <xdr:cNvSpPr txBox="1"/>
      </xdr:nvSpPr>
      <xdr:spPr>
        <a:xfrm>
          <a:off x="3416300" y="570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19110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A2C2CC2B-1A97-4FDF-85E9-F26B08FF3624}"/>
            </a:ext>
          </a:extLst>
        </xdr:cNvPr>
        <xdr:cNvSpPr txBox="1"/>
      </xdr:nvSpPr>
      <xdr:spPr>
        <a:xfrm>
          <a:off x="37909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31</xdr:row>
      <xdr:rowOff>0</xdr:rowOff>
    </xdr:from>
    <xdr:ext cx="19110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33637B46-A77C-4B01-90E7-0A5E8B57CA03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290830</xdr:colOff>
      <xdr:row>36</xdr:row>
      <xdr:rowOff>81280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EE1863F4-2E70-425B-9D93-AA58729CC5FB}"/>
            </a:ext>
          </a:extLst>
        </xdr:cNvPr>
        <xdr:cNvSpPr txBox="1"/>
      </xdr:nvSpPr>
      <xdr:spPr>
        <a:xfrm>
          <a:off x="830580" y="867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6051</xdr:colOff>
      <xdr:row>43</xdr:row>
      <xdr:rowOff>0</xdr:rowOff>
    </xdr:from>
    <xdr:ext cx="192763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D70948D9-21C0-4486-AAEC-2E2D519EE581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47</xdr:row>
      <xdr:rowOff>98425</xdr:rowOff>
    </xdr:from>
    <xdr:ext cx="197046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E322B468-319C-4F96-A2B6-50E79F725962}"/>
            </a:ext>
          </a:extLst>
        </xdr:cNvPr>
        <xdr:cNvSpPr txBox="1"/>
      </xdr:nvSpPr>
      <xdr:spPr>
        <a:xfrm>
          <a:off x="3351904" y="841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18852E88-A8B5-4DC9-A609-0BC4F6F3E984}"/>
            </a:ext>
          </a:extLst>
        </xdr:cNvPr>
        <xdr:cNvSpPr txBox="1"/>
      </xdr:nvSpPr>
      <xdr:spPr>
        <a:xfrm>
          <a:off x="245110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46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D394343E-D31D-4014-859B-BD4A4776376C}"/>
            </a:ext>
          </a:extLst>
        </xdr:cNvPr>
        <xdr:cNvSpPr txBox="1"/>
      </xdr:nvSpPr>
      <xdr:spPr>
        <a:xfrm>
          <a:off x="245110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47</xdr:row>
      <xdr:rowOff>0</xdr:rowOff>
    </xdr:from>
    <xdr:ext cx="192763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3AADFE0A-2339-4DDD-A3DE-A8BF0B1FF259}"/>
            </a:ext>
          </a:extLst>
        </xdr:cNvPr>
        <xdr:cNvSpPr txBox="1"/>
      </xdr:nvSpPr>
      <xdr:spPr>
        <a:xfrm>
          <a:off x="22860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44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A9714132-2296-4FBC-A041-6AB8B91CBCFA}"/>
            </a:ext>
          </a:extLst>
        </xdr:cNvPr>
        <xdr:cNvSpPr txBox="1"/>
      </xdr:nvSpPr>
      <xdr:spPr>
        <a:xfrm>
          <a:off x="245110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14642</xdr:colOff>
      <xdr:row>45</xdr:row>
      <xdr:rowOff>0</xdr:rowOff>
    </xdr:from>
    <xdr:ext cx="184731" cy="2740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95131B6-43E5-48F8-91D9-049BB4ADBD41}"/>
            </a:ext>
          </a:extLst>
        </xdr:cNvPr>
        <xdr:cNvSpPr txBox="1"/>
      </xdr:nvSpPr>
      <xdr:spPr>
        <a:xfrm>
          <a:off x="232410" y="8041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46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E5DC40B7-65B5-4D7E-B9DF-9C2B54B40B2D}"/>
            </a:ext>
          </a:extLst>
        </xdr:cNvPr>
        <xdr:cNvSpPr txBox="1"/>
      </xdr:nvSpPr>
      <xdr:spPr>
        <a:xfrm>
          <a:off x="245110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47</xdr:row>
      <xdr:rowOff>0</xdr:rowOff>
    </xdr:from>
    <xdr:ext cx="192763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6868C894-937A-49AE-BF26-266C6B3F4442}"/>
            </a:ext>
          </a:extLst>
        </xdr:cNvPr>
        <xdr:cNvSpPr txBox="1"/>
      </xdr:nvSpPr>
      <xdr:spPr>
        <a:xfrm>
          <a:off x="228600" y="555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48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2B3F206D-4598-418B-A801-EACCBEA01E21}"/>
            </a:ext>
          </a:extLst>
        </xdr:cNvPr>
        <xdr:cNvSpPr txBox="1"/>
      </xdr:nvSpPr>
      <xdr:spPr>
        <a:xfrm>
          <a:off x="245110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49</xdr:row>
      <xdr:rowOff>0</xdr:rowOff>
    </xdr:from>
    <xdr:ext cx="192763" cy="272341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C5DF202A-816E-429F-A20D-DDAD9EEA5EF3}"/>
            </a:ext>
          </a:extLst>
        </xdr:cNvPr>
        <xdr:cNvSpPr txBox="1"/>
      </xdr:nvSpPr>
      <xdr:spPr>
        <a:xfrm>
          <a:off x="228600" y="555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50</xdr:row>
      <xdr:rowOff>0</xdr:rowOff>
    </xdr:from>
    <xdr:ext cx="192763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3E5B9440-087B-4B36-B017-5345E25DF63A}"/>
            </a:ext>
          </a:extLst>
        </xdr:cNvPr>
        <xdr:cNvSpPr txBox="1"/>
      </xdr:nvSpPr>
      <xdr:spPr>
        <a:xfrm>
          <a:off x="228600" y="555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50</xdr:row>
      <xdr:rowOff>0</xdr:rowOff>
    </xdr:from>
    <xdr:ext cx="192763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8CDD96AC-E4DA-439A-AAB0-61856DA9B71C}"/>
            </a:ext>
          </a:extLst>
        </xdr:cNvPr>
        <xdr:cNvSpPr txBox="1"/>
      </xdr:nvSpPr>
      <xdr:spPr>
        <a:xfrm>
          <a:off x="22860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6051</xdr:colOff>
      <xdr:row>51</xdr:row>
      <xdr:rowOff>0</xdr:rowOff>
    </xdr:from>
    <xdr:ext cx="192763" cy="271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48696F6B-2481-4A2D-94F0-92C7521F3BC8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4706</xdr:colOff>
      <xdr:row>43</xdr:row>
      <xdr:rowOff>0</xdr:rowOff>
    </xdr:from>
    <xdr:ext cx="190889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F49DBB06-3948-43D2-B2A2-1FE08ECFB07B}"/>
            </a:ext>
          </a:extLst>
        </xdr:cNvPr>
        <xdr:cNvSpPr txBox="1"/>
      </xdr:nvSpPr>
      <xdr:spPr>
        <a:xfrm>
          <a:off x="1607147" y="748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4706</xdr:colOff>
      <xdr:row>44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BEEA8010-ADB0-4F94-8590-BF8DDC0C1C6E}"/>
            </a:ext>
          </a:extLst>
        </xdr:cNvPr>
        <xdr:cNvSpPr txBox="1"/>
      </xdr:nvSpPr>
      <xdr:spPr>
        <a:xfrm>
          <a:off x="1693059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591CE69D-EE58-4031-9991-BA33AC31FE3E}"/>
            </a:ext>
          </a:extLst>
        </xdr:cNvPr>
        <xdr:cNvSpPr txBox="1"/>
      </xdr:nvSpPr>
      <xdr:spPr>
        <a:xfrm>
          <a:off x="3516257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47</xdr:row>
      <xdr:rowOff>0</xdr:rowOff>
    </xdr:from>
    <xdr:ext cx="2033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BA228DF6-2051-4BA6-BB44-1C742217BD36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4706</xdr:colOff>
      <xdr:row>44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79982BB5-2546-490D-A034-B1AC923492C0}"/>
            </a:ext>
          </a:extLst>
        </xdr:cNvPr>
        <xdr:cNvSpPr txBox="1"/>
      </xdr:nvSpPr>
      <xdr:spPr>
        <a:xfrm>
          <a:off x="1693059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4706</xdr:colOff>
      <xdr:row>45</xdr:row>
      <xdr:rowOff>0</xdr:rowOff>
    </xdr:from>
    <xdr:ext cx="190889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1BEB8330-23E8-4AC0-B571-142A51D53EEE}"/>
            </a:ext>
          </a:extLst>
        </xdr:cNvPr>
        <xdr:cNvSpPr txBox="1"/>
      </xdr:nvSpPr>
      <xdr:spPr>
        <a:xfrm>
          <a:off x="1607147" y="78777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158605FB-EB90-4AC6-B75C-C2940015E1FC}"/>
            </a:ext>
          </a:extLst>
        </xdr:cNvPr>
        <xdr:cNvSpPr txBox="1"/>
      </xdr:nvSpPr>
      <xdr:spPr>
        <a:xfrm>
          <a:off x="3516257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47</xdr:row>
      <xdr:rowOff>0</xdr:rowOff>
    </xdr:from>
    <xdr:ext cx="2033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E66DFE3E-0C2B-404A-B725-245B3FC765C7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48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17FD6CFC-A0CB-4022-A87B-0267474DAA0A}"/>
            </a:ext>
          </a:extLst>
        </xdr:cNvPr>
        <xdr:cNvSpPr txBox="1"/>
      </xdr:nvSpPr>
      <xdr:spPr>
        <a:xfrm>
          <a:off x="3516257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49</xdr:row>
      <xdr:rowOff>0</xdr:rowOff>
    </xdr:from>
    <xdr:ext cx="203301" cy="272341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A720E450-B8A4-4B9A-A998-410DF2BB7F00}"/>
            </a:ext>
          </a:extLst>
        </xdr:cNvPr>
        <xdr:cNvSpPr txBox="1"/>
      </xdr:nvSpPr>
      <xdr:spPr>
        <a:xfrm>
          <a:off x="22860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50</xdr:row>
      <xdr:rowOff>0</xdr:rowOff>
    </xdr:from>
    <xdr:ext cx="20330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5B1691DA-EAA7-4E5A-9D14-D9CDEA88C4B8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50</xdr:row>
      <xdr:rowOff>0</xdr:rowOff>
    </xdr:from>
    <xdr:ext cx="20330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F824C918-7B42-477E-A0DF-4F362AB5357F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51</xdr:row>
      <xdr:rowOff>0</xdr:rowOff>
    </xdr:from>
    <xdr:ext cx="203301" cy="27101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C8329171-8747-450E-BCD7-66B498D669AE}"/>
            </a:ext>
          </a:extLst>
        </xdr:cNvPr>
        <xdr:cNvSpPr txBox="1"/>
      </xdr:nvSpPr>
      <xdr:spPr>
        <a:xfrm>
          <a:off x="228600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549275</xdr:colOff>
      <xdr:row>43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1F50AB9F-7A2C-4E30-9B40-496A8D147E0C}"/>
            </a:ext>
          </a:extLst>
        </xdr:cNvPr>
        <xdr:cNvSpPr txBox="1"/>
      </xdr:nvSpPr>
      <xdr:spPr>
        <a:xfrm>
          <a:off x="2237628" y="748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549275</xdr:colOff>
      <xdr:row>44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306D5BF9-3F7F-4DBD-9AB2-E73933A429B3}"/>
            </a:ext>
          </a:extLst>
        </xdr:cNvPr>
        <xdr:cNvSpPr txBox="1"/>
      </xdr:nvSpPr>
      <xdr:spPr>
        <a:xfrm>
          <a:off x="2237628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784134A1-C606-4412-A943-2ECF24AD8DAB}"/>
            </a:ext>
          </a:extLst>
        </xdr:cNvPr>
        <xdr:cNvSpPr txBox="1"/>
      </xdr:nvSpPr>
      <xdr:spPr>
        <a:xfrm>
          <a:off x="3516257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47</xdr:row>
      <xdr:rowOff>0</xdr:rowOff>
    </xdr:from>
    <xdr:ext cx="20330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FAD27A1C-8E22-4BB7-9545-B7719F223B0F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549275</xdr:colOff>
      <xdr:row>44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838A46BC-2944-4E72-82E4-3A9C0E8E9852}"/>
            </a:ext>
          </a:extLst>
        </xdr:cNvPr>
        <xdr:cNvSpPr txBox="1"/>
      </xdr:nvSpPr>
      <xdr:spPr>
        <a:xfrm>
          <a:off x="2237628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411</xdr:colOff>
      <xdr:row>45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959CE638-63DD-4DF7-AA5A-D0E73D436CAE}"/>
            </a:ext>
          </a:extLst>
        </xdr:cNvPr>
        <xdr:cNvSpPr txBox="1"/>
      </xdr:nvSpPr>
      <xdr:spPr>
        <a:xfrm>
          <a:off x="2249058" y="787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D936CD14-305E-46DF-9BF0-57F23E5700FC}"/>
            </a:ext>
          </a:extLst>
        </xdr:cNvPr>
        <xdr:cNvSpPr txBox="1"/>
      </xdr:nvSpPr>
      <xdr:spPr>
        <a:xfrm>
          <a:off x="3516257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47</xdr:row>
      <xdr:rowOff>0</xdr:rowOff>
    </xdr:from>
    <xdr:ext cx="20330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C69D0482-0C76-4EA7-8E73-0A6540815D32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48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50A50DBD-28E0-46BA-9205-AA9695745FFC}"/>
            </a:ext>
          </a:extLst>
        </xdr:cNvPr>
        <xdr:cNvSpPr txBox="1"/>
      </xdr:nvSpPr>
      <xdr:spPr>
        <a:xfrm>
          <a:off x="3516257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49</xdr:row>
      <xdr:rowOff>0</xdr:rowOff>
    </xdr:from>
    <xdr:ext cx="203301" cy="272341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4A081008-3877-41DD-BFCD-FC40945F52A7}"/>
            </a:ext>
          </a:extLst>
        </xdr:cNvPr>
        <xdr:cNvSpPr txBox="1"/>
      </xdr:nvSpPr>
      <xdr:spPr>
        <a:xfrm>
          <a:off x="22860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50</xdr:row>
      <xdr:rowOff>0</xdr:rowOff>
    </xdr:from>
    <xdr:ext cx="20330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6109790B-5737-4CAC-ACB1-92304EDF4F3F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50</xdr:row>
      <xdr:rowOff>0</xdr:rowOff>
    </xdr:from>
    <xdr:ext cx="20330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17F5FD7A-0F15-4CB4-B64B-2CEA74A86EF9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51</xdr:row>
      <xdr:rowOff>0</xdr:rowOff>
    </xdr:from>
    <xdr:ext cx="203301" cy="271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D9E46ACF-2027-496E-A05B-D3ACA23CABC7}"/>
            </a:ext>
          </a:extLst>
        </xdr:cNvPr>
        <xdr:cNvSpPr txBox="1"/>
      </xdr:nvSpPr>
      <xdr:spPr>
        <a:xfrm>
          <a:off x="228600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43</xdr:row>
      <xdr:rowOff>0</xdr:rowOff>
    </xdr:from>
    <xdr:ext cx="20330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84B7D5C5-6C01-489C-9CFA-8C66EC320323}"/>
            </a:ext>
          </a:extLst>
        </xdr:cNvPr>
        <xdr:cNvSpPr txBox="1"/>
      </xdr:nvSpPr>
      <xdr:spPr>
        <a:xfrm>
          <a:off x="228600" y="555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44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AC4BB114-4B44-4AAE-9B42-981D9A56D059}"/>
            </a:ext>
          </a:extLst>
        </xdr:cNvPr>
        <xdr:cNvSpPr txBox="1"/>
      </xdr:nvSpPr>
      <xdr:spPr>
        <a:xfrm>
          <a:off x="3516257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46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8472F28B-7FC0-4FCA-BB3F-082AD7AC20DD}"/>
            </a:ext>
          </a:extLst>
        </xdr:cNvPr>
        <xdr:cNvSpPr txBox="1"/>
      </xdr:nvSpPr>
      <xdr:spPr>
        <a:xfrm>
          <a:off x="5926305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47</xdr:row>
      <xdr:rowOff>0</xdr:rowOff>
    </xdr:from>
    <xdr:ext cx="196948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27C4538D-365F-46CD-8007-45F3AE81B836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44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EEF12C8-2945-42BB-91A4-4B10A4E6F27C}"/>
            </a:ext>
          </a:extLst>
        </xdr:cNvPr>
        <xdr:cNvSpPr txBox="1"/>
      </xdr:nvSpPr>
      <xdr:spPr>
        <a:xfrm>
          <a:off x="3516257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12551</xdr:colOff>
      <xdr:row>45</xdr:row>
      <xdr:rowOff>0</xdr:rowOff>
    </xdr:from>
    <xdr:ext cx="197046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A06CB712-131A-44AF-8522-EDC3889C0996}"/>
            </a:ext>
          </a:extLst>
        </xdr:cNvPr>
        <xdr:cNvSpPr txBox="1"/>
      </xdr:nvSpPr>
      <xdr:spPr>
        <a:xfrm>
          <a:off x="3351904" y="78777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46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6BC3AE93-CAB7-4B86-B330-9B869E8548DE}"/>
            </a:ext>
          </a:extLst>
        </xdr:cNvPr>
        <xdr:cNvSpPr txBox="1"/>
      </xdr:nvSpPr>
      <xdr:spPr>
        <a:xfrm>
          <a:off x="5926305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47</xdr:row>
      <xdr:rowOff>0</xdr:rowOff>
    </xdr:from>
    <xdr:ext cx="196948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182331A6-BC0E-4955-94A9-4610FA1E48D9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48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3B9D179A-1688-4510-85BA-9AC3076B03C2}"/>
            </a:ext>
          </a:extLst>
        </xdr:cNvPr>
        <xdr:cNvSpPr txBox="1"/>
      </xdr:nvSpPr>
      <xdr:spPr>
        <a:xfrm>
          <a:off x="5926305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49</xdr:row>
      <xdr:rowOff>0</xdr:rowOff>
    </xdr:from>
    <xdr:ext cx="196948" cy="272341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BF64679B-51E5-4AD3-A157-7D06720F8D8C}"/>
            </a:ext>
          </a:extLst>
        </xdr:cNvPr>
        <xdr:cNvSpPr txBox="1"/>
      </xdr:nvSpPr>
      <xdr:spPr>
        <a:xfrm>
          <a:off x="22860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50</xdr:row>
      <xdr:rowOff>0</xdr:rowOff>
    </xdr:from>
    <xdr:ext cx="196948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89BC30B8-DCE6-4ED8-A30B-36FC0A3A72CC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50</xdr:row>
      <xdr:rowOff>0</xdr:rowOff>
    </xdr:from>
    <xdr:ext cx="196948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A3CB707D-B82D-4F0F-BDD7-2FC2961E97B3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51</xdr:row>
      <xdr:rowOff>0</xdr:rowOff>
    </xdr:from>
    <xdr:ext cx="196948" cy="27101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82ACF4BD-8B96-425A-8548-ED8043942535}"/>
            </a:ext>
          </a:extLst>
        </xdr:cNvPr>
        <xdr:cNvSpPr txBox="1"/>
      </xdr:nvSpPr>
      <xdr:spPr>
        <a:xfrm>
          <a:off x="228600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43</xdr:row>
      <xdr:rowOff>0</xdr:rowOff>
    </xdr:from>
    <xdr:ext cx="19110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9F2067F4-F400-4624-A12C-E301A82C42EF}"/>
            </a:ext>
          </a:extLst>
        </xdr:cNvPr>
        <xdr:cNvSpPr txBox="1"/>
      </xdr:nvSpPr>
      <xdr:spPr>
        <a:xfrm>
          <a:off x="228600" y="555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44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FFFC1EFB-6150-48A9-AC32-2E71F557FF54}"/>
            </a:ext>
          </a:extLst>
        </xdr:cNvPr>
        <xdr:cNvSpPr txBox="1"/>
      </xdr:nvSpPr>
      <xdr:spPr>
        <a:xfrm>
          <a:off x="4714165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46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7A82D0D2-02D8-42B2-803A-2F9C50BC30F3}"/>
            </a:ext>
          </a:extLst>
        </xdr:cNvPr>
        <xdr:cNvSpPr txBox="1"/>
      </xdr:nvSpPr>
      <xdr:spPr>
        <a:xfrm>
          <a:off x="4714165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47</xdr:row>
      <xdr:rowOff>0</xdr:rowOff>
    </xdr:from>
    <xdr:ext cx="19110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B9AD7CF0-38D4-4A91-944D-AD4104CD042F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44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53782127-4496-4E5D-91D8-42D73DD919FE}"/>
            </a:ext>
          </a:extLst>
        </xdr:cNvPr>
        <xdr:cNvSpPr txBox="1"/>
      </xdr:nvSpPr>
      <xdr:spPr>
        <a:xfrm>
          <a:off x="4714165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45</xdr:row>
      <xdr:rowOff>0</xdr:rowOff>
    </xdr:from>
    <xdr:ext cx="191101" cy="27400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B36A2923-AFB1-40E3-83BB-15D3F506260F}"/>
            </a:ext>
          </a:extLst>
        </xdr:cNvPr>
        <xdr:cNvSpPr txBox="1"/>
      </xdr:nvSpPr>
      <xdr:spPr>
        <a:xfrm>
          <a:off x="4626012" y="8041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46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DBA1A935-37EA-4C91-9A86-895AF2D11E9D}"/>
            </a:ext>
          </a:extLst>
        </xdr:cNvPr>
        <xdr:cNvSpPr txBox="1"/>
      </xdr:nvSpPr>
      <xdr:spPr>
        <a:xfrm>
          <a:off x="4714165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47</xdr:row>
      <xdr:rowOff>0</xdr:rowOff>
    </xdr:from>
    <xdr:ext cx="19110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92130D81-D479-4265-AE77-6EB4125A765D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48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F962FE05-4D56-40E7-B3FE-BF1BB58E17FF}"/>
            </a:ext>
          </a:extLst>
        </xdr:cNvPr>
        <xdr:cNvSpPr txBox="1"/>
      </xdr:nvSpPr>
      <xdr:spPr>
        <a:xfrm>
          <a:off x="4714165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49</xdr:row>
      <xdr:rowOff>0</xdr:rowOff>
    </xdr:from>
    <xdr:ext cx="191101" cy="272341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1054EC3D-605F-403E-BEFA-99EAE8FF6EEA}"/>
            </a:ext>
          </a:extLst>
        </xdr:cNvPr>
        <xdr:cNvSpPr txBox="1"/>
      </xdr:nvSpPr>
      <xdr:spPr>
        <a:xfrm>
          <a:off x="22860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50</xdr:row>
      <xdr:rowOff>0</xdr:rowOff>
    </xdr:from>
    <xdr:ext cx="19110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B236FDAD-FC50-4E12-852B-844F6044EDD6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50</xdr:row>
      <xdr:rowOff>0</xdr:rowOff>
    </xdr:from>
    <xdr:ext cx="19110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77D48227-DEFB-43D4-9BD1-E652B1140536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224</xdr:colOff>
      <xdr:row>51</xdr:row>
      <xdr:rowOff>0</xdr:rowOff>
    </xdr:from>
    <xdr:ext cx="191101" cy="27101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3F47E1BB-C739-40D8-B875-B010D71BE973}"/>
            </a:ext>
          </a:extLst>
        </xdr:cNvPr>
        <xdr:cNvSpPr txBox="1"/>
      </xdr:nvSpPr>
      <xdr:spPr>
        <a:xfrm>
          <a:off x="228600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43</xdr:row>
      <xdr:rowOff>0</xdr:rowOff>
    </xdr:from>
    <xdr:ext cx="196948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3AEBFF55-5112-4E56-AA0F-1E98FA14F5F2}"/>
            </a:ext>
          </a:extLst>
        </xdr:cNvPr>
        <xdr:cNvSpPr txBox="1"/>
      </xdr:nvSpPr>
      <xdr:spPr>
        <a:xfrm>
          <a:off x="228600" y="555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44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853074FE-8AA2-4ECB-9DAA-CCA4A53E9A5D}"/>
            </a:ext>
          </a:extLst>
        </xdr:cNvPr>
        <xdr:cNvSpPr txBox="1"/>
      </xdr:nvSpPr>
      <xdr:spPr>
        <a:xfrm>
          <a:off x="5926305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46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5F0CEDE2-6AFA-40B3-9579-C25698F13830}"/>
            </a:ext>
          </a:extLst>
        </xdr:cNvPr>
        <xdr:cNvSpPr txBox="1"/>
      </xdr:nvSpPr>
      <xdr:spPr>
        <a:xfrm>
          <a:off x="5926305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47</xdr:row>
      <xdr:rowOff>0</xdr:rowOff>
    </xdr:from>
    <xdr:ext cx="196948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EDEAE1C2-C608-4BB9-86DE-D9F8E3E82D5C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44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DFF8AD07-059B-499F-AA88-4AC1BDF7D8BC}"/>
            </a:ext>
          </a:extLst>
        </xdr:cNvPr>
        <xdr:cNvSpPr txBox="1"/>
      </xdr:nvSpPr>
      <xdr:spPr>
        <a:xfrm>
          <a:off x="5926305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45</xdr:row>
      <xdr:rowOff>0</xdr:rowOff>
    </xdr:from>
    <xdr:ext cx="190889" cy="27400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B0A38653-E240-4FEC-B0E6-FC8C211E18F1}"/>
            </a:ext>
          </a:extLst>
        </xdr:cNvPr>
        <xdr:cNvSpPr txBox="1"/>
      </xdr:nvSpPr>
      <xdr:spPr>
        <a:xfrm>
          <a:off x="5810698" y="8041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46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E746C0B1-C620-4D78-B4D3-D967DD6BB283}"/>
            </a:ext>
          </a:extLst>
        </xdr:cNvPr>
        <xdr:cNvSpPr txBox="1"/>
      </xdr:nvSpPr>
      <xdr:spPr>
        <a:xfrm>
          <a:off x="5926305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47</xdr:row>
      <xdr:rowOff>0</xdr:rowOff>
    </xdr:from>
    <xdr:ext cx="196948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6EE10683-2845-4294-9297-F86B7BCE776F}"/>
            </a:ext>
          </a:extLst>
        </xdr:cNvPr>
        <xdr:cNvSpPr txBox="1"/>
      </xdr:nvSpPr>
      <xdr:spPr>
        <a:xfrm>
          <a:off x="228600" y="638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48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8C400972-9495-4B6E-9230-56DE46CF234A}"/>
            </a:ext>
          </a:extLst>
        </xdr:cNvPr>
        <xdr:cNvSpPr txBox="1"/>
      </xdr:nvSpPr>
      <xdr:spPr>
        <a:xfrm>
          <a:off x="5926305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49</xdr:row>
      <xdr:rowOff>0</xdr:rowOff>
    </xdr:from>
    <xdr:ext cx="196948" cy="272341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1E53D434-485F-4E4F-B3E1-7ABED8DAAF28}"/>
            </a:ext>
          </a:extLst>
        </xdr:cNvPr>
        <xdr:cNvSpPr txBox="1"/>
      </xdr:nvSpPr>
      <xdr:spPr>
        <a:xfrm>
          <a:off x="22860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50</xdr:row>
      <xdr:rowOff>0</xdr:rowOff>
    </xdr:from>
    <xdr:ext cx="196948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3AF0291B-D105-44FE-A40E-F47FBEA87B0B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50</xdr:row>
      <xdr:rowOff>0</xdr:rowOff>
    </xdr:from>
    <xdr:ext cx="196948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272CB311-ABDE-41F8-AAE9-3E05CD3B074E}"/>
            </a:ext>
          </a:extLst>
        </xdr:cNvPr>
        <xdr:cNvSpPr txBox="1"/>
      </xdr:nvSpPr>
      <xdr:spPr>
        <a:xfrm>
          <a:off x="228600" y="709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2129</xdr:colOff>
      <xdr:row>51</xdr:row>
      <xdr:rowOff>0</xdr:rowOff>
    </xdr:from>
    <xdr:ext cx="196948" cy="27101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18536307-B1C2-4D71-B1A5-C76F9A97EEBE}"/>
            </a:ext>
          </a:extLst>
        </xdr:cNvPr>
        <xdr:cNvSpPr txBox="1"/>
      </xdr:nvSpPr>
      <xdr:spPr>
        <a:xfrm>
          <a:off x="228600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43</xdr:row>
      <xdr:rowOff>0</xdr:rowOff>
    </xdr:from>
    <xdr:ext cx="197926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425D4EDF-6095-4639-ABBB-ADBFB9F1679E}"/>
            </a:ext>
          </a:extLst>
        </xdr:cNvPr>
        <xdr:cNvSpPr txBox="1"/>
      </xdr:nvSpPr>
      <xdr:spPr>
        <a:xfrm>
          <a:off x="7010624" y="765585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44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D167845F-9012-4D81-8509-CADB7C10FB44}"/>
            </a:ext>
          </a:extLst>
        </xdr:cNvPr>
        <xdr:cNvSpPr txBox="1"/>
      </xdr:nvSpPr>
      <xdr:spPr>
        <a:xfrm>
          <a:off x="7134636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46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5EFFEAD4-80EC-4606-B9FE-D76FFB359AFF}"/>
            </a:ext>
          </a:extLst>
        </xdr:cNvPr>
        <xdr:cNvSpPr txBox="1"/>
      </xdr:nvSpPr>
      <xdr:spPr>
        <a:xfrm>
          <a:off x="7134636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47</xdr:row>
      <xdr:rowOff>0</xdr:rowOff>
    </xdr:from>
    <xdr:ext cx="197926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D4622FAA-2264-4B13-BFAD-14205FCBA27F}"/>
            </a:ext>
          </a:extLst>
        </xdr:cNvPr>
        <xdr:cNvSpPr txBox="1"/>
      </xdr:nvSpPr>
      <xdr:spPr>
        <a:xfrm>
          <a:off x="7010624" y="84716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44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22D7EFEC-8E7C-4B8D-A2FE-B9BB9D124F81}"/>
            </a:ext>
          </a:extLst>
        </xdr:cNvPr>
        <xdr:cNvSpPr txBox="1"/>
      </xdr:nvSpPr>
      <xdr:spPr>
        <a:xfrm>
          <a:off x="7134636" y="767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45</xdr:row>
      <xdr:rowOff>0</xdr:rowOff>
    </xdr:from>
    <xdr:ext cx="197926" cy="27400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3D916F33-34C5-49F3-AB4D-49FC971393FA}"/>
            </a:ext>
          </a:extLst>
        </xdr:cNvPr>
        <xdr:cNvSpPr txBox="1"/>
      </xdr:nvSpPr>
      <xdr:spPr>
        <a:xfrm>
          <a:off x="7010624" y="8041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46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626C9C66-5107-4A49-97A8-BF5F496FCF20}"/>
            </a:ext>
          </a:extLst>
        </xdr:cNvPr>
        <xdr:cNvSpPr txBox="1"/>
      </xdr:nvSpPr>
      <xdr:spPr>
        <a:xfrm>
          <a:off x="7134636" y="8068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47</xdr:row>
      <xdr:rowOff>0</xdr:rowOff>
    </xdr:from>
    <xdr:ext cx="197926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A6763A37-A802-4A16-943A-086FD689F65B}"/>
            </a:ext>
          </a:extLst>
        </xdr:cNvPr>
        <xdr:cNvSpPr txBox="1"/>
      </xdr:nvSpPr>
      <xdr:spPr>
        <a:xfrm>
          <a:off x="7010624" y="84716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48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E4CCA043-8124-4DD6-B206-EC71E62A18A2}"/>
            </a:ext>
          </a:extLst>
        </xdr:cNvPr>
        <xdr:cNvSpPr txBox="1"/>
      </xdr:nvSpPr>
      <xdr:spPr>
        <a:xfrm>
          <a:off x="7134636" y="8531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49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CFCF2C39-2881-4147-B515-74E45D016D3A}"/>
            </a:ext>
          </a:extLst>
        </xdr:cNvPr>
        <xdr:cNvSpPr txBox="1"/>
      </xdr:nvSpPr>
      <xdr:spPr>
        <a:xfrm>
          <a:off x="7134636" y="876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50</xdr:row>
      <xdr:rowOff>0</xdr:rowOff>
    </xdr:from>
    <xdr:ext cx="197926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856FDE1E-B99A-41BB-8D4F-66A378AE37CD}"/>
            </a:ext>
          </a:extLst>
        </xdr:cNvPr>
        <xdr:cNvSpPr txBox="1"/>
      </xdr:nvSpPr>
      <xdr:spPr>
        <a:xfrm>
          <a:off x="7010624" y="9170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50</xdr:row>
      <xdr:rowOff>0</xdr:rowOff>
    </xdr:from>
    <xdr:ext cx="197926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299D97CA-6181-4334-B197-A90B2C0F859E}"/>
            </a:ext>
          </a:extLst>
        </xdr:cNvPr>
        <xdr:cNvSpPr txBox="1"/>
      </xdr:nvSpPr>
      <xdr:spPr>
        <a:xfrm>
          <a:off x="7010624" y="9170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224</xdr:colOff>
      <xdr:row>51</xdr:row>
      <xdr:rowOff>0</xdr:rowOff>
    </xdr:from>
    <xdr:ext cx="197926" cy="27101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A19F060E-C03D-473B-B0A8-7EAD01816178}"/>
            </a:ext>
          </a:extLst>
        </xdr:cNvPr>
        <xdr:cNvSpPr txBox="1"/>
      </xdr:nvSpPr>
      <xdr:spPr>
        <a:xfrm>
          <a:off x="7010624" y="94039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62</xdr:row>
      <xdr:rowOff>0</xdr:rowOff>
    </xdr:from>
    <xdr:ext cx="19110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F8F40090-8BEF-45CF-A051-FD89B9D81C4A}"/>
            </a:ext>
          </a:extLst>
        </xdr:cNvPr>
        <xdr:cNvSpPr txBox="1"/>
      </xdr:nvSpPr>
      <xdr:spPr>
        <a:xfrm>
          <a:off x="55245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66</xdr:row>
      <xdr:rowOff>81280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BF9977FE-1337-4698-A385-5E75728CBB7C}"/>
            </a:ext>
          </a:extLst>
        </xdr:cNvPr>
        <xdr:cNvSpPr txBox="1"/>
      </xdr:nvSpPr>
      <xdr:spPr>
        <a:xfrm>
          <a:off x="2467610" y="120637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63</xdr:row>
      <xdr:rowOff>0</xdr:rowOff>
    </xdr:from>
    <xdr:ext cx="19110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DD75DFBD-57A5-4F59-A7F4-26903806B473}"/>
            </a:ext>
          </a:extLst>
        </xdr:cNvPr>
        <xdr:cNvSpPr txBox="1"/>
      </xdr:nvSpPr>
      <xdr:spPr>
        <a:xfrm>
          <a:off x="323850" y="541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DBB2EC47-3FFB-4C45-82C8-9FA8F5B47F82}"/>
            </a:ext>
          </a:extLst>
        </xdr:cNvPr>
        <xdr:cNvSpPr txBox="1"/>
      </xdr:nvSpPr>
      <xdr:spPr>
        <a:xfrm>
          <a:off x="323850" y="541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19110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E7983E30-F937-4D5E-BA09-72350160EF4C}"/>
            </a:ext>
          </a:extLst>
        </xdr:cNvPr>
        <xdr:cNvSpPr txBox="1"/>
      </xdr:nvSpPr>
      <xdr:spPr>
        <a:xfrm>
          <a:off x="323850" y="541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62</xdr:row>
      <xdr:rowOff>0</xdr:rowOff>
    </xdr:from>
    <xdr:ext cx="19110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F4033835-AAA5-4B34-A7C3-AE3FA3FB6411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62</xdr:row>
      <xdr:rowOff>0</xdr:rowOff>
    </xdr:from>
    <xdr:ext cx="19110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34CD23B1-46C7-4646-93DB-5CFA88D71194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9110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888C1CD4-BA65-4A54-AAB4-58AC04308449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63</xdr:row>
      <xdr:rowOff>0</xdr:rowOff>
    </xdr:from>
    <xdr:ext cx="19110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3A6084EA-7553-45C9-AAEB-CC4F5D444C26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63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449D30F4-8A2C-46D3-A024-62D707FBCC2C}"/>
            </a:ext>
          </a:extLst>
        </xdr:cNvPr>
        <xdr:cNvSpPr txBox="1"/>
      </xdr:nvSpPr>
      <xdr:spPr>
        <a:xfrm>
          <a:off x="179070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63</xdr:row>
      <xdr:rowOff>0</xdr:rowOff>
    </xdr:from>
    <xdr:ext cx="19110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693923AB-11FE-4CFA-AD70-42F1EC9D46E8}"/>
            </a:ext>
          </a:extLst>
        </xdr:cNvPr>
        <xdr:cNvSpPr txBox="1"/>
      </xdr:nvSpPr>
      <xdr:spPr>
        <a:xfrm>
          <a:off x="235267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DCD01C28-7552-4E55-9DCC-052DD5A15A84}"/>
            </a:ext>
          </a:extLst>
        </xdr:cNvPr>
        <xdr:cNvSpPr txBox="1"/>
      </xdr:nvSpPr>
      <xdr:spPr>
        <a:xfrm>
          <a:off x="496252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3DBC2063-A0BE-4F21-B822-18E007F0647E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B1C342F6-7661-45A6-BCB4-8994003BBF3C}"/>
            </a:ext>
          </a:extLst>
        </xdr:cNvPr>
        <xdr:cNvSpPr txBox="1"/>
      </xdr:nvSpPr>
      <xdr:spPr>
        <a:xfrm>
          <a:off x="179070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64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13DE177D-AB43-4DD9-96F5-78B897511BFF}"/>
            </a:ext>
          </a:extLst>
        </xdr:cNvPr>
        <xdr:cNvSpPr txBox="1"/>
      </xdr:nvSpPr>
      <xdr:spPr>
        <a:xfrm>
          <a:off x="235267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957FC827-FF79-4185-8E0C-2D7D40BB8B92}"/>
            </a:ext>
          </a:extLst>
        </xdr:cNvPr>
        <xdr:cNvSpPr txBox="1"/>
      </xdr:nvSpPr>
      <xdr:spPr>
        <a:xfrm>
          <a:off x="496252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94DCC38B-C83D-4269-B66F-135CA620CCF9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441489CA-4390-4871-942E-60013212AB9E}"/>
            </a:ext>
          </a:extLst>
        </xdr:cNvPr>
        <xdr:cNvSpPr txBox="1"/>
      </xdr:nvSpPr>
      <xdr:spPr>
        <a:xfrm>
          <a:off x="179070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EEA09A2-6264-46D7-84F9-6B7830159329}"/>
            </a:ext>
          </a:extLst>
        </xdr:cNvPr>
        <xdr:cNvSpPr txBox="1"/>
      </xdr:nvSpPr>
      <xdr:spPr>
        <a:xfrm>
          <a:off x="235267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65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E9C5E135-4761-4894-84BE-9F9FDB2E3AD8}"/>
            </a:ext>
          </a:extLst>
        </xdr:cNvPr>
        <xdr:cNvSpPr txBox="1"/>
      </xdr:nvSpPr>
      <xdr:spPr>
        <a:xfrm>
          <a:off x="496252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3762B43B-03BC-4746-A1D9-78DD44B6F891}"/>
            </a:ext>
          </a:extLst>
        </xdr:cNvPr>
        <xdr:cNvSpPr txBox="1"/>
      </xdr:nvSpPr>
      <xdr:spPr>
        <a:xfrm>
          <a:off x="32385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A53CA37A-5CCC-403B-8C03-3FBEF2578035}"/>
            </a:ext>
          </a:extLst>
        </xdr:cNvPr>
        <xdr:cNvSpPr txBox="1"/>
      </xdr:nvSpPr>
      <xdr:spPr>
        <a:xfrm>
          <a:off x="1790700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413C6341-D826-43A9-AE89-3AEE7C2E8971}"/>
            </a:ext>
          </a:extLst>
        </xdr:cNvPr>
        <xdr:cNvSpPr txBox="1"/>
      </xdr:nvSpPr>
      <xdr:spPr>
        <a:xfrm>
          <a:off x="235267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69170545-D6DA-450F-9C66-3512880C865C}"/>
            </a:ext>
          </a:extLst>
        </xdr:cNvPr>
        <xdr:cNvSpPr txBox="1"/>
      </xdr:nvSpPr>
      <xdr:spPr>
        <a:xfrm>
          <a:off x="4962525" y="54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67</xdr:row>
      <xdr:rowOff>81280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89DC4A7B-A8C5-4E95-AB45-4FFA799989E4}"/>
            </a:ext>
          </a:extLst>
        </xdr:cNvPr>
        <xdr:cNvSpPr txBox="1"/>
      </xdr:nvSpPr>
      <xdr:spPr>
        <a:xfrm>
          <a:off x="2467610" y="122478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19110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DBED4F1F-2F02-4C99-89CD-C0A5D9F536D4}"/>
            </a:ext>
          </a:extLst>
        </xdr:cNvPr>
        <xdr:cNvSpPr txBox="1"/>
      </xdr:nvSpPr>
      <xdr:spPr>
        <a:xfrm>
          <a:off x="32385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67</xdr:row>
      <xdr:rowOff>0</xdr:rowOff>
    </xdr:from>
    <xdr:ext cx="19110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7C2F60E7-FA8C-412E-8ACA-E177E82B9C93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19110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A97136CD-ABD5-4107-BA7B-10C0F28E4C3D}"/>
            </a:ext>
          </a:extLst>
        </xdr:cNvPr>
        <xdr:cNvSpPr txBox="1"/>
      </xdr:nvSpPr>
      <xdr:spPr>
        <a:xfrm>
          <a:off x="32385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9110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E75F01D4-7F45-4450-9D01-E25C8494E2B5}"/>
            </a:ext>
          </a:extLst>
        </xdr:cNvPr>
        <xdr:cNvSpPr txBox="1"/>
      </xdr:nvSpPr>
      <xdr:spPr>
        <a:xfrm>
          <a:off x="179070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9110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1B262CA-CCA9-4844-AAB3-ED7014032AAB}"/>
            </a:ext>
          </a:extLst>
        </xdr:cNvPr>
        <xdr:cNvSpPr txBox="1"/>
      </xdr:nvSpPr>
      <xdr:spPr>
        <a:xfrm>
          <a:off x="2352675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9110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11EFCB4A-7556-4764-941B-3D544EAA3A76}"/>
            </a:ext>
          </a:extLst>
        </xdr:cNvPr>
        <xdr:cNvSpPr txBox="1"/>
      </xdr:nvSpPr>
      <xdr:spPr>
        <a:xfrm>
          <a:off x="4962525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67</xdr:row>
      <xdr:rowOff>0</xdr:rowOff>
    </xdr:from>
    <xdr:ext cx="19110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209DA3C1-651E-4A37-B995-7BBABFC3B555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9110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A31A984F-5EDB-443C-8D59-6F890B047CFD}"/>
            </a:ext>
          </a:extLst>
        </xdr:cNvPr>
        <xdr:cNvSpPr txBox="1"/>
      </xdr:nvSpPr>
      <xdr:spPr>
        <a:xfrm>
          <a:off x="179070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9110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4CAF64BB-5726-495D-88D7-AED33F4C1689}"/>
            </a:ext>
          </a:extLst>
        </xdr:cNvPr>
        <xdr:cNvSpPr txBox="1"/>
      </xdr:nvSpPr>
      <xdr:spPr>
        <a:xfrm>
          <a:off x="235267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9110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DBDAF5D0-C2FA-4DB4-9519-1C5DA060FB29}"/>
            </a:ext>
          </a:extLst>
        </xdr:cNvPr>
        <xdr:cNvSpPr txBox="1"/>
      </xdr:nvSpPr>
      <xdr:spPr>
        <a:xfrm>
          <a:off x="496252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68</xdr:row>
      <xdr:rowOff>81280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17AD35-0379-4DC9-A92A-A46EFC52B456}"/>
            </a:ext>
          </a:extLst>
        </xdr:cNvPr>
        <xdr:cNvSpPr txBox="1"/>
      </xdr:nvSpPr>
      <xdr:spPr>
        <a:xfrm>
          <a:off x="2467610" y="12432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67</xdr:row>
      <xdr:rowOff>0</xdr:rowOff>
    </xdr:from>
    <xdr:ext cx="19110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36235150-6086-421B-B1B3-2493C818D932}"/>
            </a:ext>
          </a:extLst>
        </xdr:cNvPr>
        <xdr:cNvSpPr txBox="1"/>
      </xdr:nvSpPr>
      <xdr:spPr>
        <a:xfrm>
          <a:off x="32385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19110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3A617C92-1784-429D-AFE6-B342CD05456D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67</xdr:row>
      <xdr:rowOff>0</xdr:rowOff>
    </xdr:from>
    <xdr:ext cx="19110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6DAF4FAA-34EA-4E05-8DC7-917C29364D2E}"/>
            </a:ext>
          </a:extLst>
        </xdr:cNvPr>
        <xdr:cNvSpPr txBox="1"/>
      </xdr:nvSpPr>
      <xdr:spPr>
        <a:xfrm>
          <a:off x="32385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9110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F5A9310C-7791-460D-B31C-8499C597F9F4}"/>
            </a:ext>
          </a:extLst>
        </xdr:cNvPr>
        <xdr:cNvSpPr txBox="1"/>
      </xdr:nvSpPr>
      <xdr:spPr>
        <a:xfrm>
          <a:off x="179070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9110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7437B940-B640-4744-90B5-60D26D35B4E8}"/>
            </a:ext>
          </a:extLst>
        </xdr:cNvPr>
        <xdr:cNvSpPr txBox="1"/>
      </xdr:nvSpPr>
      <xdr:spPr>
        <a:xfrm>
          <a:off x="2352675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9110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403752EE-E868-460E-87D3-C716B0724B9B}"/>
            </a:ext>
          </a:extLst>
        </xdr:cNvPr>
        <xdr:cNvSpPr txBox="1"/>
      </xdr:nvSpPr>
      <xdr:spPr>
        <a:xfrm>
          <a:off x="4962525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19110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8B216A0A-E01D-4A90-B48D-69A74DAC853C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C1549177-D14F-4662-BC33-267E13E2E69E}"/>
            </a:ext>
          </a:extLst>
        </xdr:cNvPr>
        <xdr:cNvSpPr txBox="1"/>
      </xdr:nvSpPr>
      <xdr:spPr>
        <a:xfrm>
          <a:off x="179070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FFDC5D87-9C23-43B2-9776-A286E2AB070F}"/>
            </a:ext>
          </a:extLst>
        </xdr:cNvPr>
        <xdr:cNvSpPr txBox="1"/>
      </xdr:nvSpPr>
      <xdr:spPr>
        <a:xfrm>
          <a:off x="235267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9110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82D18215-6090-4BBB-8623-576ADAB0ABF2}"/>
            </a:ext>
          </a:extLst>
        </xdr:cNvPr>
        <xdr:cNvSpPr txBox="1"/>
      </xdr:nvSpPr>
      <xdr:spPr>
        <a:xfrm>
          <a:off x="496252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19110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9652CF80-1817-45F0-91A5-42015786BD59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19110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E8CD7DEC-FE19-4857-A24C-BB333D7E1CAE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DFEBEF6D-DB2C-4D58-A49A-6303EFED8E5F}"/>
            </a:ext>
          </a:extLst>
        </xdr:cNvPr>
        <xdr:cNvSpPr txBox="1"/>
      </xdr:nvSpPr>
      <xdr:spPr>
        <a:xfrm>
          <a:off x="179070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31E16346-AE8B-4ED3-96A0-DCB5750C20EB}"/>
            </a:ext>
          </a:extLst>
        </xdr:cNvPr>
        <xdr:cNvSpPr txBox="1"/>
      </xdr:nvSpPr>
      <xdr:spPr>
        <a:xfrm>
          <a:off x="235267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9110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7304E770-E154-4487-9CA7-0509488C7FFF}"/>
            </a:ext>
          </a:extLst>
        </xdr:cNvPr>
        <xdr:cNvSpPr txBox="1"/>
      </xdr:nvSpPr>
      <xdr:spPr>
        <a:xfrm>
          <a:off x="496252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69</xdr:row>
      <xdr:rowOff>81280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4A835622-95E8-4114-BDDB-B136CAC531EC}"/>
            </a:ext>
          </a:extLst>
        </xdr:cNvPr>
        <xdr:cNvSpPr txBox="1"/>
      </xdr:nvSpPr>
      <xdr:spPr>
        <a:xfrm>
          <a:off x="2467610" y="12616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19110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79ED891D-CE42-4B28-804B-3273AD6C570B}"/>
            </a:ext>
          </a:extLst>
        </xdr:cNvPr>
        <xdr:cNvSpPr txBox="1"/>
      </xdr:nvSpPr>
      <xdr:spPr>
        <a:xfrm>
          <a:off x="32385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69</xdr:row>
      <xdr:rowOff>0</xdr:rowOff>
    </xdr:from>
    <xdr:ext cx="19110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8DCDC04E-42ED-47E0-9DA4-C8D1DF9FEB06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19110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9ECC0330-78A0-4E2C-A162-69DA77F14575}"/>
            </a:ext>
          </a:extLst>
        </xdr:cNvPr>
        <xdr:cNvSpPr txBox="1"/>
      </xdr:nvSpPr>
      <xdr:spPr>
        <a:xfrm>
          <a:off x="32385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E5049CFE-5D74-41B0-A2A5-95BABCDC5BD9}"/>
            </a:ext>
          </a:extLst>
        </xdr:cNvPr>
        <xdr:cNvSpPr txBox="1"/>
      </xdr:nvSpPr>
      <xdr:spPr>
        <a:xfrm>
          <a:off x="1790700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A319EE67-5984-4FE9-ADCF-1381D9AE3998}"/>
            </a:ext>
          </a:extLst>
        </xdr:cNvPr>
        <xdr:cNvSpPr txBox="1"/>
      </xdr:nvSpPr>
      <xdr:spPr>
        <a:xfrm>
          <a:off x="2352675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9110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6367C488-B569-49D0-BD66-867DFEAF6DB9}"/>
            </a:ext>
          </a:extLst>
        </xdr:cNvPr>
        <xdr:cNvSpPr txBox="1"/>
      </xdr:nvSpPr>
      <xdr:spPr>
        <a:xfrm>
          <a:off x="4962525" y="602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69</xdr:row>
      <xdr:rowOff>0</xdr:rowOff>
    </xdr:from>
    <xdr:ext cx="19110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1D85D203-0027-43E6-A4EF-21A11F462A11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9110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44D817A6-6FC6-4A6F-B51B-06D073440B82}"/>
            </a:ext>
          </a:extLst>
        </xdr:cNvPr>
        <xdr:cNvSpPr txBox="1"/>
      </xdr:nvSpPr>
      <xdr:spPr>
        <a:xfrm>
          <a:off x="179070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9110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56BDA8DD-5773-402F-8522-EAE1113A92EA}"/>
            </a:ext>
          </a:extLst>
        </xdr:cNvPr>
        <xdr:cNvSpPr txBox="1"/>
      </xdr:nvSpPr>
      <xdr:spPr>
        <a:xfrm>
          <a:off x="235267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19110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E3C1A149-1FCB-4721-83F9-98EE0B129302}"/>
            </a:ext>
          </a:extLst>
        </xdr:cNvPr>
        <xdr:cNvSpPr txBox="1"/>
      </xdr:nvSpPr>
      <xdr:spPr>
        <a:xfrm>
          <a:off x="496252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69</xdr:row>
      <xdr:rowOff>0</xdr:rowOff>
    </xdr:from>
    <xdr:ext cx="19110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ED35B19C-3A9C-41AB-817C-0155C876DEFF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69</xdr:row>
      <xdr:rowOff>0</xdr:rowOff>
    </xdr:from>
    <xdr:ext cx="19110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902868F3-3CFE-4193-AA79-3833D15210C5}"/>
            </a:ext>
          </a:extLst>
        </xdr:cNvPr>
        <xdr:cNvSpPr txBox="1"/>
      </xdr:nvSpPr>
      <xdr:spPr>
        <a:xfrm>
          <a:off x="32385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9110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44B12D15-4D38-4D39-94B0-853D26112F17}"/>
            </a:ext>
          </a:extLst>
        </xdr:cNvPr>
        <xdr:cNvSpPr txBox="1"/>
      </xdr:nvSpPr>
      <xdr:spPr>
        <a:xfrm>
          <a:off x="1790700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9110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D2164180-2546-40F2-9529-31B8377313D6}"/>
            </a:ext>
          </a:extLst>
        </xdr:cNvPr>
        <xdr:cNvSpPr txBox="1"/>
      </xdr:nvSpPr>
      <xdr:spPr>
        <a:xfrm>
          <a:off x="235267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19110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DC820CF8-ED5E-4061-9D2F-7135DA4BDDFD}"/>
            </a:ext>
          </a:extLst>
        </xdr:cNvPr>
        <xdr:cNvSpPr txBox="1"/>
      </xdr:nvSpPr>
      <xdr:spPr>
        <a:xfrm>
          <a:off x="4962525" y="6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</xdr:colOff>
      <xdr:row>63</xdr:row>
      <xdr:rowOff>0</xdr:rowOff>
    </xdr:from>
    <xdr:ext cx="190889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2E100FCE-3C08-405E-A422-883B8D62CE1C}"/>
            </a:ext>
          </a:extLst>
        </xdr:cNvPr>
        <xdr:cNvSpPr txBox="1"/>
      </xdr:nvSpPr>
      <xdr:spPr>
        <a:xfrm>
          <a:off x="27813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1112520</xdr:colOff>
      <xdr:row>66</xdr:row>
      <xdr:rowOff>81280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A097DC16-3CB7-49B6-81DD-EA51739737A7}"/>
            </a:ext>
          </a:extLst>
        </xdr:cNvPr>
        <xdr:cNvSpPr txBox="1"/>
      </xdr:nvSpPr>
      <xdr:spPr>
        <a:xfrm>
          <a:off x="3042920" y="127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64</xdr:row>
      <xdr:rowOff>0</xdr:rowOff>
    </xdr:from>
    <xdr:ext cx="190889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FFD1DCA-8744-4481-A5C6-DF987A17CF9D}"/>
            </a:ext>
          </a:extLst>
        </xdr:cNvPr>
        <xdr:cNvSpPr txBox="1"/>
      </xdr:nvSpPr>
      <xdr:spPr>
        <a:xfrm>
          <a:off x="27813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65</xdr:row>
      <xdr:rowOff>0</xdr:rowOff>
    </xdr:from>
    <xdr:ext cx="190889" cy="26778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B9C8BFA-50A0-4422-A538-0FEC0291AA5E}"/>
            </a:ext>
          </a:extLst>
        </xdr:cNvPr>
        <xdr:cNvSpPr txBox="1"/>
      </xdr:nvSpPr>
      <xdr:spPr>
        <a:xfrm>
          <a:off x="27813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CC5C6B5F-B2B6-4B08-8826-E68C9919C0E3}"/>
            </a:ext>
          </a:extLst>
        </xdr:cNvPr>
        <xdr:cNvSpPr txBox="1"/>
      </xdr:nvSpPr>
      <xdr:spPr>
        <a:xfrm>
          <a:off x="29400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64</xdr:row>
      <xdr:rowOff>0</xdr:rowOff>
    </xdr:from>
    <xdr:ext cx="190889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6DFAB478-3215-43D5-B87A-D4CF687F6464}"/>
            </a:ext>
          </a:extLst>
        </xdr:cNvPr>
        <xdr:cNvSpPr txBox="1"/>
      </xdr:nvSpPr>
      <xdr:spPr>
        <a:xfrm>
          <a:off x="27813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65</xdr:row>
      <xdr:rowOff>0</xdr:rowOff>
    </xdr:from>
    <xdr:ext cx="190889" cy="26778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2E5FEA1A-94B0-4E84-B101-9F0E69ED8447}"/>
            </a:ext>
          </a:extLst>
        </xdr:cNvPr>
        <xdr:cNvSpPr txBox="1"/>
      </xdr:nvSpPr>
      <xdr:spPr>
        <a:xfrm>
          <a:off x="27813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86CE34E7-0756-45FF-8819-FAC09D38C080}"/>
            </a:ext>
          </a:extLst>
        </xdr:cNvPr>
        <xdr:cNvSpPr txBox="1"/>
      </xdr:nvSpPr>
      <xdr:spPr>
        <a:xfrm>
          <a:off x="29400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1112520</xdr:colOff>
      <xdr:row>67</xdr:row>
      <xdr:rowOff>81280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8DCA2C73-8007-4992-B796-9D90F66AB992}"/>
            </a:ext>
          </a:extLst>
        </xdr:cNvPr>
        <xdr:cNvSpPr txBox="1"/>
      </xdr:nvSpPr>
      <xdr:spPr>
        <a:xfrm>
          <a:off x="3042920" y="12946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75AAE452-B755-43A8-AC35-5DA43FD35728}"/>
            </a:ext>
          </a:extLst>
        </xdr:cNvPr>
        <xdr:cNvSpPr txBox="1"/>
      </xdr:nvSpPr>
      <xdr:spPr>
        <a:xfrm>
          <a:off x="29400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67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5B624B5D-613E-4E3E-9CBC-8EDD7F28E961}"/>
            </a:ext>
          </a:extLst>
        </xdr:cNvPr>
        <xdr:cNvSpPr txBox="1"/>
      </xdr:nvSpPr>
      <xdr:spPr>
        <a:xfrm>
          <a:off x="294005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2A670C4A-3DBF-4EB6-A734-F015C058431B}"/>
            </a:ext>
          </a:extLst>
        </xdr:cNvPr>
        <xdr:cNvSpPr txBox="1"/>
      </xdr:nvSpPr>
      <xdr:spPr>
        <a:xfrm>
          <a:off x="29400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67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A4BDAB60-2A9D-42B0-A3D0-8B28E334101F}"/>
            </a:ext>
          </a:extLst>
        </xdr:cNvPr>
        <xdr:cNvSpPr txBox="1"/>
      </xdr:nvSpPr>
      <xdr:spPr>
        <a:xfrm>
          <a:off x="294005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63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BE7F2681-46A4-404C-BA41-2E846931E378}"/>
            </a:ext>
          </a:extLst>
        </xdr:cNvPr>
        <xdr:cNvSpPr txBox="1"/>
      </xdr:nvSpPr>
      <xdr:spPr>
        <a:xfrm>
          <a:off x="27622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63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76206CB9-4750-4D76-A3B2-B5688E100592}"/>
            </a:ext>
          </a:extLst>
        </xdr:cNvPr>
        <xdr:cNvSpPr txBox="1"/>
      </xdr:nvSpPr>
      <xdr:spPr>
        <a:xfrm>
          <a:off x="27622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63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64A67EFF-51AF-4786-9707-BFAAFE68F431}"/>
            </a:ext>
          </a:extLst>
        </xdr:cNvPr>
        <xdr:cNvSpPr txBox="1"/>
      </xdr:nvSpPr>
      <xdr:spPr>
        <a:xfrm>
          <a:off x="27622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9EFEDD19-1C7D-4EA1-A189-4F3642FCB3B1}"/>
            </a:ext>
          </a:extLst>
        </xdr:cNvPr>
        <xdr:cNvSpPr txBox="1"/>
      </xdr:nvSpPr>
      <xdr:spPr>
        <a:xfrm>
          <a:off x="27622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63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7987DB24-0C15-45C9-A060-EF5A9ED40063}"/>
            </a:ext>
          </a:extLst>
        </xdr:cNvPr>
        <xdr:cNvSpPr txBox="1"/>
      </xdr:nvSpPr>
      <xdr:spPr>
        <a:xfrm>
          <a:off x="27622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64</xdr:row>
      <xdr:rowOff>0</xdr:rowOff>
    </xdr:from>
    <xdr:ext cx="190889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6CC850F4-A7D1-4667-80AA-93C26782E62A}"/>
            </a:ext>
          </a:extLst>
        </xdr:cNvPr>
        <xdr:cNvSpPr txBox="1"/>
      </xdr:nvSpPr>
      <xdr:spPr>
        <a:xfrm>
          <a:off x="27813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893FA3A8-49AD-4B20-A1B3-FCC477A72ACB}"/>
            </a:ext>
          </a:extLst>
        </xdr:cNvPr>
        <xdr:cNvSpPr txBox="1"/>
      </xdr:nvSpPr>
      <xdr:spPr>
        <a:xfrm>
          <a:off x="183832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C6707D73-6A5F-4140-B592-7B4887491546}"/>
            </a:ext>
          </a:extLst>
        </xdr:cNvPr>
        <xdr:cNvSpPr txBox="1"/>
      </xdr:nvSpPr>
      <xdr:spPr>
        <a:xfrm>
          <a:off x="239077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64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ED866830-680D-4C1A-9AC7-893E0A182390}"/>
            </a:ext>
          </a:extLst>
        </xdr:cNvPr>
        <xdr:cNvSpPr txBox="1"/>
      </xdr:nvSpPr>
      <xdr:spPr>
        <a:xfrm>
          <a:off x="345757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91E9B009-018D-4487-8D40-FFE6A5E95AEA}"/>
            </a:ext>
          </a:extLst>
        </xdr:cNvPr>
        <xdr:cNvSpPr txBox="1"/>
      </xdr:nvSpPr>
      <xdr:spPr>
        <a:xfrm>
          <a:off x="4438650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3DD229A1-69E1-4512-9B4D-67511C4AB942}"/>
            </a:ext>
          </a:extLst>
        </xdr:cNvPr>
        <xdr:cNvSpPr txBox="1"/>
      </xdr:nvSpPr>
      <xdr:spPr>
        <a:xfrm>
          <a:off x="5781675" y="1242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65</xdr:row>
      <xdr:rowOff>0</xdr:rowOff>
    </xdr:from>
    <xdr:ext cx="190889" cy="267782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8A60435E-0F82-4586-9C5B-290BD7A324C5}"/>
            </a:ext>
          </a:extLst>
        </xdr:cNvPr>
        <xdr:cNvSpPr txBox="1"/>
      </xdr:nvSpPr>
      <xdr:spPr>
        <a:xfrm>
          <a:off x="27813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3810</xdr:colOff>
      <xdr:row>65</xdr:row>
      <xdr:rowOff>0</xdr:rowOff>
    </xdr:from>
    <xdr:ext cx="190889" cy="267782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79D8EEE2-4893-4CA3-8CC4-F79DBF81BD02}"/>
            </a:ext>
          </a:extLst>
        </xdr:cNvPr>
        <xdr:cNvSpPr txBox="1"/>
      </xdr:nvSpPr>
      <xdr:spPr>
        <a:xfrm>
          <a:off x="188595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65</xdr:row>
      <xdr:rowOff>0</xdr:rowOff>
    </xdr:from>
    <xdr:ext cx="191101" cy="26778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FB7F2CE3-3C9D-4B3C-B37F-61046C2ABD70}"/>
            </a:ext>
          </a:extLst>
        </xdr:cNvPr>
        <xdr:cNvSpPr txBox="1"/>
      </xdr:nvSpPr>
      <xdr:spPr>
        <a:xfrm>
          <a:off x="188976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1115695</xdr:colOff>
      <xdr:row>65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C64084F5-8D00-4B95-9D80-B2A7B937FEF0}"/>
            </a:ext>
          </a:extLst>
        </xdr:cNvPr>
        <xdr:cNvSpPr txBox="1"/>
      </xdr:nvSpPr>
      <xdr:spPr>
        <a:xfrm>
          <a:off x="3046095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1905</xdr:colOff>
      <xdr:row>65</xdr:row>
      <xdr:rowOff>0</xdr:rowOff>
    </xdr:from>
    <xdr:ext cx="190889" cy="26778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1124B6A3-88B5-4AB6-80BF-C1C156EB37EF}"/>
            </a:ext>
          </a:extLst>
        </xdr:cNvPr>
        <xdr:cNvSpPr txBox="1"/>
      </xdr:nvSpPr>
      <xdr:spPr>
        <a:xfrm>
          <a:off x="398907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3810</xdr:colOff>
      <xdr:row>65</xdr:row>
      <xdr:rowOff>0</xdr:rowOff>
    </xdr:from>
    <xdr:ext cx="190889" cy="26778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87CDE322-FB92-4BAD-A961-A25DBEC1838B}"/>
            </a:ext>
          </a:extLst>
        </xdr:cNvPr>
        <xdr:cNvSpPr txBox="1"/>
      </xdr:nvSpPr>
      <xdr:spPr>
        <a:xfrm>
          <a:off x="5368290" y="123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DD987335-66B3-47E6-AB52-8C8A54168A0F}"/>
            </a:ext>
          </a:extLst>
        </xdr:cNvPr>
        <xdr:cNvSpPr txBox="1"/>
      </xdr:nvSpPr>
      <xdr:spPr>
        <a:xfrm>
          <a:off x="29400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95487DD2-B892-4AE8-B3AA-03DAADD0C583}"/>
            </a:ext>
          </a:extLst>
        </xdr:cNvPr>
        <xdr:cNvSpPr txBox="1"/>
      </xdr:nvSpPr>
      <xdr:spPr>
        <a:xfrm>
          <a:off x="3048000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B52B8B41-0AA8-45BA-8433-31A207003F06}"/>
            </a:ext>
          </a:extLst>
        </xdr:cNvPr>
        <xdr:cNvSpPr txBox="1"/>
      </xdr:nvSpPr>
      <xdr:spPr>
        <a:xfrm>
          <a:off x="4076700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23B969ED-B2D0-45A9-A2BB-17E0C5464091}"/>
            </a:ext>
          </a:extLst>
        </xdr:cNvPr>
        <xdr:cNvSpPr txBox="1"/>
      </xdr:nvSpPr>
      <xdr:spPr>
        <a:xfrm>
          <a:off x="5486400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4DEA7CAF-6D98-4BF3-B378-C56D42753CF0}"/>
            </a:ext>
          </a:extLst>
        </xdr:cNvPr>
        <xdr:cNvSpPr txBox="1"/>
      </xdr:nvSpPr>
      <xdr:spPr>
        <a:xfrm>
          <a:off x="4076700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66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B452A0A7-5C56-43CB-97CE-FE4780E59F8A}"/>
            </a:ext>
          </a:extLst>
        </xdr:cNvPr>
        <xdr:cNvSpPr txBox="1"/>
      </xdr:nvSpPr>
      <xdr:spPr>
        <a:xfrm>
          <a:off x="5486400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67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F7346ED5-20FE-4E78-BB19-83DDC3A651A5}"/>
            </a:ext>
          </a:extLst>
        </xdr:cNvPr>
        <xdr:cNvSpPr txBox="1"/>
      </xdr:nvSpPr>
      <xdr:spPr>
        <a:xfrm>
          <a:off x="294005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37490CAE-9DC0-42C9-B9A4-58A63AC99D2A}"/>
            </a:ext>
          </a:extLst>
        </xdr:cNvPr>
        <xdr:cNvSpPr txBox="1"/>
      </xdr:nvSpPr>
      <xdr:spPr>
        <a:xfrm>
          <a:off x="30480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CC7D4FFB-CF4D-4A26-B29D-54490BBF4A70}"/>
            </a:ext>
          </a:extLst>
        </xdr:cNvPr>
        <xdr:cNvSpPr txBox="1"/>
      </xdr:nvSpPr>
      <xdr:spPr>
        <a:xfrm>
          <a:off x="40767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67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BFD4DBDD-CA7D-4D06-92D2-2B2DBACD6BD4}"/>
            </a:ext>
          </a:extLst>
        </xdr:cNvPr>
        <xdr:cNvSpPr txBox="1"/>
      </xdr:nvSpPr>
      <xdr:spPr>
        <a:xfrm>
          <a:off x="54864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4E600647-2DE3-44A7-8326-F73D83D3386B}"/>
            </a:ext>
          </a:extLst>
        </xdr:cNvPr>
        <xdr:cNvSpPr txBox="1"/>
      </xdr:nvSpPr>
      <xdr:spPr>
        <a:xfrm>
          <a:off x="40767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67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F7C19195-47FD-4FCC-ADC2-BD7AB6EB8365}"/>
            </a:ext>
          </a:extLst>
        </xdr:cNvPr>
        <xdr:cNvSpPr txBox="1"/>
      </xdr:nvSpPr>
      <xdr:spPr>
        <a:xfrm>
          <a:off x="54864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68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6108767B-FE89-445F-9DF6-FCA7E66676C9}"/>
            </a:ext>
          </a:extLst>
        </xdr:cNvPr>
        <xdr:cNvSpPr txBox="1"/>
      </xdr:nvSpPr>
      <xdr:spPr>
        <a:xfrm>
          <a:off x="294005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6932627F-E36C-42E0-B5F6-458AFFC3E568}"/>
            </a:ext>
          </a:extLst>
        </xdr:cNvPr>
        <xdr:cNvSpPr txBox="1"/>
      </xdr:nvSpPr>
      <xdr:spPr>
        <a:xfrm>
          <a:off x="30480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F966A8DD-2ED3-4B44-8852-07CC95841C9F}"/>
            </a:ext>
          </a:extLst>
        </xdr:cNvPr>
        <xdr:cNvSpPr txBox="1"/>
      </xdr:nvSpPr>
      <xdr:spPr>
        <a:xfrm>
          <a:off x="40767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DEBA51F2-7510-456C-85DC-46CAD6EE1811}"/>
            </a:ext>
          </a:extLst>
        </xdr:cNvPr>
        <xdr:cNvSpPr txBox="1"/>
      </xdr:nvSpPr>
      <xdr:spPr>
        <a:xfrm>
          <a:off x="54864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9A30B54-864A-422F-AC3B-5BB11EE9045C}"/>
            </a:ext>
          </a:extLst>
        </xdr:cNvPr>
        <xdr:cNvSpPr txBox="1"/>
      </xdr:nvSpPr>
      <xdr:spPr>
        <a:xfrm>
          <a:off x="40767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74FE155E-C561-4F1E-9BF0-8EC09608CC87}"/>
            </a:ext>
          </a:extLst>
        </xdr:cNvPr>
        <xdr:cNvSpPr txBox="1"/>
      </xdr:nvSpPr>
      <xdr:spPr>
        <a:xfrm>
          <a:off x="54864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25F016C0-05F8-469D-A395-CEA99BE96D3D}"/>
            </a:ext>
          </a:extLst>
        </xdr:cNvPr>
        <xdr:cNvSpPr txBox="1"/>
      </xdr:nvSpPr>
      <xdr:spPr>
        <a:xfrm>
          <a:off x="294005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29E72A8C-3186-4BB8-8B51-3442578E156A}"/>
            </a:ext>
          </a:extLst>
        </xdr:cNvPr>
        <xdr:cNvSpPr txBox="1"/>
      </xdr:nvSpPr>
      <xdr:spPr>
        <a:xfrm>
          <a:off x="30480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7DA7AEFA-8FCD-4051-993F-4FC9C4A1F358}"/>
            </a:ext>
          </a:extLst>
        </xdr:cNvPr>
        <xdr:cNvSpPr txBox="1"/>
      </xdr:nvSpPr>
      <xdr:spPr>
        <a:xfrm>
          <a:off x="40767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88CAA23A-E0DB-412E-AE61-30F5CC8DA590}"/>
            </a:ext>
          </a:extLst>
        </xdr:cNvPr>
        <xdr:cNvSpPr txBox="1"/>
      </xdr:nvSpPr>
      <xdr:spPr>
        <a:xfrm>
          <a:off x="54864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B9D39972-594C-4457-9584-4BE2EA1B7493}"/>
            </a:ext>
          </a:extLst>
        </xdr:cNvPr>
        <xdr:cNvSpPr txBox="1"/>
      </xdr:nvSpPr>
      <xdr:spPr>
        <a:xfrm>
          <a:off x="40767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D5760203-44DF-4E04-9570-92AAD9DCE1F4}"/>
            </a:ext>
          </a:extLst>
        </xdr:cNvPr>
        <xdr:cNvSpPr txBox="1"/>
      </xdr:nvSpPr>
      <xdr:spPr>
        <a:xfrm>
          <a:off x="54864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70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8C81FE17-297C-45E9-83C7-E4982A9340B5}"/>
            </a:ext>
          </a:extLst>
        </xdr:cNvPr>
        <xdr:cNvSpPr txBox="1"/>
      </xdr:nvSpPr>
      <xdr:spPr>
        <a:xfrm>
          <a:off x="294005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8C301B71-4CD3-4722-8A3B-40B11FC23EDF}"/>
            </a:ext>
          </a:extLst>
        </xdr:cNvPr>
        <xdr:cNvSpPr txBox="1"/>
      </xdr:nvSpPr>
      <xdr:spPr>
        <a:xfrm>
          <a:off x="30480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D5E5215D-C212-44AD-B0F2-5949BCB54CF8}"/>
            </a:ext>
          </a:extLst>
        </xdr:cNvPr>
        <xdr:cNvSpPr txBox="1"/>
      </xdr:nvSpPr>
      <xdr:spPr>
        <a:xfrm>
          <a:off x="40767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239034DC-0E10-4C89-A561-03FAE5BB6491}"/>
            </a:ext>
          </a:extLst>
        </xdr:cNvPr>
        <xdr:cNvSpPr txBox="1"/>
      </xdr:nvSpPr>
      <xdr:spPr>
        <a:xfrm>
          <a:off x="54864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8E51DCFC-290F-410E-AAE6-BF9ADD435556}"/>
            </a:ext>
          </a:extLst>
        </xdr:cNvPr>
        <xdr:cNvSpPr txBox="1"/>
      </xdr:nvSpPr>
      <xdr:spPr>
        <a:xfrm>
          <a:off x="40767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F80CF9DB-0BC1-407A-9CDB-999AE1EE969C}"/>
            </a:ext>
          </a:extLst>
        </xdr:cNvPr>
        <xdr:cNvSpPr txBox="1"/>
      </xdr:nvSpPr>
      <xdr:spPr>
        <a:xfrm>
          <a:off x="54864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71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619D7CD8-C24F-4C98-B904-2774B2B6702B}"/>
            </a:ext>
          </a:extLst>
        </xdr:cNvPr>
        <xdr:cNvSpPr txBox="1"/>
      </xdr:nvSpPr>
      <xdr:spPr>
        <a:xfrm>
          <a:off x="294005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D21FEAC7-388D-42F7-AB13-179508ABFCAF}"/>
            </a:ext>
          </a:extLst>
        </xdr:cNvPr>
        <xdr:cNvSpPr txBox="1"/>
      </xdr:nvSpPr>
      <xdr:spPr>
        <a:xfrm>
          <a:off x="30480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9FBA49F7-7D3A-4BE1-A6E3-36CFFFB456F2}"/>
            </a:ext>
          </a:extLst>
        </xdr:cNvPr>
        <xdr:cNvSpPr txBox="1"/>
      </xdr:nvSpPr>
      <xdr:spPr>
        <a:xfrm>
          <a:off x="40767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DF2F272D-4CF1-4717-AF22-62214EC7F840}"/>
            </a:ext>
          </a:extLst>
        </xdr:cNvPr>
        <xdr:cNvSpPr txBox="1"/>
      </xdr:nvSpPr>
      <xdr:spPr>
        <a:xfrm>
          <a:off x="54864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BEC804D6-F7C2-4193-9504-0555B36D5DF9}"/>
            </a:ext>
          </a:extLst>
        </xdr:cNvPr>
        <xdr:cNvSpPr txBox="1"/>
      </xdr:nvSpPr>
      <xdr:spPr>
        <a:xfrm>
          <a:off x="40767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9CCB2237-CAFA-4F09-AC0C-F85E4958033D}"/>
            </a:ext>
          </a:extLst>
        </xdr:cNvPr>
        <xdr:cNvSpPr txBox="1"/>
      </xdr:nvSpPr>
      <xdr:spPr>
        <a:xfrm>
          <a:off x="54864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</xdr:colOff>
      <xdr:row>63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D0DFC0F4-8234-4344-BE32-4B94F9E3DB3C}"/>
            </a:ext>
          </a:extLst>
        </xdr:cNvPr>
        <xdr:cNvSpPr txBox="1"/>
      </xdr:nvSpPr>
      <xdr:spPr>
        <a:xfrm>
          <a:off x="294005" y="119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1115695</xdr:colOff>
      <xdr:row>66</xdr:row>
      <xdr:rowOff>87630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8186A7DB-FF5F-4E06-BBE2-5B5DCB619985}"/>
            </a:ext>
          </a:extLst>
        </xdr:cNvPr>
        <xdr:cNvSpPr txBox="1"/>
      </xdr:nvSpPr>
      <xdr:spPr>
        <a:xfrm>
          <a:off x="3046095" y="12705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64</xdr:row>
      <xdr:rowOff>0</xdr:rowOff>
    </xdr:from>
    <xdr:ext cx="190889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9A8AA239-E989-47C1-99AC-2AAB950590B4}"/>
            </a:ext>
          </a:extLst>
        </xdr:cNvPr>
        <xdr:cNvSpPr txBox="1"/>
      </xdr:nvSpPr>
      <xdr:spPr>
        <a:xfrm>
          <a:off x="278130" y="125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65</xdr:row>
      <xdr:rowOff>0</xdr:rowOff>
    </xdr:from>
    <xdr:ext cx="190889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6B733E85-8335-4503-AE5E-18C576D01750}"/>
            </a:ext>
          </a:extLst>
        </xdr:cNvPr>
        <xdr:cNvSpPr txBox="1"/>
      </xdr:nvSpPr>
      <xdr:spPr>
        <a:xfrm>
          <a:off x="278130" y="127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90889" cy="26778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55FFF5AC-F400-42BA-8520-FAF22A37693F}"/>
            </a:ext>
          </a:extLst>
        </xdr:cNvPr>
        <xdr:cNvSpPr txBox="1"/>
      </xdr:nvSpPr>
      <xdr:spPr>
        <a:xfrm>
          <a:off x="27813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64</xdr:row>
      <xdr:rowOff>0</xdr:rowOff>
    </xdr:from>
    <xdr:ext cx="190889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3E50394-B631-467F-8D40-E110488C1A39}"/>
            </a:ext>
          </a:extLst>
        </xdr:cNvPr>
        <xdr:cNvSpPr txBox="1"/>
      </xdr:nvSpPr>
      <xdr:spPr>
        <a:xfrm>
          <a:off x="278130" y="125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65</xdr:row>
      <xdr:rowOff>0</xdr:rowOff>
    </xdr:from>
    <xdr:ext cx="190889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BB54BB70-F6EA-416B-88FA-534B6B927EF5}"/>
            </a:ext>
          </a:extLst>
        </xdr:cNvPr>
        <xdr:cNvSpPr txBox="1"/>
      </xdr:nvSpPr>
      <xdr:spPr>
        <a:xfrm>
          <a:off x="278130" y="127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90889" cy="26778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B5563A57-142A-4A9E-9FB7-AD66B673E594}"/>
            </a:ext>
          </a:extLst>
        </xdr:cNvPr>
        <xdr:cNvSpPr txBox="1"/>
      </xdr:nvSpPr>
      <xdr:spPr>
        <a:xfrm>
          <a:off x="27813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1112520</xdr:colOff>
      <xdr:row>67</xdr:row>
      <xdr:rowOff>81280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27025B75-5D85-42E7-A920-2FD9459F284E}"/>
            </a:ext>
          </a:extLst>
        </xdr:cNvPr>
        <xdr:cNvSpPr txBox="1"/>
      </xdr:nvSpPr>
      <xdr:spPr>
        <a:xfrm>
          <a:off x="3042920" y="12946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90889" cy="267782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4EBD1EAF-CA51-42B8-8A18-E2B82575ED7E}"/>
            </a:ext>
          </a:extLst>
        </xdr:cNvPr>
        <xdr:cNvSpPr txBox="1"/>
      </xdr:nvSpPr>
      <xdr:spPr>
        <a:xfrm>
          <a:off x="27813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67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13DC10A1-4E20-459B-A06E-40B38EF9B531}"/>
            </a:ext>
          </a:extLst>
        </xdr:cNvPr>
        <xdr:cNvSpPr txBox="1"/>
      </xdr:nvSpPr>
      <xdr:spPr>
        <a:xfrm>
          <a:off x="294005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90889" cy="267782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96EAA304-161C-40E9-BAB3-F1620CD72818}"/>
            </a:ext>
          </a:extLst>
        </xdr:cNvPr>
        <xdr:cNvSpPr txBox="1"/>
      </xdr:nvSpPr>
      <xdr:spPr>
        <a:xfrm>
          <a:off x="27813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67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5E106968-94FF-4A01-96F7-79402F9C52D7}"/>
            </a:ext>
          </a:extLst>
        </xdr:cNvPr>
        <xdr:cNvSpPr txBox="1"/>
      </xdr:nvSpPr>
      <xdr:spPr>
        <a:xfrm>
          <a:off x="294005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63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5DBE69AA-0071-4DF0-9B18-0F6694543A74}"/>
            </a:ext>
          </a:extLst>
        </xdr:cNvPr>
        <xdr:cNvSpPr txBox="1"/>
      </xdr:nvSpPr>
      <xdr:spPr>
        <a:xfrm>
          <a:off x="1930400" y="119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63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6B59E840-BC54-4F9A-BF62-AC707C1ACFEF}"/>
            </a:ext>
          </a:extLst>
        </xdr:cNvPr>
        <xdr:cNvSpPr txBox="1"/>
      </xdr:nvSpPr>
      <xdr:spPr>
        <a:xfrm>
          <a:off x="1930400" y="119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63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7F7F4D1D-627B-4022-AF47-43031FA1CBDA}"/>
            </a:ext>
          </a:extLst>
        </xdr:cNvPr>
        <xdr:cNvSpPr txBox="1"/>
      </xdr:nvSpPr>
      <xdr:spPr>
        <a:xfrm>
          <a:off x="3048000" y="119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4DE80A0C-3ABE-4A98-BD54-833FFC6011FA}"/>
            </a:ext>
          </a:extLst>
        </xdr:cNvPr>
        <xdr:cNvSpPr txBox="1"/>
      </xdr:nvSpPr>
      <xdr:spPr>
        <a:xfrm>
          <a:off x="4076700" y="119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63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B10A8F51-4135-4993-82C4-A2B6A63518AB}"/>
            </a:ext>
          </a:extLst>
        </xdr:cNvPr>
        <xdr:cNvSpPr txBox="1"/>
      </xdr:nvSpPr>
      <xdr:spPr>
        <a:xfrm>
          <a:off x="5486400" y="119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64</xdr:row>
      <xdr:rowOff>0</xdr:rowOff>
    </xdr:from>
    <xdr:ext cx="190889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631843BF-6746-4734-B2F2-5920C39FDA4E}"/>
            </a:ext>
          </a:extLst>
        </xdr:cNvPr>
        <xdr:cNvSpPr txBox="1"/>
      </xdr:nvSpPr>
      <xdr:spPr>
        <a:xfrm>
          <a:off x="278130" y="125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1A9A8C2C-BAF2-4596-B9D7-1332E5B661FC}"/>
            </a:ext>
          </a:extLst>
        </xdr:cNvPr>
        <xdr:cNvSpPr txBox="1"/>
      </xdr:nvSpPr>
      <xdr:spPr>
        <a:xfrm>
          <a:off x="1838325" y="133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DD282810-FC50-42DD-BCA4-ABFAB5C43958}"/>
            </a:ext>
          </a:extLst>
        </xdr:cNvPr>
        <xdr:cNvSpPr txBox="1"/>
      </xdr:nvSpPr>
      <xdr:spPr>
        <a:xfrm>
          <a:off x="2390775" y="133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64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5BEC1D50-E3F7-4A75-AA3A-46F23412B6E3}"/>
            </a:ext>
          </a:extLst>
        </xdr:cNvPr>
        <xdr:cNvSpPr txBox="1"/>
      </xdr:nvSpPr>
      <xdr:spPr>
        <a:xfrm>
          <a:off x="3457575" y="133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9A1038ED-1100-4CD9-878A-618F3FFC05B7}"/>
            </a:ext>
          </a:extLst>
        </xdr:cNvPr>
        <xdr:cNvSpPr txBox="1"/>
      </xdr:nvSpPr>
      <xdr:spPr>
        <a:xfrm>
          <a:off x="4438650" y="133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717759FF-B2AE-4D34-839C-C398A3D35383}"/>
            </a:ext>
          </a:extLst>
        </xdr:cNvPr>
        <xdr:cNvSpPr txBox="1"/>
      </xdr:nvSpPr>
      <xdr:spPr>
        <a:xfrm>
          <a:off x="5781675" y="133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65</xdr:row>
      <xdr:rowOff>0</xdr:rowOff>
    </xdr:from>
    <xdr:ext cx="190889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25F0A513-3926-4957-B381-034B4F2CAC72}"/>
            </a:ext>
          </a:extLst>
        </xdr:cNvPr>
        <xdr:cNvSpPr txBox="1"/>
      </xdr:nvSpPr>
      <xdr:spPr>
        <a:xfrm>
          <a:off x="278130" y="127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65</xdr:row>
      <xdr:rowOff>0</xdr:rowOff>
    </xdr:from>
    <xdr:ext cx="19110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8CA1BD37-4F19-4DA8-8DDB-CC6D77047CB3}"/>
            </a:ext>
          </a:extLst>
        </xdr:cNvPr>
        <xdr:cNvSpPr txBox="1"/>
      </xdr:nvSpPr>
      <xdr:spPr>
        <a:xfrm>
          <a:off x="1838325" y="136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65</xdr:row>
      <xdr:rowOff>0</xdr:rowOff>
    </xdr:from>
    <xdr:ext cx="19110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EC6D1589-E033-487E-AF6B-48C9796DB6D4}"/>
            </a:ext>
          </a:extLst>
        </xdr:cNvPr>
        <xdr:cNvSpPr txBox="1"/>
      </xdr:nvSpPr>
      <xdr:spPr>
        <a:xfrm>
          <a:off x="2390775" y="136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9110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7E06B00E-69C7-4E9D-81A0-0077DA948D1C}"/>
            </a:ext>
          </a:extLst>
        </xdr:cNvPr>
        <xdr:cNvSpPr txBox="1"/>
      </xdr:nvSpPr>
      <xdr:spPr>
        <a:xfrm>
          <a:off x="3457575" y="136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65</xdr:row>
      <xdr:rowOff>0</xdr:rowOff>
    </xdr:from>
    <xdr:ext cx="19110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C22C40ED-3A4E-494B-BB2D-8AC3CA264C91}"/>
            </a:ext>
          </a:extLst>
        </xdr:cNvPr>
        <xdr:cNvSpPr txBox="1"/>
      </xdr:nvSpPr>
      <xdr:spPr>
        <a:xfrm>
          <a:off x="4438650" y="136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</xdr:row>
      <xdr:rowOff>0</xdr:rowOff>
    </xdr:from>
    <xdr:ext cx="19110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58C6A9F2-215D-4132-97FD-A6EE0B119188}"/>
            </a:ext>
          </a:extLst>
        </xdr:cNvPr>
        <xdr:cNvSpPr txBox="1"/>
      </xdr:nvSpPr>
      <xdr:spPr>
        <a:xfrm>
          <a:off x="5781675" y="136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66</xdr:row>
      <xdr:rowOff>0</xdr:rowOff>
    </xdr:from>
    <xdr:ext cx="190889" cy="26778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F1185BC6-5E97-43CF-9C80-AC3E091AC133}"/>
            </a:ext>
          </a:extLst>
        </xdr:cNvPr>
        <xdr:cNvSpPr txBox="1"/>
      </xdr:nvSpPr>
      <xdr:spPr>
        <a:xfrm>
          <a:off x="27813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1115695</xdr:colOff>
      <xdr:row>66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F123A7ED-6B51-42A3-8A0D-D3C75FFA1C5A}"/>
            </a:ext>
          </a:extLst>
        </xdr:cNvPr>
        <xdr:cNvSpPr txBox="1"/>
      </xdr:nvSpPr>
      <xdr:spPr>
        <a:xfrm>
          <a:off x="3046095" y="12617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1905</xdr:colOff>
      <xdr:row>66</xdr:row>
      <xdr:rowOff>0</xdr:rowOff>
    </xdr:from>
    <xdr:ext cx="190889" cy="267782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C0054347-AE25-44ED-A8E2-3BECDFC21BCA}"/>
            </a:ext>
          </a:extLst>
        </xdr:cNvPr>
        <xdr:cNvSpPr txBox="1"/>
      </xdr:nvSpPr>
      <xdr:spPr>
        <a:xfrm>
          <a:off x="398907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3810</xdr:colOff>
      <xdr:row>66</xdr:row>
      <xdr:rowOff>0</xdr:rowOff>
    </xdr:from>
    <xdr:ext cx="190889" cy="267782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8216F35E-7EFE-4C84-9900-FE4F90FCC051}"/>
            </a:ext>
          </a:extLst>
        </xdr:cNvPr>
        <xdr:cNvSpPr txBox="1"/>
      </xdr:nvSpPr>
      <xdr:spPr>
        <a:xfrm>
          <a:off x="536829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1905</xdr:colOff>
      <xdr:row>66</xdr:row>
      <xdr:rowOff>0</xdr:rowOff>
    </xdr:from>
    <xdr:ext cx="190889" cy="267782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ECCDCBED-C49A-40EA-8FC9-5D6D9C0371DD}"/>
            </a:ext>
          </a:extLst>
        </xdr:cNvPr>
        <xdr:cNvSpPr txBox="1"/>
      </xdr:nvSpPr>
      <xdr:spPr>
        <a:xfrm>
          <a:off x="398907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3810</xdr:colOff>
      <xdr:row>66</xdr:row>
      <xdr:rowOff>0</xdr:rowOff>
    </xdr:from>
    <xdr:ext cx="190889" cy="267782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EC145AA6-0E0A-42E1-AE99-1319A9279C3B}"/>
            </a:ext>
          </a:extLst>
        </xdr:cNvPr>
        <xdr:cNvSpPr txBox="1"/>
      </xdr:nvSpPr>
      <xdr:spPr>
        <a:xfrm>
          <a:off x="5368290" y="12580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67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3CA51161-1B64-4260-8118-B8F584E1205A}"/>
            </a:ext>
          </a:extLst>
        </xdr:cNvPr>
        <xdr:cNvSpPr txBox="1"/>
      </xdr:nvSpPr>
      <xdr:spPr>
        <a:xfrm>
          <a:off x="294005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CB31483C-E1DD-4AA4-87A8-A1350C8CC314}"/>
            </a:ext>
          </a:extLst>
        </xdr:cNvPr>
        <xdr:cNvSpPr txBox="1"/>
      </xdr:nvSpPr>
      <xdr:spPr>
        <a:xfrm>
          <a:off x="30480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F5BBE642-CFF2-4ADF-8AA2-8254A61CFE8C}"/>
            </a:ext>
          </a:extLst>
        </xdr:cNvPr>
        <xdr:cNvSpPr txBox="1"/>
      </xdr:nvSpPr>
      <xdr:spPr>
        <a:xfrm>
          <a:off x="40767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67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59D7ABFA-F571-474E-AB05-5601BD26F0DA}"/>
            </a:ext>
          </a:extLst>
        </xdr:cNvPr>
        <xdr:cNvSpPr txBox="1"/>
      </xdr:nvSpPr>
      <xdr:spPr>
        <a:xfrm>
          <a:off x="54864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EB078279-4D32-4247-A511-492E600F47EA}"/>
            </a:ext>
          </a:extLst>
        </xdr:cNvPr>
        <xdr:cNvSpPr txBox="1"/>
      </xdr:nvSpPr>
      <xdr:spPr>
        <a:xfrm>
          <a:off x="40767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67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EED7BA70-15C0-42FB-ABA1-702BF0728DC9}"/>
            </a:ext>
          </a:extLst>
        </xdr:cNvPr>
        <xdr:cNvSpPr txBox="1"/>
      </xdr:nvSpPr>
      <xdr:spPr>
        <a:xfrm>
          <a:off x="5486400" y="1286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68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62C86362-0D09-4076-807F-BED931FADDA4}"/>
            </a:ext>
          </a:extLst>
        </xdr:cNvPr>
        <xdr:cNvSpPr txBox="1"/>
      </xdr:nvSpPr>
      <xdr:spPr>
        <a:xfrm>
          <a:off x="294005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9AD8B5D6-3861-46DD-AE42-D67B74465F22}"/>
            </a:ext>
          </a:extLst>
        </xdr:cNvPr>
        <xdr:cNvSpPr txBox="1"/>
      </xdr:nvSpPr>
      <xdr:spPr>
        <a:xfrm>
          <a:off x="30480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E51DE376-0697-463B-BDF4-6890E9D4E2DD}"/>
            </a:ext>
          </a:extLst>
        </xdr:cNvPr>
        <xdr:cNvSpPr txBox="1"/>
      </xdr:nvSpPr>
      <xdr:spPr>
        <a:xfrm>
          <a:off x="40767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96CA522D-DD17-4873-A901-FACE563ECBAE}"/>
            </a:ext>
          </a:extLst>
        </xdr:cNvPr>
        <xdr:cNvSpPr txBox="1"/>
      </xdr:nvSpPr>
      <xdr:spPr>
        <a:xfrm>
          <a:off x="54864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E3105785-C5F8-470C-BF2B-EE35C8A84CF9}"/>
            </a:ext>
          </a:extLst>
        </xdr:cNvPr>
        <xdr:cNvSpPr txBox="1"/>
      </xdr:nvSpPr>
      <xdr:spPr>
        <a:xfrm>
          <a:off x="40767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6EDA632B-9BE3-4340-8CCD-3F69A392E62E}"/>
            </a:ext>
          </a:extLst>
        </xdr:cNvPr>
        <xdr:cNvSpPr txBox="1"/>
      </xdr:nvSpPr>
      <xdr:spPr>
        <a:xfrm>
          <a:off x="5486400" y="130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69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38AEBA34-37DE-44CD-AE95-F8C8F80CBAE3}"/>
            </a:ext>
          </a:extLst>
        </xdr:cNvPr>
        <xdr:cNvSpPr txBox="1"/>
      </xdr:nvSpPr>
      <xdr:spPr>
        <a:xfrm>
          <a:off x="294005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DB689F86-A191-471E-B14D-093AD8DD4B71}"/>
            </a:ext>
          </a:extLst>
        </xdr:cNvPr>
        <xdr:cNvSpPr txBox="1"/>
      </xdr:nvSpPr>
      <xdr:spPr>
        <a:xfrm>
          <a:off x="30480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4685ED50-1BDB-44FC-A089-C4434C60B3ED}"/>
            </a:ext>
          </a:extLst>
        </xdr:cNvPr>
        <xdr:cNvSpPr txBox="1"/>
      </xdr:nvSpPr>
      <xdr:spPr>
        <a:xfrm>
          <a:off x="40767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2F4B5AA-9847-401D-A0D9-BF09BD13AACB}"/>
            </a:ext>
          </a:extLst>
        </xdr:cNvPr>
        <xdr:cNvSpPr txBox="1"/>
      </xdr:nvSpPr>
      <xdr:spPr>
        <a:xfrm>
          <a:off x="54864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EF20B5D3-70ED-487F-9CF2-38CE95C71E84}"/>
            </a:ext>
          </a:extLst>
        </xdr:cNvPr>
        <xdr:cNvSpPr txBox="1"/>
      </xdr:nvSpPr>
      <xdr:spPr>
        <a:xfrm>
          <a:off x="40767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21ED1899-DC8A-46C7-82AA-CE1648879FAF}"/>
            </a:ext>
          </a:extLst>
        </xdr:cNvPr>
        <xdr:cNvSpPr txBox="1"/>
      </xdr:nvSpPr>
      <xdr:spPr>
        <a:xfrm>
          <a:off x="5486400" y="133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70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A2737E6-7752-45BB-A3CE-02B4C193A4F1}"/>
            </a:ext>
          </a:extLst>
        </xdr:cNvPr>
        <xdr:cNvSpPr txBox="1"/>
      </xdr:nvSpPr>
      <xdr:spPr>
        <a:xfrm>
          <a:off x="294005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B67578F-75FC-41A9-BFB9-106F7FA6468B}"/>
            </a:ext>
          </a:extLst>
        </xdr:cNvPr>
        <xdr:cNvSpPr txBox="1"/>
      </xdr:nvSpPr>
      <xdr:spPr>
        <a:xfrm>
          <a:off x="30480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1804A4AD-3128-476C-A0C8-CC1D171B4AAF}"/>
            </a:ext>
          </a:extLst>
        </xdr:cNvPr>
        <xdr:cNvSpPr txBox="1"/>
      </xdr:nvSpPr>
      <xdr:spPr>
        <a:xfrm>
          <a:off x="40767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3AE7037-693E-4AE3-83E2-14E3188F06F8}"/>
            </a:ext>
          </a:extLst>
        </xdr:cNvPr>
        <xdr:cNvSpPr txBox="1"/>
      </xdr:nvSpPr>
      <xdr:spPr>
        <a:xfrm>
          <a:off x="54864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1FB9C4A2-B0AD-4AA6-BA55-279209D0BC95}"/>
            </a:ext>
          </a:extLst>
        </xdr:cNvPr>
        <xdr:cNvSpPr txBox="1"/>
      </xdr:nvSpPr>
      <xdr:spPr>
        <a:xfrm>
          <a:off x="40767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A74AAC4F-F908-427A-8392-D9ED673BF5AA}"/>
            </a:ext>
          </a:extLst>
        </xdr:cNvPr>
        <xdr:cNvSpPr txBox="1"/>
      </xdr:nvSpPr>
      <xdr:spPr>
        <a:xfrm>
          <a:off x="5486400" y="13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71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1DD64D43-1368-4290-AC63-1422CD492C2A}"/>
            </a:ext>
          </a:extLst>
        </xdr:cNvPr>
        <xdr:cNvSpPr txBox="1"/>
      </xdr:nvSpPr>
      <xdr:spPr>
        <a:xfrm>
          <a:off x="294005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C8FC3DF7-D4D0-40C2-9871-11F1A103F328}"/>
            </a:ext>
          </a:extLst>
        </xdr:cNvPr>
        <xdr:cNvSpPr txBox="1"/>
      </xdr:nvSpPr>
      <xdr:spPr>
        <a:xfrm>
          <a:off x="30480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55DB07EB-16C7-477D-B8C0-CBE8642EC693}"/>
            </a:ext>
          </a:extLst>
        </xdr:cNvPr>
        <xdr:cNvSpPr txBox="1"/>
      </xdr:nvSpPr>
      <xdr:spPr>
        <a:xfrm>
          <a:off x="40767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41FC013-8B39-4902-BC07-107B50BD8065}"/>
            </a:ext>
          </a:extLst>
        </xdr:cNvPr>
        <xdr:cNvSpPr txBox="1"/>
      </xdr:nvSpPr>
      <xdr:spPr>
        <a:xfrm>
          <a:off x="54864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D1BE0A34-D49B-4CDA-AC10-EE4CA9D891A2}"/>
            </a:ext>
          </a:extLst>
        </xdr:cNvPr>
        <xdr:cNvSpPr txBox="1"/>
      </xdr:nvSpPr>
      <xdr:spPr>
        <a:xfrm>
          <a:off x="40767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355B8237-627D-4838-9142-A9DFAF48E947}"/>
            </a:ext>
          </a:extLst>
        </xdr:cNvPr>
        <xdr:cNvSpPr txBox="1"/>
      </xdr:nvSpPr>
      <xdr:spPr>
        <a:xfrm>
          <a:off x="5486400" y="13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3291840</xdr:colOff>
      <xdr:row>97</xdr:row>
      <xdr:rowOff>0</xdr:rowOff>
    </xdr:from>
    <xdr:ext cx="199188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320B5165-062D-4386-AC7F-4031C013E891}"/>
            </a:ext>
          </a:extLst>
        </xdr:cNvPr>
        <xdr:cNvSpPr txBox="1"/>
      </xdr:nvSpPr>
      <xdr:spPr>
        <a:xfrm>
          <a:off x="3495675" y="176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98</xdr:row>
      <xdr:rowOff>0</xdr:rowOff>
    </xdr:from>
    <xdr:ext cx="199188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ECCFC6E2-AC79-4B9A-8FB1-76090662C597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99</xdr:row>
      <xdr:rowOff>0</xdr:rowOff>
    </xdr:from>
    <xdr:ext cx="199188" cy="30346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245399D1-5718-4855-ACC8-22213945D1CE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100</xdr:row>
      <xdr:rowOff>0</xdr:rowOff>
    </xdr:from>
    <xdr:ext cx="199188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3F09010A-7A66-43FD-8C22-8FF996F42D60}"/>
            </a:ext>
          </a:extLst>
        </xdr:cNvPr>
        <xdr:cNvSpPr txBox="1"/>
      </xdr:nvSpPr>
      <xdr:spPr>
        <a:xfrm>
          <a:off x="34956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100</xdr:row>
      <xdr:rowOff>0</xdr:rowOff>
    </xdr:from>
    <xdr:ext cx="199188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802B9152-7C13-4F15-ADB7-3CF9C85E0962}"/>
            </a:ext>
          </a:extLst>
        </xdr:cNvPr>
        <xdr:cNvSpPr txBox="1"/>
      </xdr:nvSpPr>
      <xdr:spPr>
        <a:xfrm>
          <a:off x="34956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101</xdr:row>
      <xdr:rowOff>0</xdr:rowOff>
    </xdr:from>
    <xdr:ext cx="199188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D6757175-F1B4-48DC-8591-0DC1A482D8A7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101</xdr:row>
      <xdr:rowOff>0</xdr:rowOff>
    </xdr:from>
    <xdr:ext cx="199188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493B4255-5A03-4F11-B793-CA781C73BEF9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102</xdr:row>
      <xdr:rowOff>0</xdr:rowOff>
    </xdr:from>
    <xdr:ext cx="199188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9B720B5B-EDF7-4F03-8D8E-52A591D646B4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102</xdr:row>
      <xdr:rowOff>0</xdr:rowOff>
    </xdr:from>
    <xdr:ext cx="199188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9E534433-3590-4231-BF7A-63874B5132FB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103</xdr:row>
      <xdr:rowOff>0</xdr:rowOff>
    </xdr:from>
    <xdr:ext cx="199188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1F5FD3A-3919-41CF-BFD2-56298D01E2AC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103</xdr:row>
      <xdr:rowOff>0</xdr:rowOff>
    </xdr:from>
    <xdr:ext cx="199188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BE225183-667A-4B48-977F-37388F7062E1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104</xdr:row>
      <xdr:rowOff>0</xdr:rowOff>
    </xdr:from>
    <xdr:ext cx="199188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BCCB28D7-0571-4B43-9F63-B0522F29FEE4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104</xdr:row>
      <xdr:rowOff>0</xdr:rowOff>
    </xdr:from>
    <xdr:ext cx="199188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875BCE1C-3050-4F60-B9C8-7EF122D38725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3291840</xdr:colOff>
      <xdr:row>105</xdr:row>
      <xdr:rowOff>0</xdr:rowOff>
    </xdr:from>
    <xdr:ext cx="199188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E8894C3B-3C81-4354-A745-89C2EFCA92FA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97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71E1AE5E-43AF-4B68-A604-1514A69B7C0E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A14BD0E6-A4F1-456A-8165-ED39DB7D20CC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91101" cy="303466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D9944E27-1486-4147-870F-F2D47D13B97C}"/>
            </a:ext>
          </a:extLst>
        </xdr:cNvPr>
        <xdr:cNvSpPr txBox="1"/>
      </xdr:nvSpPr>
      <xdr:spPr>
        <a:xfrm>
          <a:off x="34956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6CD735CC-4439-4B28-892A-87EF157BCE98}"/>
            </a:ext>
          </a:extLst>
        </xdr:cNvPr>
        <xdr:cNvSpPr txBox="1"/>
      </xdr:nvSpPr>
      <xdr:spPr>
        <a:xfrm>
          <a:off x="49815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B17B0086-AC0B-43F4-B120-955B6DD34C68}"/>
            </a:ext>
          </a:extLst>
        </xdr:cNvPr>
        <xdr:cNvSpPr txBox="1"/>
      </xdr:nvSpPr>
      <xdr:spPr>
        <a:xfrm>
          <a:off x="49815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C4691537-ACAA-4887-B8F3-A97D7489D9A5}"/>
            </a:ext>
          </a:extLst>
        </xdr:cNvPr>
        <xdr:cNvSpPr txBox="1"/>
      </xdr:nvSpPr>
      <xdr:spPr>
        <a:xfrm>
          <a:off x="34956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74D64785-771D-47C2-BA40-C9543DFE6828}"/>
            </a:ext>
          </a:extLst>
        </xdr:cNvPr>
        <xdr:cNvSpPr txBox="1"/>
      </xdr:nvSpPr>
      <xdr:spPr>
        <a:xfrm>
          <a:off x="34956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102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8DC5373D-254B-4671-AF16-367CBEAA00AA}"/>
            </a:ext>
          </a:extLst>
        </xdr:cNvPr>
        <xdr:cNvSpPr txBox="1"/>
      </xdr:nvSpPr>
      <xdr:spPr>
        <a:xfrm>
          <a:off x="3495675" y="1727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102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65252617-8881-4320-A1D4-CFA85583BB38}"/>
            </a:ext>
          </a:extLst>
        </xdr:cNvPr>
        <xdr:cNvSpPr txBox="1"/>
      </xdr:nvSpPr>
      <xdr:spPr>
        <a:xfrm>
          <a:off x="3495675" y="1727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103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38AF38C9-689B-4B94-93EE-86FD52B30A28}"/>
            </a:ext>
          </a:extLst>
        </xdr:cNvPr>
        <xdr:cNvSpPr txBox="1"/>
      </xdr:nvSpPr>
      <xdr:spPr>
        <a:xfrm>
          <a:off x="3495675" y="1744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103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C055436D-487A-420C-B522-54E75B5F5B43}"/>
            </a:ext>
          </a:extLst>
        </xdr:cNvPr>
        <xdr:cNvSpPr txBox="1"/>
      </xdr:nvSpPr>
      <xdr:spPr>
        <a:xfrm>
          <a:off x="3495675" y="1744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104</xdr:row>
      <xdr:rowOff>0</xdr:rowOff>
    </xdr:from>
    <xdr:ext cx="19110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A9B5F4E0-B000-45DD-BD8D-22A5843AD1AB}"/>
            </a:ext>
          </a:extLst>
        </xdr:cNvPr>
        <xdr:cNvSpPr txBox="1"/>
      </xdr:nvSpPr>
      <xdr:spPr>
        <a:xfrm>
          <a:off x="3495675" y="1760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104</xdr:row>
      <xdr:rowOff>0</xdr:rowOff>
    </xdr:from>
    <xdr:ext cx="19110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122CBE17-FECB-4066-9912-F4C1FDEC24F7}"/>
            </a:ext>
          </a:extLst>
        </xdr:cNvPr>
        <xdr:cNvSpPr txBox="1"/>
      </xdr:nvSpPr>
      <xdr:spPr>
        <a:xfrm>
          <a:off x="3495675" y="1760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9110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9B0C89AB-E7D8-4000-BD10-D2B20EBCA966}"/>
            </a:ext>
          </a:extLst>
        </xdr:cNvPr>
        <xdr:cNvSpPr txBox="1"/>
      </xdr:nvSpPr>
      <xdr:spPr>
        <a:xfrm>
          <a:off x="3495675" y="1776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97</xdr:row>
      <xdr:rowOff>0</xdr:rowOff>
    </xdr:from>
    <xdr:ext cx="19110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193C900E-385D-45E4-BCE7-156A411FFA48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98</xdr:row>
      <xdr:rowOff>0</xdr:rowOff>
    </xdr:from>
    <xdr:ext cx="19110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62FCEC0-94C3-4A5F-AC29-1294E0F732DC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99</xdr:row>
      <xdr:rowOff>0</xdr:rowOff>
    </xdr:from>
    <xdr:ext cx="191101" cy="30346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85A25616-8191-480A-A460-17ED8631448D}"/>
            </a:ext>
          </a:extLst>
        </xdr:cNvPr>
        <xdr:cNvSpPr txBox="1"/>
      </xdr:nvSpPr>
      <xdr:spPr>
        <a:xfrm>
          <a:off x="34956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100</xdr:row>
      <xdr:rowOff>0</xdr:rowOff>
    </xdr:from>
    <xdr:ext cx="19110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820EC0E-907A-42B6-940A-7DFA4F9C622A}"/>
            </a:ext>
          </a:extLst>
        </xdr:cNvPr>
        <xdr:cNvSpPr txBox="1"/>
      </xdr:nvSpPr>
      <xdr:spPr>
        <a:xfrm>
          <a:off x="6191250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100</xdr:row>
      <xdr:rowOff>0</xdr:rowOff>
    </xdr:from>
    <xdr:ext cx="19110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627BD6AD-54B8-4E7E-AD56-2767F46B9FB0}"/>
            </a:ext>
          </a:extLst>
        </xdr:cNvPr>
        <xdr:cNvSpPr txBox="1"/>
      </xdr:nvSpPr>
      <xdr:spPr>
        <a:xfrm>
          <a:off x="6191250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101</xdr:row>
      <xdr:rowOff>0</xdr:rowOff>
    </xdr:from>
    <xdr:ext cx="19110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A9807C81-04B9-49AD-8AF1-3B460C013E61}"/>
            </a:ext>
          </a:extLst>
        </xdr:cNvPr>
        <xdr:cNvSpPr txBox="1"/>
      </xdr:nvSpPr>
      <xdr:spPr>
        <a:xfrm>
          <a:off x="34956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101</xdr:row>
      <xdr:rowOff>0</xdr:rowOff>
    </xdr:from>
    <xdr:ext cx="19110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D3984D31-F750-4675-BFFA-F744288E451D}"/>
            </a:ext>
          </a:extLst>
        </xdr:cNvPr>
        <xdr:cNvSpPr txBox="1"/>
      </xdr:nvSpPr>
      <xdr:spPr>
        <a:xfrm>
          <a:off x="34956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102</xdr:row>
      <xdr:rowOff>0</xdr:rowOff>
    </xdr:from>
    <xdr:ext cx="19110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2D4B6557-DE63-4200-B43A-7EC982B9BB8C}"/>
            </a:ext>
          </a:extLst>
        </xdr:cNvPr>
        <xdr:cNvSpPr txBox="1"/>
      </xdr:nvSpPr>
      <xdr:spPr>
        <a:xfrm>
          <a:off x="3495675" y="1727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102</xdr:row>
      <xdr:rowOff>0</xdr:rowOff>
    </xdr:from>
    <xdr:ext cx="19110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ADB7E53B-FF37-48C0-B335-11453CDF6E74}"/>
            </a:ext>
          </a:extLst>
        </xdr:cNvPr>
        <xdr:cNvSpPr txBox="1"/>
      </xdr:nvSpPr>
      <xdr:spPr>
        <a:xfrm>
          <a:off x="3495675" y="1727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103</xdr:row>
      <xdr:rowOff>0</xdr:rowOff>
    </xdr:from>
    <xdr:ext cx="19110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1EFE450F-059C-4834-A7AD-18993C513769}"/>
            </a:ext>
          </a:extLst>
        </xdr:cNvPr>
        <xdr:cNvSpPr txBox="1"/>
      </xdr:nvSpPr>
      <xdr:spPr>
        <a:xfrm>
          <a:off x="3495675" y="1744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103</xdr:row>
      <xdr:rowOff>0</xdr:rowOff>
    </xdr:from>
    <xdr:ext cx="19110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FCAFDFB3-A93C-4BE8-9EAC-583FBD9F2B0E}"/>
            </a:ext>
          </a:extLst>
        </xdr:cNvPr>
        <xdr:cNvSpPr txBox="1"/>
      </xdr:nvSpPr>
      <xdr:spPr>
        <a:xfrm>
          <a:off x="3495675" y="1744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104</xdr:row>
      <xdr:rowOff>0</xdr:rowOff>
    </xdr:from>
    <xdr:ext cx="19110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CBABA985-4618-42BB-A3F3-4B0C7B9AFEB3}"/>
            </a:ext>
          </a:extLst>
        </xdr:cNvPr>
        <xdr:cNvSpPr txBox="1"/>
      </xdr:nvSpPr>
      <xdr:spPr>
        <a:xfrm>
          <a:off x="3495675" y="1760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104</xdr:row>
      <xdr:rowOff>0</xdr:rowOff>
    </xdr:from>
    <xdr:ext cx="19110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10CCE14C-E709-48B0-A803-9F527340D887}"/>
            </a:ext>
          </a:extLst>
        </xdr:cNvPr>
        <xdr:cNvSpPr txBox="1"/>
      </xdr:nvSpPr>
      <xdr:spPr>
        <a:xfrm>
          <a:off x="3495675" y="1760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105</xdr:row>
      <xdr:rowOff>0</xdr:rowOff>
    </xdr:from>
    <xdr:ext cx="19110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AA6556CD-B638-462D-9D15-64AE6AF56AD8}"/>
            </a:ext>
          </a:extLst>
        </xdr:cNvPr>
        <xdr:cNvSpPr txBox="1"/>
      </xdr:nvSpPr>
      <xdr:spPr>
        <a:xfrm>
          <a:off x="3495675" y="1776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97</xdr:row>
      <xdr:rowOff>0</xdr:rowOff>
    </xdr:from>
    <xdr:ext cx="19110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C73DAB10-9F0B-4F98-8445-BA673B7880B8}"/>
            </a:ext>
          </a:extLst>
        </xdr:cNvPr>
        <xdr:cNvSpPr txBox="1"/>
      </xdr:nvSpPr>
      <xdr:spPr>
        <a:xfrm>
          <a:off x="3495675" y="1646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9110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6F81D6F0-6E63-4A97-9EE7-ACA49954B605}"/>
            </a:ext>
          </a:extLst>
        </xdr:cNvPr>
        <xdr:cNvSpPr txBox="1"/>
      </xdr:nvSpPr>
      <xdr:spPr>
        <a:xfrm>
          <a:off x="3495675" y="1663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91101" cy="30346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970D70D3-2C8F-4B71-8D62-5643D6251C9E}"/>
            </a:ext>
          </a:extLst>
        </xdr:cNvPr>
        <xdr:cNvSpPr txBox="1"/>
      </xdr:nvSpPr>
      <xdr:spPr>
        <a:xfrm>
          <a:off x="349567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9110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F03D4CA1-C3B9-446A-B7A4-45F4C8DCD891}"/>
            </a:ext>
          </a:extLst>
        </xdr:cNvPr>
        <xdr:cNvSpPr txBox="1"/>
      </xdr:nvSpPr>
      <xdr:spPr>
        <a:xfrm>
          <a:off x="740092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9110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993A5973-31C2-49F4-9E8D-5FC51B38589A}"/>
            </a:ext>
          </a:extLst>
        </xdr:cNvPr>
        <xdr:cNvSpPr txBox="1"/>
      </xdr:nvSpPr>
      <xdr:spPr>
        <a:xfrm>
          <a:off x="7400925" y="1679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9110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C68B1624-D642-4D9E-AE8B-1CE134CEA2F8}"/>
            </a:ext>
          </a:extLst>
        </xdr:cNvPr>
        <xdr:cNvSpPr txBox="1"/>
      </xdr:nvSpPr>
      <xdr:spPr>
        <a:xfrm>
          <a:off x="34956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9110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15AA4270-ADA5-4758-A5C9-A39ED241A234}"/>
            </a:ext>
          </a:extLst>
        </xdr:cNvPr>
        <xdr:cNvSpPr txBox="1"/>
      </xdr:nvSpPr>
      <xdr:spPr>
        <a:xfrm>
          <a:off x="34956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102</xdr:row>
      <xdr:rowOff>0</xdr:rowOff>
    </xdr:from>
    <xdr:ext cx="19110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C261EE00-7C78-4391-9FCB-330CB5A9771C}"/>
            </a:ext>
          </a:extLst>
        </xdr:cNvPr>
        <xdr:cNvSpPr txBox="1"/>
      </xdr:nvSpPr>
      <xdr:spPr>
        <a:xfrm>
          <a:off x="3495675" y="1727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102</xdr:row>
      <xdr:rowOff>0</xdr:rowOff>
    </xdr:from>
    <xdr:ext cx="19110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85350EAD-3298-4C06-A813-B0E29227ED1E}"/>
            </a:ext>
          </a:extLst>
        </xdr:cNvPr>
        <xdr:cNvSpPr txBox="1"/>
      </xdr:nvSpPr>
      <xdr:spPr>
        <a:xfrm>
          <a:off x="3495675" y="1727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103</xdr:row>
      <xdr:rowOff>0</xdr:rowOff>
    </xdr:from>
    <xdr:ext cx="19110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1C07D5C9-AEE5-4283-AB41-41E1FA45B8D7}"/>
            </a:ext>
          </a:extLst>
        </xdr:cNvPr>
        <xdr:cNvSpPr txBox="1"/>
      </xdr:nvSpPr>
      <xdr:spPr>
        <a:xfrm>
          <a:off x="3495675" y="1744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103</xdr:row>
      <xdr:rowOff>0</xdr:rowOff>
    </xdr:from>
    <xdr:ext cx="19110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8EB34CC2-06D3-4DA4-B37A-D5A3D46B1256}"/>
            </a:ext>
          </a:extLst>
        </xdr:cNvPr>
        <xdr:cNvSpPr txBox="1"/>
      </xdr:nvSpPr>
      <xdr:spPr>
        <a:xfrm>
          <a:off x="3495675" y="1744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104</xdr:row>
      <xdr:rowOff>0</xdr:rowOff>
    </xdr:from>
    <xdr:ext cx="19110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55CD7871-BCD4-4E39-B932-D2144D7CF158}"/>
            </a:ext>
          </a:extLst>
        </xdr:cNvPr>
        <xdr:cNvSpPr txBox="1"/>
      </xdr:nvSpPr>
      <xdr:spPr>
        <a:xfrm>
          <a:off x="3495675" y="1760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104</xdr:row>
      <xdr:rowOff>0</xdr:rowOff>
    </xdr:from>
    <xdr:ext cx="19110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A541FEE9-EC95-421F-9117-C043FA83B0A5}"/>
            </a:ext>
          </a:extLst>
        </xdr:cNvPr>
        <xdr:cNvSpPr txBox="1"/>
      </xdr:nvSpPr>
      <xdr:spPr>
        <a:xfrm>
          <a:off x="3495675" y="1760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9110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CBCBBFE4-96E3-448F-8125-3700D01FD280}"/>
            </a:ext>
          </a:extLst>
        </xdr:cNvPr>
        <xdr:cNvSpPr txBox="1"/>
      </xdr:nvSpPr>
      <xdr:spPr>
        <a:xfrm>
          <a:off x="3495675" y="1776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352</xdr:row>
      <xdr:rowOff>0</xdr:rowOff>
    </xdr:from>
    <xdr:ext cx="19110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5C2FB06D-1703-4C3E-87D0-BA4E742B1669}"/>
            </a:ext>
          </a:extLst>
        </xdr:cNvPr>
        <xdr:cNvSpPr txBox="1"/>
      </xdr:nvSpPr>
      <xdr:spPr>
        <a:xfrm>
          <a:off x="276225" y="1305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353</xdr:row>
      <xdr:rowOff>0</xdr:rowOff>
    </xdr:from>
    <xdr:ext cx="19110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63ADEB98-0CC5-4099-8756-3881D1354B58}"/>
            </a:ext>
          </a:extLst>
        </xdr:cNvPr>
        <xdr:cNvSpPr txBox="1"/>
      </xdr:nvSpPr>
      <xdr:spPr>
        <a:xfrm>
          <a:off x="381000" y="7196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354</xdr:row>
      <xdr:rowOff>0</xdr:rowOff>
    </xdr:from>
    <xdr:ext cx="19110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92577AD7-5D97-46F1-8F2A-09500DBA08BF}"/>
            </a:ext>
          </a:extLst>
        </xdr:cNvPr>
        <xdr:cNvSpPr txBox="1"/>
      </xdr:nvSpPr>
      <xdr:spPr>
        <a:xfrm>
          <a:off x="381000" y="7196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B012748F-D0AC-48CF-B41A-0A3864E9ABD0}"/>
            </a:ext>
          </a:extLst>
        </xdr:cNvPr>
        <xdr:cNvSpPr txBox="1"/>
      </xdr:nvSpPr>
      <xdr:spPr>
        <a:xfrm>
          <a:off x="381000" y="7196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353</xdr:row>
      <xdr:rowOff>0</xdr:rowOff>
    </xdr:from>
    <xdr:ext cx="19110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6AE7372-FDAF-40BA-B2FE-DA8A4F168A60}"/>
            </a:ext>
          </a:extLst>
        </xdr:cNvPr>
        <xdr:cNvSpPr txBox="1"/>
      </xdr:nvSpPr>
      <xdr:spPr>
        <a:xfrm>
          <a:off x="381000" y="7196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354</xdr:row>
      <xdr:rowOff>0</xdr:rowOff>
    </xdr:from>
    <xdr:ext cx="19110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E6A5DD99-0946-4442-B326-B07E538677AD}"/>
            </a:ext>
          </a:extLst>
        </xdr:cNvPr>
        <xdr:cNvSpPr txBox="1"/>
      </xdr:nvSpPr>
      <xdr:spPr>
        <a:xfrm>
          <a:off x="381000" y="7196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B20EC9B2-B933-499E-AC22-11B6A7C40261}"/>
            </a:ext>
          </a:extLst>
        </xdr:cNvPr>
        <xdr:cNvSpPr txBox="1"/>
      </xdr:nvSpPr>
      <xdr:spPr>
        <a:xfrm>
          <a:off x="381000" y="7196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353</xdr:row>
      <xdr:rowOff>0</xdr:rowOff>
    </xdr:from>
    <xdr:ext cx="19110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398D2AD2-3F2A-4664-8200-319AECB29B22}"/>
            </a:ext>
          </a:extLst>
        </xdr:cNvPr>
        <xdr:cNvSpPr txBox="1"/>
      </xdr:nvSpPr>
      <xdr:spPr>
        <a:xfrm>
          <a:off x="381000" y="6688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354</xdr:row>
      <xdr:rowOff>0</xdr:rowOff>
    </xdr:from>
    <xdr:ext cx="19110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FA9EE8E4-D8A8-48CE-B24D-1D9AE15AA74A}"/>
            </a:ext>
          </a:extLst>
        </xdr:cNvPr>
        <xdr:cNvSpPr txBox="1"/>
      </xdr:nvSpPr>
      <xdr:spPr>
        <a:xfrm>
          <a:off x="381000" y="6688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87D3B225-C45A-4408-819E-44C5357F4315}"/>
            </a:ext>
          </a:extLst>
        </xdr:cNvPr>
        <xdr:cNvSpPr txBox="1"/>
      </xdr:nvSpPr>
      <xdr:spPr>
        <a:xfrm>
          <a:off x="381000" y="6688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A081A834-E55C-49E4-B648-31D02DAB0400}"/>
            </a:ext>
          </a:extLst>
        </xdr:cNvPr>
        <xdr:cNvSpPr txBox="1"/>
      </xdr:nvSpPr>
      <xdr:spPr>
        <a:xfrm>
          <a:off x="381000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356</xdr:row>
      <xdr:rowOff>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B2614464-9330-4B20-BB16-B6D7588423CD}"/>
            </a:ext>
          </a:extLst>
        </xdr:cNvPr>
        <xdr:cNvSpPr txBox="1"/>
      </xdr:nvSpPr>
      <xdr:spPr>
        <a:xfrm>
          <a:off x="381000" y="67370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D5279AB2-B24F-45CC-993B-DB5AB274DB20}"/>
            </a:ext>
          </a:extLst>
        </xdr:cNvPr>
        <xdr:cNvSpPr txBox="1"/>
      </xdr:nvSpPr>
      <xdr:spPr>
        <a:xfrm>
          <a:off x="381000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356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84445ACA-D4C6-4F6C-92F3-A89F9C755063}"/>
            </a:ext>
          </a:extLst>
        </xdr:cNvPr>
        <xdr:cNvSpPr txBox="1"/>
      </xdr:nvSpPr>
      <xdr:spPr>
        <a:xfrm>
          <a:off x="381000" y="67370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9AC23F8D-CCD7-44C4-823B-2024C5714D0B}"/>
            </a:ext>
          </a:extLst>
        </xdr:cNvPr>
        <xdr:cNvSpPr txBox="1"/>
      </xdr:nvSpPr>
      <xdr:spPr>
        <a:xfrm>
          <a:off x="381000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356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66C084BA-D564-40FA-8A8E-32842B32AC9E}"/>
            </a:ext>
          </a:extLst>
        </xdr:cNvPr>
        <xdr:cNvSpPr txBox="1"/>
      </xdr:nvSpPr>
      <xdr:spPr>
        <a:xfrm>
          <a:off x="381000" y="67370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352</xdr:row>
      <xdr:rowOff>0</xdr:rowOff>
    </xdr:from>
    <xdr:ext cx="190889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A589117F-0F77-4CF3-A0B0-7B39B70A489C}"/>
            </a:ext>
          </a:extLst>
        </xdr:cNvPr>
        <xdr:cNvSpPr txBox="1"/>
      </xdr:nvSpPr>
      <xdr:spPr>
        <a:xfrm>
          <a:off x="2840355" y="64379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352</xdr:row>
      <xdr:rowOff>0</xdr:rowOff>
    </xdr:from>
    <xdr:ext cx="190889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C7440935-7AC7-4ACA-9F24-537A1CD0093F}"/>
            </a:ext>
          </a:extLst>
        </xdr:cNvPr>
        <xdr:cNvSpPr txBox="1"/>
      </xdr:nvSpPr>
      <xdr:spPr>
        <a:xfrm>
          <a:off x="4032885" y="64379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352</xdr:row>
      <xdr:rowOff>0</xdr:rowOff>
    </xdr:from>
    <xdr:ext cx="190889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D310A09F-AA47-4823-AD76-27DE0422DFDC}"/>
            </a:ext>
          </a:extLst>
        </xdr:cNvPr>
        <xdr:cNvSpPr txBox="1"/>
      </xdr:nvSpPr>
      <xdr:spPr>
        <a:xfrm>
          <a:off x="5223510" y="64379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353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2357DFE2-FD30-4D04-9426-3CF22742064F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353</xdr:row>
      <xdr:rowOff>0</xdr:rowOff>
    </xdr:from>
    <xdr:ext cx="190889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91FFAC26-6F96-4E77-AE69-15B5D9DF2C5D}"/>
            </a:ext>
          </a:extLst>
        </xdr:cNvPr>
        <xdr:cNvSpPr txBox="1"/>
      </xdr:nvSpPr>
      <xdr:spPr>
        <a:xfrm>
          <a:off x="2840355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353</xdr:row>
      <xdr:rowOff>0</xdr:rowOff>
    </xdr:from>
    <xdr:ext cx="190889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E604E7B0-4959-4CAD-B7F3-AA3C8EB5D230}"/>
            </a:ext>
          </a:extLst>
        </xdr:cNvPr>
        <xdr:cNvSpPr txBox="1"/>
      </xdr:nvSpPr>
      <xdr:spPr>
        <a:xfrm>
          <a:off x="4032885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353</xdr:row>
      <xdr:rowOff>0</xdr:rowOff>
    </xdr:from>
    <xdr:ext cx="190889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58212406-3240-4863-A6E1-F10E3DF3A952}"/>
            </a:ext>
          </a:extLst>
        </xdr:cNvPr>
        <xdr:cNvSpPr txBox="1"/>
      </xdr:nvSpPr>
      <xdr:spPr>
        <a:xfrm>
          <a:off x="5223510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354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8B033F79-35E2-4F88-A03D-921ED13F01D6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354</xdr:row>
      <xdr:rowOff>0</xdr:rowOff>
    </xdr:from>
    <xdr:ext cx="190889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AC87444E-B641-46E5-90E8-CEBAC7E5AA52}"/>
            </a:ext>
          </a:extLst>
        </xdr:cNvPr>
        <xdr:cNvSpPr txBox="1"/>
      </xdr:nvSpPr>
      <xdr:spPr>
        <a:xfrm>
          <a:off x="2840355" y="647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354</xdr:row>
      <xdr:rowOff>0</xdr:rowOff>
    </xdr:from>
    <xdr:ext cx="190889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EC892104-D260-4A57-B5B9-66F280C91986}"/>
            </a:ext>
          </a:extLst>
        </xdr:cNvPr>
        <xdr:cNvSpPr txBox="1"/>
      </xdr:nvSpPr>
      <xdr:spPr>
        <a:xfrm>
          <a:off x="4032885" y="647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354</xdr:row>
      <xdr:rowOff>0</xdr:rowOff>
    </xdr:from>
    <xdr:ext cx="190889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56E7AF55-FE1A-4D28-ADCF-91CF723AE08B}"/>
            </a:ext>
          </a:extLst>
        </xdr:cNvPr>
        <xdr:cNvSpPr txBox="1"/>
      </xdr:nvSpPr>
      <xdr:spPr>
        <a:xfrm>
          <a:off x="5223510" y="647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355</xdr:row>
      <xdr:rowOff>0</xdr:rowOff>
    </xdr:from>
    <xdr:ext cx="19110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D85483E9-5CAB-4DA9-BBD0-664C46C25520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355</xdr:row>
      <xdr:rowOff>0</xdr:rowOff>
    </xdr:from>
    <xdr:ext cx="190889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ADBADEC-5B89-40CD-9051-2A26194F65F3}"/>
            </a:ext>
          </a:extLst>
        </xdr:cNvPr>
        <xdr:cNvSpPr txBox="1"/>
      </xdr:nvSpPr>
      <xdr:spPr>
        <a:xfrm>
          <a:off x="2840355" y="648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355</xdr:row>
      <xdr:rowOff>0</xdr:rowOff>
    </xdr:from>
    <xdr:ext cx="190889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58A5CC89-A6F1-47F7-A274-B052223C6C0B}"/>
            </a:ext>
          </a:extLst>
        </xdr:cNvPr>
        <xdr:cNvSpPr txBox="1"/>
      </xdr:nvSpPr>
      <xdr:spPr>
        <a:xfrm>
          <a:off x="4032885" y="648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355</xdr:row>
      <xdr:rowOff>0</xdr:rowOff>
    </xdr:from>
    <xdr:ext cx="190889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23107DA5-EE6D-451B-861D-5F37274569FA}"/>
            </a:ext>
          </a:extLst>
        </xdr:cNvPr>
        <xdr:cNvSpPr txBox="1"/>
      </xdr:nvSpPr>
      <xdr:spPr>
        <a:xfrm>
          <a:off x="5223510" y="648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356</xdr:row>
      <xdr:rowOff>0</xdr:rowOff>
    </xdr:from>
    <xdr:ext cx="19110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746005C1-8C68-415A-B362-A7201D38752F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356</xdr:row>
      <xdr:rowOff>0</xdr:rowOff>
    </xdr:from>
    <xdr:ext cx="190889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380F9865-6EE1-4B66-A370-212C4F19E243}"/>
            </a:ext>
          </a:extLst>
        </xdr:cNvPr>
        <xdr:cNvSpPr txBox="1"/>
      </xdr:nvSpPr>
      <xdr:spPr>
        <a:xfrm>
          <a:off x="2840355" y="6502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356</xdr:row>
      <xdr:rowOff>0</xdr:rowOff>
    </xdr:from>
    <xdr:ext cx="190889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3F50B336-8F49-460C-B5C7-FD58710597BA}"/>
            </a:ext>
          </a:extLst>
        </xdr:cNvPr>
        <xdr:cNvSpPr txBox="1"/>
      </xdr:nvSpPr>
      <xdr:spPr>
        <a:xfrm>
          <a:off x="4032885" y="6502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356</xdr:row>
      <xdr:rowOff>0</xdr:rowOff>
    </xdr:from>
    <xdr:ext cx="190889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B94B9F1B-B2B3-4955-97CD-B2B16CD49153}"/>
            </a:ext>
          </a:extLst>
        </xdr:cNvPr>
        <xdr:cNvSpPr txBox="1"/>
      </xdr:nvSpPr>
      <xdr:spPr>
        <a:xfrm>
          <a:off x="5223510" y="6502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357</xdr:row>
      <xdr:rowOff>0</xdr:rowOff>
    </xdr:from>
    <xdr:ext cx="19110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84D2FE9-412B-44D0-8BD7-D86FD0661B5F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357</xdr:row>
      <xdr:rowOff>0</xdr:rowOff>
    </xdr:from>
    <xdr:ext cx="190889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36F5E1F9-9BE6-4003-9D95-F580B30F05BF}"/>
            </a:ext>
          </a:extLst>
        </xdr:cNvPr>
        <xdr:cNvSpPr txBox="1"/>
      </xdr:nvSpPr>
      <xdr:spPr>
        <a:xfrm>
          <a:off x="2840355" y="6518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357</xdr:row>
      <xdr:rowOff>0</xdr:rowOff>
    </xdr:from>
    <xdr:ext cx="190889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338AA902-8544-496A-A498-7D4BAC938B8F}"/>
            </a:ext>
          </a:extLst>
        </xdr:cNvPr>
        <xdr:cNvSpPr txBox="1"/>
      </xdr:nvSpPr>
      <xdr:spPr>
        <a:xfrm>
          <a:off x="4032885" y="6518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357</xdr:row>
      <xdr:rowOff>0</xdr:rowOff>
    </xdr:from>
    <xdr:ext cx="190889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BCF1CBFF-4D5C-45D0-BB5F-13FA97F252D1}"/>
            </a:ext>
          </a:extLst>
        </xdr:cNvPr>
        <xdr:cNvSpPr txBox="1"/>
      </xdr:nvSpPr>
      <xdr:spPr>
        <a:xfrm>
          <a:off x="5223510" y="6518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358</xdr:row>
      <xdr:rowOff>0</xdr:rowOff>
    </xdr:from>
    <xdr:ext cx="19110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694AF79E-20B1-46EA-B006-CB65D6F67DA2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358</xdr:row>
      <xdr:rowOff>0</xdr:rowOff>
    </xdr:from>
    <xdr:ext cx="190889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8079B63D-DE96-4B5F-9FF5-76E14478AFC0}"/>
            </a:ext>
          </a:extLst>
        </xdr:cNvPr>
        <xdr:cNvSpPr txBox="1"/>
      </xdr:nvSpPr>
      <xdr:spPr>
        <a:xfrm>
          <a:off x="2840355" y="6535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358</xdr:row>
      <xdr:rowOff>0</xdr:rowOff>
    </xdr:from>
    <xdr:ext cx="190889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311E538-5148-498E-9D45-ABAA3289C5BA}"/>
            </a:ext>
          </a:extLst>
        </xdr:cNvPr>
        <xdr:cNvSpPr txBox="1"/>
      </xdr:nvSpPr>
      <xdr:spPr>
        <a:xfrm>
          <a:off x="4032885" y="6535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358</xdr:row>
      <xdr:rowOff>0</xdr:rowOff>
    </xdr:from>
    <xdr:ext cx="190889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3979F921-5949-4A6D-8559-0FD9F55F69AB}"/>
            </a:ext>
          </a:extLst>
        </xdr:cNvPr>
        <xdr:cNvSpPr txBox="1"/>
      </xdr:nvSpPr>
      <xdr:spPr>
        <a:xfrm>
          <a:off x="5223510" y="6535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359</xdr:row>
      <xdr:rowOff>0</xdr:rowOff>
    </xdr:from>
    <xdr:ext cx="19110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FF72592A-FD30-4A84-97E1-4FE09851EA31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359</xdr:row>
      <xdr:rowOff>0</xdr:rowOff>
    </xdr:from>
    <xdr:ext cx="190889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E385DB53-9B78-44F0-AD0B-E0FEEA20DF3F}"/>
            </a:ext>
          </a:extLst>
        </xdr:cNvPr>
        <xdr:cNvSpPr txBox="1"/>
      </xdr:nvSpPr>
      <xdr:spPr>
        <a:xfrm>
          <a:off x="2840355" y="6551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359</xdr:row>
      <xdr:rowOff>0</xdr:rowOff>
    </xdr:from>
    <xdr:ext cx="190889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C7C9B1CD-373D-41A3-BFFF-D86056D9C915}"/>
            </a:ext>
          </a:extLst>
        </xdr:cNvPr>
        <xdr:cNvSpPr txBox="1"/>
      </xdr:nvSpPr>
      <xdr:spPr>
        <a:xfrm>
          <a:off x="4032885" y="6551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359</xdr:row>
      <xdr:rowOff>0</xdr:rowOff>
    </xdr:from>
    <xdr:ext cx="190889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5C16F919-7231-47B4-B739-AF013868C742}"/>
            </a:ext>
          </a:extLst>
        </xdr:cNvPr>
        <xdr:cNvSpPr txBox="1"/>
      </xdr:nvSpPr>
      <xdr:spPr>
        <a:xfrm>
          <a:off x="5223510" y="6551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360</xdr:row>
      <xdr:rowOff>0</xdr:rowOff>
    </xdr:from>
    <xdr:ext cx="19110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1FDE6EDC-799F-473F-B43C-36E17C914AC2}"/>
            </a:ext>
          </a:extLst>
        </xdr:cNvPr>
        <xdr:cNvSpPr txBox="1"/>
      </xdr:nvSpPr>
      <xdr:spPr>
        <a:xfrm>
          <a:off x="381000" y="6389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1905</xdr:colOff>
      <xdr:row>360</xdr:row>
      <xdr:rowOff>0</xdr:rowOff>
    </xdr:from>
    <xdr:ext cx="190889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7B9DE450-005E-4B23-B1C1-EB24DDE73AC8}"/>
            </a:ext>
          </a:extLst>
        </xdr:cNvPr>
        <xdr:cNvSpPr txBox="1"/>
      </xdr:nvSpPr>
      <xdr:spPr>
        <a:xfrm>
          <a:off x="2840355" y="6567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360</xdr:row>
      <xdr:rowOff>0</xdr:rowOff>
    </xdr:from>
    <xdr:ext cx="190889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42B632E4-1C0F-4317-A75F-649978FE8992}"/>
            </a:ext>
          </a:extLst>
        </xdr:cNvPr>
        <xdr:cNvSpPr txBox="1"/>
      </xdr:nvSpPr>
      <xdr:spPr>
        <a:xfrm>
          <a:off x="4032885" y="6567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3810</xdr:colOff>
      <xdr:row>360</xdr:row>
      <xdr:rowOff>0</xdr:rowOff>
    </xdr:from>
    <xdr:ext cx="190889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7760519-BE83-4699-B5C9-0E86F8AA7B1F}"/>
            </a:ext>
          </a:extLst>
        </xdr:cNvPr>
        <xdr:cNvSpPr txBox="1"/>
      </xdr:nvSpPr>
      <xdr:spPr>
        <a:xfrm>
          <a:off x="5223510" y="6567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208280</xdr:colOff>
      <xdr:row>58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5B043515-6E9A-450C-BBAD-FD1CD61E46E0}"/>
            </a:ext>
          </a:extLst>
        </xdr:cNvPr>
        <xdr:cNvSpPr txBox="1"/>
      </xdr:nvSpPr>
      <xdr:spPr>
        <a:xfrm>
          <a:off x="20828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8A744750-9FC6-4251-9B5F-CF2A6EA6A8D4}"/>
            </a:ext>
          </a:extLst>
        </xdr:cNvPr>
        <xdr:cNvSpPr txBox="1"/>
      </xdr:nvSpPr>
      <xdr:spPr>
        <a:xfrm>
          <a:off x="278003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9657917-E774-4265-8B94-4F1EFB603F83}"/>
            </a:ext>
          </a:extLst>
        </xdr:cNvPr>
        <xdr:cNvSpPr txBox="1"/>
      </xdr:nvSpPr>
      <xdr:spPr>
        <a:xfrm>
          <a:off x="20828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30170340-2047-4B70-9288-E4EEAA350216}"/>
            </a:ext>
          </a:extLst>
        </xdr:cNvPr>
        <xdr:cNvSpPr txBox="1"/>
      </xdr:nvSpPr>
      <xdr:spPr>
        <a:xfrm>
          <a:off x="20828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534C3F6F-99AD-452D-B683-BA4729D81222}"/>
            </a:ext>
          </a:extLst>
        </xdr:cNvPr>
        <xdr:cNvSpPr txBox="1"/>
      </xdr:nvSpPr>
      <xdr:spPr>
        <a:xfrm>
          <a:off x="20828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16D0B57F-CA77-4361-8423-DE21E194445F}"/>
            </a:ext>
          </a:extLst>
        </xdr:cNvPr>
        <xdr:cNvSpPr txBox="1"/>
      </xdr:nvSpPr>
      <xdr:spPr>
        <a:xfrm>
          <a:off x="278003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58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9E9C72F5-1C8B-4003-AD08-18160915B70C}"/>
            </a:ext>
          </a:extLst>
        </xdr:cNvPr>
        <xdr:cNvSpPr txBox="1"/>
      </xdr:nvSpPr>
      <xdr:spPr>
        <a:xfrm>
          <a:off x="278003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58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969DC701-4CF5-4033-8B68-344D71B04A5D}"/>
            </a:ext>
          </a:extLst>
        </xdr:cNvPr>
        <xdr:cNvSpPr txBox="1"/>
      </xdr:nvSpPr>
      <xdr:spPr>
        <a:xfrm>
          <a:off x="278003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58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AD63A01B-9819-4EDC-AD90-3D5B4E47747B}"/>
            </a:ext>
          </a:extLst>
        </xdr:cNvPr>
        <xdr:cNvSpPr txBox="1"/>
      </xdr:nvSpPr>
      <xdr:spPr>
        <a:xfrm>
          <a:off x="278003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58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B6FD3B72-59AD-48B9-902D-0C292FA3653C}"/>
            </a:ext>
          </a:extLst>
        </xdr:cNvPr>
        <xdr:cNvSpPr txBox="1"/>
      </xdr:nvSpPr>
      <xdr:spPr>
        <a:xfrm>
          <a:off x="329311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58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9CD35F7E-331B-4CD0-AC5C-C7929818986A}"/>
            </a:ext>
          </a:extLst>
        </xdr:cNvPr>
        <xdr:cNvSpPr txBox="1"/>
      </xdr:nvSpPr>
      <xdr:spPr>
        <a:xfrm>
          <a:off x="329311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58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1EA3509E-1C32-449D-B1C0-AC77B3A4705B}"/>
            </a:ext>
          </a:extLst>
        </xdr:cNvPr>
        <xdr:cNvSpPr txBox="1"/>
      </xdr:nvSpPr>
      <xdr:spPr>
        <a:xfrm>
          <a:off x="329311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58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639A46D8-FE7B-4240-95E6-7BA80E0C7A4D}"/>
            </a:ext>
          </a:extLst>
        </xdr:cNvPr>
        <xdr:cNvSpPr txBox="1"/>
      </xdr:nvSpPr>
      <xdr:spPr>
        <a:xfrm>
          <a:off x="329311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58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D144D17D-1AC5-4D0B-94CB-15DCEB01BA4D}"/>
            </a:ext>
          </a:extLst>
        </xdr:cNvPr>
        <xdr:cNvSpPr txBox="1"/>
      </xdr:nvSpPr>
      <xdr:spPr>
        <a:xfrm>
          <a:off x="443865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58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492972DD-0894-45D3-BDAA-71D879F4488E}"/>
            </a:ext>
          </a:extLst>
        </xdr:cNvPr>
        <xdr:cNvSpPr txBox="1"/>
      </xdr:nvSpPr>
      <xdr:spPr>
        <a:xfrm>
          <a:off x="443865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EEF8AF0-DD72-44A9-BB18-6D19FDC38D8C}"/>
            </a:ext>
          </a:extLst>
        </xdr:cNvPr>
        <xdr:cNvSpPr txBox="1"/>
      </xdr:nvSpPr>
      <xdr:spPr>
        <a:xfrm>
          <a:off x="443865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D571357D-C54E-4921-B451-F8188F5009CA}"/>
            </a:ext>
          </a:extLst>
        </xdr:cNvPr>
        <xdr:cNvSpPr txBox="1"/>
      </xdr:nvSpPr>
      <xdr:spPr>
        <a:xfrm>
          <a:off x="4438650" y="1203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B32D0A7-0065-461D-A976-4DF6DEBD77FB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9C56F419-46CE-4E8A-8A43-9D5955B5BDE0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A49AF48A-A3C6-4B9A-B2A1-686C3305698F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16EDA966-49F7-402A-93E7-31EFD323590F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DDCB8A77-0882-47AA-B403-F1E8855ED523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A633BB3B-4EC3-4A41-A1EF-76A82493551F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161B34AB-D891-4424-9E27-E9FAC62704D2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C7786E2F-50F0-4C53-8CC5-41DFC5FFDB24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6E1379B4-0052-4BD7-8E78-E006C84F960C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E99D202D-7205-45BE-86AB-ACC79714E656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7E88F4D2-5749-4722-A196-E7E757CC080E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E25A883D-16F0-42FE-9B33-C25E6D608A6C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98EF4E4A-6F08-45A4-BCEB-C723E051282B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2696114A-7030-45B5-A52E-025D7ADE01FB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3A709F1E-7842-4B0E-9D66-FED73AAE5D7A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EFE93AC5-9984-4FB4-A022-60339DF585DD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1E5432F9-DEA3-4E83-9A33-82A7E3448EC2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C1D08D27-1CEC-4230-ACC8-853B0795CCA8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5848F77-6613-45C5-A5F6-3DA836A4B276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E5C2F2B2-4589-4AA3-9678-3A23A83FD5C6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1E4ED982-D3D8-408E-BAA2-0797D79CBC89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E69308F8-6FF5-4BA4-B75A-D843B2C8E4EC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C4850D0C-4D7B-4F1C-8B21-D4CA7F33BCB6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41D29907-6378-4914-B436-D598CD008FE0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F142B8EA-5C42-449E-991A-28EA63818D83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DC798C8D-8307-4BEA-9DB2-A95C6664A98E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A430731B-C57D-4B1A-8045-D73E9E22630B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5AC46F34-7B58-44AB-B530-73C495670981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D7BCC5AC-EF94-4DF8-9BDD-6C2E30C0AE51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543D2764-75FC-4A2A-BF2C-8EFAC0C7677D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FF5E837A-F48F-4EA7-AA34-36C81EFB2632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553C6C84-9896-4FD6-83FB-CCC00B573695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D3C636D4-52E1-4D8F-B6E8-E9EA65B80BD5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93BA67D4-C60A-4ECA-8228-D51ED21D6684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26AD8734-2E35-498B-B8AB-6029703429BF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D31EE629-3429-4D23-8C29-7249C01A868F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1AABA8C1-D56F-4FFE-AC65-418698622950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B56396F8-CA05-420C-946D-9A50B82F1E94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8CBBBF2D-7E0F-4A3B-B82B-A4B1DD6372E8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4111002C-FE4C-45D4-9586-9F7B79F8BCF7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6977A97D-BE1B-496F-820B-934BE5F00906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A7C131CE-191A-4AF9-8348-1692118A0CAB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614EF60D-B424-46E4-9C21-ECF5DED1B61F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8B21C861-3450-43FA-9410-713A6E696133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60D72464-2807-41FC-9C8A-45B030FF3B40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3E6C2EE3-D8BC-4EC7-AD37-18BFAAA324EA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F8211406-1915-42FC-B234-DAC690E63796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DDAB0F9F-FAB1-4713-B06D-1DE86BBDFF46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59BEBC17-E136-450E-8C2D-4CAB7FA58C91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E1A1ADA1-4897-4075-B613-AB10768CABE8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8251CDE9-B532-464A-8B29-5B98DADBA683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1FE973A6-F93F-483C-9C04-3B21D1634FC7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92743A2A-7528-475D-9D97-1E88D7C42E45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DB323E9F-86B5-49CB-9880-8A6A3FF9F921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E9C48DF-B90D-4157-969B-CAF12BEB6A38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835FC90A-024C-4ABD-A9D9-BFDAC6E95770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5970BCA4-452D-4116-B0BE-763074A25F91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38B45AF2-EBDA-44DE-AB51-AC4A1BC4085A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9C5D8AA-68D7-4961-AE76-0F8BCC786C16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7F86505E-1C73-4A0F-B99E-015EB6B5A7D3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5A986FC1-3B6C-4B5E-9F8C-025A031D1E36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C8C70A-55E6-4C09-9CD5-AE735734AA87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D6F40AA6-87AF-4839-B542-FE63BFC4700E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6CEEA3A1-3C9C-4EA2-9CC9-8FF14A5B0CC6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673E6BB4-97BE-4E63-AAE5-1D4C774B4208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E6874971-5307-4DB8-B5DC-D0DE229161F1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F96B14B4-3F27-4B27-AF36-6EAE7B2082D4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9514D5C7-F503-42D3-8E4E-9FE76EAB71FA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5E74142C-9C13-44AB-9479-8D2188C1DE01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E6547F8C-469E-4A48-8884-19C6B3704081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79E39EC4-2834-43D5-A8CF-14747158ED8A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2FEC71E1-E043-4D57-8C05-95E133AA512C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8DDB8E3-C17D-4FDA-8292-93C6DC0D84BD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1FCCF691-4986-40B7-884B-FEF49D7CB041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8DBB7EC2-5589-49A9-B84B-8EC4643470BF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51662C73-6B7D-4380-B88A-ECE7C2F8567E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4A60996B-8823-4C02-9A76-4FB35CB56859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85504561-55E0-44F0-8242-9E3C99FABBDB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59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6D98EFDD-45E9-4A0B-8A8F-6A26C2ABB4A7}"/>
            </a:ext>
          </a:extLst>
        </xdr:cNvPr>
        <xdr:cNvSpPr txBox="1"/>
      </xdr:nvSpPr>
      <xdr:spPr>
        <a:xfrm>
          <a:off x="20828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6C87A8CB-6AEC-4660-AD3B-02E28AE884A9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59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18CF07FD-8B51-49A3-B512-E1660333C27E}"/>
            </a:ext>
          </a:extLst>
        </xdr:cNvPr>
        <xdr:cNvSpPr txBox="1"/>
      </xdr:nvSpPr>
      <xdr:spPr>
        <a:xfrm>
          <a:off x="20828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59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39C96B06-47B2-46DD-AAFB-76A9F4A9197B}"/>
            </a:ext>
          </a:extLst>
        </xdr:cNvPr>
        <xdr:cNvSpPr txBox="1"/>
      </xdr:nvSpPr>
      <xdr:spPr>
        <a:xfrm>
          <a:off x="20828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59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AEB9792A-A953-4D06-A44B-C9120C030027}"/>
            </a:ext>
          </a:extLst>
        </xdr:cNvPr>
        <xdr:cNvSpPr txBox="1"/>
      </xdr:nvSpPr>
      <xdr:spPr>
        <a:xfrm>
          <a:off x="20828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7A3E635F-11A2-4FA0-9EDC-22081D02CB1D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14A94211-C750-49BA-AD73-7FE64BFC7E73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B7EB0C15-180A-4027-B0DB-6B56887A0748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59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D07E1F22-BCF0-43EA-A663-C17EEED5BCBC}"/>
            </a:ext>
          </a:extLst>
        </xdr:cNvPr>
        <xdr:cNvSpPr txBox="1"/>
      </xdr:nvSpPr>
      <xdr:spPr>
        <a:xfrm>
          <a:off x="278003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EC5D1506-62B1-4217-8ED7-04BD53F80077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36B3E9C1-4FAA-4E4B-AF69-BE273546B39D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EB630398-6D51-4F56-8F9E-67D9F2897616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59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D55BBA6-CE90-40DB-BA16-215FDB838217}"/>
            </a:ext>
          </a:extLst>
        </xdr:cNvPr>
        <xdr:cNvSpPr txBox="1"/>
      </xdr:nvSpPr>
      <xdr:spPr>
        <a:xfrm>
          <a:off x="329311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70E9DA72-2FE8-4B80-88F4-4515CC47DA6B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A1E4EFF9-3EAD-4D38-B982-7DADC3CFACA8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F415161A-6A38-427E-B198-21F1EFDD9F6C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59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C4BBC5B1-07BD-43A2-B1DF-D492487EDCE6}"/>
            </a:ext>
          </a:extLst>
        </xdr:cNvPr>
        <xdr:cNvSpPr txBox="1"/>
      </xdr:nvSpPr>
      <xdr:spPr>
        <a:xfrm>
          <a:off x="4438650" y="122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60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9D57C9EE-B884-4148-AF26-B63AAA68D1D5}"/>
            </a:ext>
          </a:extLst>
        </xdr:cNvPr>
        <xdr:cNvSpPr txBox="1"/>
      </xdr:nvSpPr>
      <xdr:spPr>
        <a:xfrm>
          <a:off x="20828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F2D5F811-E193-4761-A8D6-CCFF47473CBF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60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99140BCF-4BAB-4EDB-B9FE-4534D883D48B}"/>
            </a:ext>
          </a:extLst>
        </xdr:cNvPr>
        <xdr:cNvSpPr txBox="1"/>
      </xdr:nvSpPr>
      <xdr:spPr>
        <a:xfrm>
          <a:off x="20828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60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57F55D04-2C39-42EA-9363-264E5AF04850}"/>
            </a:ext>
          </a:extLst>
        </xdr:cNvPr>
        <xdr:cNvSpPr txBox="1"/>
      </xdr:nvSpPr>
      <xdr:spPr>
        <a:xfrm>
          <a:off x="20828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60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63A69F4C-F9A5-4094-BB01-3D6B3D05D2E7}"/>
            </a:ext>
          </a:extLst>
        </xdr:cNvPr>
        <xdr:cNvSpPr txBox="1"/>
      </xdr:nvSpPr>
      <xdr:spPr>
        <a:xfrm>
          <a:off x="20828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237B369D-9FB5-430E-9E46-F900EA7E2048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40526A5F-A8F6-485F-926A-E6878A807FB7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4C00D9E4-3C76-4A03-BF1F-C65D14B2EBCC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60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9250DD44-CFA8-47E0-99AB-B6A2F2D9267E}"/>
            </a:ext>
          </a:extLst>
        </xdr:cNvPr>
        <xdr:cNvSpPr txBox="1"/>
      </xdr:nvSpPr>
      <xdr:spPr>
        <a:xfrm>
          <a:off x="278003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23C260A5-F3E7-48A9-A224-D911EFEE56EC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AA8AB2CE-38F7-4E7A-91D2-7F7600CE63E1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CB9B49CF-E81B-47BB-8BFB-B2C87C2B0841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60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E7857156-777E-435A-82BB-417A88D24C25}"/>
            </a:ext>
          </a:extLst>
        </xdr:cNvPr>
        <xdr:cNvSpPr txBox="1"/>
      </xdr:nvSpPr>
      <xdr:spPr>
        <a:xfrm>
          <a:off x="329311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A8B22DF6-9A7C-4193-BA31-0DB9C3FBF19B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D4064301-F301-479D-9445-F23CFD8AFEED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500C0B58-C24F-4363-B442-702386BA7553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60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CEF36A51-11BB-4150-8884-A1B8362643DB}"/>
            </a:ext>
          </a:extLst>
        </xdr:cNvPr>
        <xdr:cNvSpPr txBox="1"/>
      </xdr:nvSpPr>
      <xdr:spPr>
        <a:xfrm>
          <a:off x="4438650" y="123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61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4AC71DC9-12E4-413C-B60F-E980A78439FD}"/>
            </a:ext>
          </a:extLst>
        </xdr:cNvPr>
        <xdr:cNvSpPr txBox="1"/>
      </xdr:nvSpPr>
      <xdr:spPr>
        <a:xfrm>
          <a:off x="20828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55B54216-F7E1-4518-86D2-42F37938103D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61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31B26D59-0B1E-4828-8FE4-8B191030BD61}"/>
            </a:ext>
          </a:extLst>
        </xdr:cNvPr>
        <xdr:cNvSpPr txBox="1"/>
      </xdr:nvSpPr>
      <xdr:spPr>
        <a:xfrm>
          <a:off x="20828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61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7AFD2B80-F125-4DD2-818A-618A16EA71F0}"/>
            </a:ext>
          </a:extLst>
        </xdr:cNvPr>
        <xdr:cNvSpPr txBox="1"/>
      </xdr:nvSpPr>
      <xdr:spPr>
        <a:xfrm>
          <a:off x="20828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61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DA4FE7BF-0C7A-4442-96EA-5146D97DD762}"/>
            </a:ext>
          </a:extLst>
        </xdr:cNvPr>
        <xdr:cNvSpPr txBox="1"/>
      </xdr:nvSpPr>
      <xdr:spPr>
        <a:xfrm>
          <a:off x="20828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D7B96CF0-6ED6-4640-819D-A95A61C11BD6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A3D1F7A3-FD6A-45BD-949B-262472F5598F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7C100D16-6387-45A6-9A16-4BCA413D0176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61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xmlns="" id="{7BA58F42-A9AB-40DC-AB11-37BF3D7C4130}"/>
            </a:ext>
          </a:extLst>
        </xdr:cNvPr>
        <xdr:cNvSpPr txBox="1"/>
      </xdr:nvSpPr>
      <xdr:spPr>
        <a:xfrm>
          <a:off x="278003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AA39D6E3-F0F7-41E8-A3C4-B1D8AFCE7288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95481759-87C3-4B5A-B1E3-EDA5BB57855D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9B09E7F8-C1A2-4B26-916E-35D72907D3A8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61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BBC5F3D2-AFAC-41A2-B686-226BC273C6CD}"/>
            </a:ext>
          </a:extLst>
        </xdr:cNvPr>
        <xdr:cNvSpPr txBox="1"/>
      </xdr:nvSpPr>
      <xdr:spPr>
        <a:xfrm>
          <a:off x="329311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xmlns="" id="{C5346841-708E-4382-8459-5578F3060970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xmlns="" id="{0235D49C-4071-4DD4-A6A4-97507F729510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xmlns="" id="{BC83957C-3831-4026-B052-1D2C545DC711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xmlns="" id="{4997DE80-1ED8-4210-B4A3-D8E21F0F3EFB}"/>
            </a:ext>
          </a:extLst>
        </xdr:cNvPr>
        <xdr:cNvSpPr txBox="1"/>
      </xdr:nvSpPr>
      <xdr:spPr>
        <a:xfrm>
          <a:off x="4438650" y="1256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62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xmlns="" id="{023A973E-F785-4085-8DA6-F2FC0EFDD31C}"/>
            </a:ext>
          </a:extLst>
        </xdr:cNvPr>
        <xdr:cNvSpPr txBox="1"/>
      </xdr:nvSpPr>
      <xdr:spPr>
        <a:xfrm>
          <a:off x="20828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xmlns="" id="{5193C928-B6FF-4A0E-AA7C-A735F8EFB28E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62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xmlns="" id="{F8987278-B482-46A2-B561-25CAD5A26E7B}"/>
            </a:ext>
          </a:extLst>
        </xdr:cNvPr>
        <xdr:cNvSpPr txBox="1"/>
      </xdr:nvSpPr>
      <xdr:spPr>
        <a:xfrm>
          <a:off x="20828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62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xmlns="" id="{FE0A2506-547D-4E0B-B724-63E68D06A55C}"/>
            </a:ext>
          </a:extLst>
        </xdr:cNvPr>
        <xdr:cNvSpPr txBox="1"/>
      </xdr:nvSpPr>
      <xdr:spPr>
        <a:xfrm>
          <a:off x="20828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62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xmlns="" id="{6E507AEC-E83A-4396-A0CF-2E5B77393739}"/>
            </a:ext>
          </a:extLst>
        </xdr:cNvPr>
        <xdr:cNvSpPr txBox="1"/>
      </xdr:nvSpPr>
      <xdr:spPr>
        <a:xfrm>
          <a:off x="20828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xmlns="" id="{5ECA2812-B310-460C-9467-B9A0902B33AB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xmlns="" id="{EBF121F4-4207-4FFB-805C-8DD9284E41BE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xmlns="" id="{0F5DD9EA-FFF5-48A8-B20B-4ACE788F6B91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62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xmlns="" id="{A6F7F4EA-3A52-41E1-8E7B-A41EB250C0FE}"/>
            </a:ext>
          </a:extLst>
        </xdr:cNvPr>
        <xdr:cNvSpPr txBox="1"/>
      </xdr:nvSpPr>
      <xdr:spPr>
        <a:xfrm>
          <a:off x="278003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xmlns="" id="{30B6F396-1711-45F0-B644-3ABE698C9B7E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xmlns="" id="{B3A4D23A-B530-41B6-BE82-189DD50BDCB4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xmlns="" id="{80B9B6D9-ECE5-4F54-87C3-AC45C998B773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62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xmlns="" id="{FA60E01D-397C-4896-A62E-F5183086294E}"/>
            </a:ext>
          </a:extLst>
        </xdr:cNvPr>
        <xdr:cNvSpPr txBox="1"/>
      </xdr:nvSpPr>
      <xdr:spPr>
        <a:xfrm>
          <a:off x="329311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xmlns="" id="{C9E9F152-45A7-4623-AFBB-A7D69097D9C0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xmlns="" id="{6FC7CA0D-471D-4660-8F27-18131B90F9F1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xmlns="" id="{07D69432-C345-48A3-813B-7AE8ADFA8EF2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xmlns="" id="{243AD032-A1CF-443D-B074-9C4887796E16}"/>
            </a:ext>
          </a:extLst>
        </xdr:cNvPr>
        <xdr:cNvSpPr txBox="1"/>
      </xdr:nvSpPr>
      <xdr:spPr>
        <a:xfrm>
          <a:off x="4438650" y="127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63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xmlns="" id="{65857D38-6FC2-4F3C-A86B-EAE2D3A0B173}"/>
            </a:ext>
          </a:extLst>
        </xdr:cNvPr>
        <xdr:cNvSpPr txBox="1"/>
      </xdr:nvSpPr>
      <xdr:spPr>
        <a:xfrm>
          <a:off x="20828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xmlns="" id="{854E5017-CF62-4D02-9C51-F95D1567E4CB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63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xmlns="" id="{3731B126-8CA1-45AB-B0B2-3CE96BE2AF50}"/>
            </a:ext>
          </a:extLst>
        </xdr:cNvPr>
        <xdr:cNvSpPr txBox="1"/>
      </xdr:nvSpPr>
      <xdr:spPr>
        <a:xfrm>
          <a:off x="20828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63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xmlns="" id="{9A3B89BF-C2FD-414E-A5A7-D4C1F73C4571}"/>
            </a:ext>
          </a:extLst>
        </xdr:cNvPr>
        <xdr:cNvSpPr txBox="1"/>
      </xdr:nvSpPr>
      <xdr:spPr>
        <a:xfrm>
          <a:off x="20828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63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xmlns="" id="{8E8AD0D6-2389-4F8F-9990-2FFE01F235AA}"/>
            </a:ext>
          </a:extLst>
        </xdr:cNvPr>
        <xdr:cNvSpPr txBox="1"/>
      </xdr:nvSpPr>
      <xdr:spPr>
        <a:xfrm>
          <a:off x="20828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xmlns="" id="{E4B2163F-7A50-4234-8D49-6E21F08BE0F7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xmlns="" id="{AA346304-3642-4BBA-8683-A0702EEE956C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xmlns="" id="{162ADC57-764F-4DF2-9BC3-A3625AE1109F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63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xmlns="" id="{E769E5FA-B1FA-4903-B746-258874A8C562}"/>
            </a:ext>
          </a:extLst>
        </xdr:cNvPr>
        <xdr:cNvSpPr txBox="1"/>
      </xdr:nvSpPr>
      <xdr:spPr>
        <a:xfrm>
          <a:off x="278003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xmlns="" id="{52C8A93A-16B6-4548-AC5D-A4C4503D7A86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xmlns="" id="{ADA5D1E9-329C-4DC2-8268-4AD563DEC8D8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xmlns="" id="{AC070A54-234C-44FA-BAA9-C321DDDCD5D7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63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xmlns="" id="{F8FC2947-00E6-4725-9195-9E051259E107}"/>
            </a:ext>
          </a:extLst>
        </xdr:cNvPr>
        <xdr:cNvSpPr txBox="1"/>
      </xdr:nvSpPr>
      <xdr:spPr>
        <a:xfrm>
          <a:off x="329311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xmlns="" id="{A555D6F1-F04F-4D36-9975-7D8CDF64442B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xmlns="" id="{E357F6F5-B4C8-4687-8470-2BA7C9ED659B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xmlns="" id="{4E4CFEEE-500F-4E46-8E2F-8C58230B30CA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63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xmlns="" id="{CF4B6D2F-A3CC-4DEB-84C8-6D925C3D967E}"/>
            </a:ext>
          </a:extLst>
        </xdr:cNvPr>
        <xdr:cNvSpPr txBox="1"/>
      </xdr:nvSpPr>
      <xdr:spPr>
        <a:xfrm>
          <a:off x="44386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64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xmlns="" id="{B384D689-7DC5-44BB-87DF-DAD8321FB541}"/>
            </a:ext>
          </a:extLst>
        </xdr:cNvPr>
        <xdr:cNvSpPr txBox="1"/>
      </xdr:nvSpPr>
      <xdr:spPr>
        <a:xfrm>
          <a:off x="20828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xmlns="" id="{C7FFDBD8-37C7-4E81-A0BE-5B7CA8DA634C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64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xmlns="" id="{986D82BD-1BDF-4F15-823E-5BD5B9E7B766}"/>
            </a:ext>
          </a:extLst>
        </xdr:cNvPr>
        <xdr:cNvSpPr txBox="1"/>
      </xdr:nvSpPr>
      <xdr:spPr>
        <a:xfrm>
          <a:off x="20828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64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xmlns="" id="{E251B449-1CF0-466D-B3CF-84235AB6BC9B}"/>
            </a:ext>
          </a:extLst>
        </xdr:cNvPr>
        <xdr:cNvSpPr txBox="1"/>
      </xdr:nvSpPr>
      <xdr:spPr>
        <a:xfrm>
          <a:off x="20828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64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xmlns="" id="{3BAB7542-E60B-4647-AE95-96BF5DA34729}"/>
            </a:ext>
          </a:extLst>
        </xdr:cNvPr>
        <xdr:cNvSpPr txBox="1"/>
      </xdr:nvSpPr>
      <xdr:spPr>
        <a:xfrm>
          <a:off x="20828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xmlns="" id="{F37C8A21-425C-4D39-AAE8-0887F85B4764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xmlns="" id="{25AB6476-1A48-4D66-954C-8E890DC3FB94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xmlns="" id="{F0E22B50-9A81-4167-98BA-CB8E269AB9E6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64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xmlns="" id="{C7AD5720-E6CA-423C-9B54-3DA1FCB60C6A}"/>
            </a:ext>
          </a:extLst>
        </xdr:cNvPr>
        <xdr:cNvSpPr txBox="1"/>
      </xdr:nvSpPr>
      <xdr:spPr>
        <a:xfrm>
          <a:off x="278003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xmlns="" id="{EB304D79-C978-4059-91B6-54E2470DC852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xmlns="" id="{C7D060FB-1CDA-4849-BA91-F79CF50DF199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xmlns="" id="{07D8AD65-8711-44B2-809E-E810E0F7A4C2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64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xmlns="" id="{B012B190-581A-4F5C-88D7-B0E07456D55C}"/>
            </a:ext>
          </a:extLst>
        </xdr:cNvPr>
        <xdr:cNvSpPr txBox="1"/>
      </xdr:nvSpPr>
      <xdr:spPr>
        <a:xfrm>
          <a:off x="329311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xmlns="" id="{337498E0-0E76-44A5-9211-AF88DFD30CF6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xmlns="" id="{AAA71CD6-0D54-4F47-A4DE-C83633D2748F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xmlns="" id="{D1453A99-C5D5-40F5-B185-2B4140497B0F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64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xmlns="" id="{F6A7A22D-DE33-4E60-9CB0-48CCFD042C04}"/>
            </a:ext>
          </a:extLst>
        </xdr:cNvPr>
        <xdr:cNvSpPr txBox="1"/>
      </xdr:nvSpPr>
      <xdr:spPr>
        <a:xfrm>
          <a:off x="4438650" y="1310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65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1D4EED20-3F6E-4892-BF41-DCB45AEA2846}"/>
            </a:ext>
          </a:extLst>
        </xdr:cNvPr>
        <xdr:cNvSpPr txBox="1"/>
      </xdr:nvSpPr>
      <xdr:spPr>
        <a:xfrm>
          <a:off x="20828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65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xmlns="" id="{D46F659B-AD97-4FF7-8567-EDD8E5FD2FD3}"/>
            </a:ext>
          </a:extLst>
        </xdr:cNvPr>
        <xdr:cNvSpPr txBox="1"/>
      </xdr:nvSpPr>
      <xdr:spPr>
        <a:xfrm>
          <a:off x="278003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65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xmlns="" id="{35CF2D85-7414-4D89-826E-29A8231F175C}"/>
            </a:ext>
          </a:extLst>
        </xdr:cNvPr>
        <xdr:cNvSpPr txBox="1"/>
      </xdr:nvSpPr>
      <xdr:spPr>
        <a:xfrm>
          <a:off x="20828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65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xmlns="" id="{D0826281-7BD1-4990-8129-39CC4D1BB123}"/>
            </a:ext>
          </a:extLst>
        </xdr:cNvPr>
        <xdr:cNvSpPr txBox="1"/>
      </xdr:nvSpPr>
      <xdr:spPr>
        <a:xfrm>
          <a:off x="20828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65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xmlns="" id="{20803926-2F4F-48CD-97BB-E4F9A91B0649}"/>
            </a:ext>
          </a:extLst>
        </xdr:cNvPr>
        <xdr:cNvSpPr txBox="1"/>
      </xdr:nvSpPr>
      <xdr:spPr>
        <a:xfrm>
          <a:off x="20828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65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xmlns="" id="{CE9E847B-9331-4844-87D3-4CE2597E54EC}"/>
            </a:ext>
          </a:extLst>
        </xdr:cNvPr>
        <xdr:cNvSpPr txBox="1"/>
      </xdr:nvSpPr>
      <xdr:spPr>
        <a:xfrm>
          <a:off x="278003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65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xmlns="" id="{03C84179-D379-4488-A820-A9EBFD65C932}"/>
            </a:ext>
          </a:extLst>
        </xdr:cNvPr>
        <xdr:cNvSpPr txBox="1"/>
      </xdr:nvSpPr>
      <xdr:spPr>
        <a:xfrm>
          <a:off x="278003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65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xmlns="" id="{49DE581B-26DA-497D-8163-4D743E7DA2F6}"/>
            </a:ext>
          </a:extLst>
        </xdr:cNvPr>
        <xdr:cNvSpPr txBox="1"/>
      </xdr:nvSpPr>
      <xdr:spPr>
        <a:xfrm>
          <a:off x="278003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65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xmlns="" id="{62F91FC6-2C2F-4091-B153-E9B79F3AE6CE}"/>
            </a:ext>
          </a:extLst>
        </xdr:cNvPr>
        <xdr:cNvSpPr txBox="1"/>
      </xdr:nvSpPr>
      <xdr:spPr>
        <a:xfrm>
          <a:off x="278003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65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xmlns="" id="{868C0DB5-011A-44A6-9D7E-F0BA86FA0045}"/>
            </a:ext>
          </a:extLst>
        </xdr:cNvPr>
        <xdr:cNvSpPr txBox="1"/>
      </xdr:nvSpPr>
      <xdr:spPr>
        <a:xfrm>
          <a:off x="329311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65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xmlns="" id="{25D10515-A30D-4F12-B4E0-000675F61848}"/>
            </a:ext>
          </a:extLst>
        </xdr:cNvPr>
        <xdr:cNvSpPr txBox="1"/>
      </xdr:nvSpPr>
      <xdr:spPr>
        <a:xfrm>
          <a:off x="329311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65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68B19390-7744-406C-813E-AD50575113B7}"/>
            </a:ext>
          </a:extLst>
        </xdr:cNvPr>
        <xdr:cNvSpPr txBox="1"/>
      </xdr:nvSpPr>
      <xdr:spPr>
        <a:xfrm>
          <a:off x="329311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65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xmlns="" id="{A0D35708-8A72-4A10-801F-66855AE920E8}"/>
            </a:ext>
          </a:extLst>
        </xdr:cNvPr>
        <xdr:cNvSpPr txBox="1"/>
      </xdr:nvSpPr>
      <xdr:spPr>
        <a:xfrm>
          <a:off x="329311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65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158D7DE6-322E-483F-8EC9-D9102AD2D79A}"/>
            </a:ext>
          </a:extLst>
        </xdr:cNvPr>
        <xdr:cNvSpPr txBox="1"/>
      </xdr:nvSpPr>
      <xdr:spPr>
        <a:xfrm>
          <a:off x="443865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65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04E5BC35-45D4-49BF-9DF0-D022E1B71152}"/>
            </a:ext>
          </a:extLst>
        </xdr:cNvPr>
        <xdr:cNvSpPr txBox="1"/>
      </xdr:nvSpPr>
      <xdr:spPr>
        <a:xfrm>
          <a:off x="443865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65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xmlns="" id="{E1850765-C455-4796-88F1-01B52E9C0DFF}"/>
            </a:ext>
          </a:extLst>
        </xdr:cNvPr>
        <xdr:cNvSpPr txBox="1"/>
      </xdr:nvSpPr>
      <xdr:spPr>
        <a:xfrm>
          <a:off x="443865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65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xmlns="" id="{2C13C131-2CED-4B23-B3B5-6CB182D71FCB}"/>
            </a:ext>
          </a:extLst>
        </xdr:cNvPr>
        <xdr:cNvSpPr txBox="1"/>
      </xdr:nvSpPr>
      <xdr:spPr>
        <a:xfrm>
          <a:off x="4438650" y="1327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66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xmlns="" id="{B2F34FEA-FF01-4EE6-B2FD-573CE7D9E613}"/>
            </a:ext>
          </a:extLst>
        </xdr:cNvPr>
        <xdr:cNvSpPr txBox="1"/>
      </xdr:nvSpPr>
      <xdr:spPr>
        <a:xfrm>
          <a:off x="20828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66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xmlns="" id="{C0EA880A-B9F4-47C6-BA49-09E69293AE2F}"/>
            </a:ext>
          </a:extLst>
        </xdr:cNvPr>
        <xdr:cNvSpPr txBox="1"/>
      </xdr:nvSpPr>
      <xdr:spPr>
        <a:xfrm>
          <a:off x="278003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66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xmlns="" id="{F634BBDC-D150-41EB-BF22-579487A62CB6}"/>
            </a:ext>
          </a:extLst>
        </xdr:cNvPr>
        <xdr:cNvSpPr txBox="1"/>
      </xdr:nvSpPr>
      <xdr:spPr>
        <a:xfrm>
          <a:off x="20828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66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xmlns="" id="{044C650A-9252-49F8-82D0-3762FE79F35D}"/>
            </a:ext>
          </a:extLst>
        </xdr:cNvPr>
        <xdr:cNvSpPr txBox="1"/>
      </xdr:nvSpPr>
      <xdr:spPr>
        <a:xfrm>
          <a:off x="20828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208280</xdr:colOff>
      <xdr:row>66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xmlns="" id="{30871B16-051E-4221-B16F-534EA382F0DD}"/>
            </a:ext>
          </a:extLst>
        </xdr:cNvPr>
        <xdr:cNvSpPr txBox="1"/>
      </xdr:nvSpPr>
      <xdr:spPr>
        <a:xfrm>
          <a:off x="20828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66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xmlns="" id="{562ED8F7-99FD-462B-800A-30F411827BFA}"/>
            </a:ext>
          </a:extLst>
        </xdr:cNvPr>
        <xdr:cNvSpPr txBox="1"/>
      </xdr:nvSpPr>
      <xdr:spPr>
        <a:xfrm>
          <a:off x="278003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66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xmlns="" id="{6339CE64-A8A9-4496-A531-D068D750F189}"/>
            </a:ext>
          </a:extLst>
        </xdr:cNvPr>
        <xdr:cNvSpPr txBox="1"/>
      </xdr:nvSpPr>
      <xdr:spPr>
        <a:xfrm>
          <a:off x="278003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66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xmlns="" id="{D1B8FFFD-B081-4BE2-A737-8E5C99EB63DD}"/>
            </a:ext>
          </a:extLst>
        </xdr:cNvPr>
        <xdr:cNvSpPr txBox="1"/>
      </xdr:nvSpPr>
      <xdr:spPr>
        <a:xfrm>
          <a:off x="278003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2570480</xdr:colOff>
      <xdr:row>66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xmlns="" id="{C62DB048-7278-4791-826F-CF78D44B0D55}"/>
            </a:ext>
          </a:extLst>
        </xdr:cNvPr>
        <xdr:cNvSpPr txBox="1"/>
      </xdr:nvSpPr>
      <xdr:spPr>
        <a:xfrm>
          <a:off x="278003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66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xmlns="" id="{5CD869D5-9E89-4FB0-BD9B-73A200F2EEF1}"/>
            </a:ext>
          </a:extLst>
        </xdr:cNvPr>
        <xdr:cNvSpPr txBox="1"/>
      </xdr:nvSpPr>
      <xdr:spPr>
        <a:xfrm>
          <a:off x="329311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66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xmlns="" id="{07DCF5EC-DB63-44AC-B08F-383D53651B1F}"/>
            </a:ext>
          </a:extLst>
        </xdr:cNvPr>
        <xdr:cNvSpPr txBox="1"/>
      </xdr:nvSpPr>
      <xdr:spPr>
        <a:xfrm>
          <a:off x="329311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66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xmlns="" id="{97202667-C429-41E5-936B-3499F2C0BC40}"/>
            </a:ext>
          </a:extLst>
        </xdr:cNvPr>
        <xdr:cNvSpPr txBox="1"/>
      </xdr:nvSpPr>
      <xdr:spPr>
        <a:xfrm>
          <a:off x="329311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3810</xdr:colOff>
      <xdr:row>66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xmlns="" id="{3D687172-5FD0-4845-8F40-1DB49F026D85}"/>
            </a:ext>
          </a:extLst>
        </xdr:cNvPr>
        <xdr:cNvSpPr txBox="1"/>
      </xdr:nvSpPr>
      <xdr:spPr>
        <a:xfrm>
          <a:off x="329311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xmlns="" id="{B4BA7EE5-ED47-4D0A-AA28-0A7F3B706111}"/>
            </a:ext>
          </a:extLst>
        </xdr:cNvPr>
        <xdr:cNvSpPr txBox="1"/>
      </xdr:nvSpPr>
      <xdr:spPr>
        <a:xfrm>
          <a:off x="443865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xmlns="" id="{E374E5ED-9D89-42C2-A4CA-B817178EACDD}"/>
            </a:ext>
          </a:extLst>
        </xdr:cNvPr>
        <xdr:cNvSpPr txBox="1"/>
      </xdr:nvSpPr>
      <xdr:spPr>
        <a:xfrm>
          <a:off x="443865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xmlns="" id="{B7D86474-7786-4BB4-9786-1E85A27CD3E7}"/>
            </a:ext>
          </a:extLst>
        </xdr:cNvPr>
        <xdr:cNvSpPr txBox="1"/>
      </xdr:nvSpPr>
      <xdr:spPr>
        <a:xfrm>
          <a:off x="443865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66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xmlns="" id="{444FED10-058C-472A-911D-10DBF721AC36}"/>
            </a:ext>
          </a:extLst>
        </xdr:cNvPr>
        <xdr:cNvSpPr txBox="1"/>
      </xdr:nvSpPr>
      <xdr:spPr>
        <a:xfrm>
          <a:off x="4438650" y="1345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95</xdr:row>
      <xdr:rowOff>95250</xdr:rowOff>
    </xdr:from>
    <xdr:ext cx="19110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B04AABDF-79E1-4617-B1DA-C88A70DB4290}"/>
            </a:ext>
          </a:extLst>
        </xdr:cNvPr>
        <xdr:cNvSpPr txBox="1"/>
      </xdr:nvSpPr>
      <xdr:spPr>
        <a:xfrm>
          <a:off x="800100" y="76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95</xdr:row>
      <xdr:rowOff>95250</xdr:rowOff>
    </xdr:from>
    <xdr:ext cx="19110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38981E11-F2E0-4744-988B-B5CA05A6D985}"/>
            </a:ext>
          </a:extLst>
        </xdr:cNvPr>
        <xdr:cNvSpPr txBox="1"/>
      </xdr:nvSpPr>
      <xdr:spPr>
        <a:xfrm>
          <a:off x="2486025" y="76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1153795</xdr:colOff>
      <xdr:row>95</xdr:row>
      <xdr:rowOff>95250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ECC82F54-89D6-464F-A0C0-475C5CDBA774}"/>
            </a:ext>
          </a:extLst>
        </xdr:cNvPr>
        <xdr:cNvSpPr txBox="1"/>
      </xdr:nvSpPr>
      <xdr:spPr>
        <a:xfrm>
          <a:off x="4411345" y="1730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1905</xdr:colOff>
      <xdr:row>95</xdr:row>
      <xdr:rowOff>95250</xdr:rowOff>
    </xdr:from>
    <xdr:ext cx="190889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C4DF794B-95F0-4BDD-965A-829764EBE766}"/>
            </a:ext>
          </a:extLst>
        </xdr:cNvPr>
        <xdr:cNvSpPr txBox="1"/>
      </xdr:nvSpPr>
      <xdr:spPr>
        <a:xfrm>
          <a:off x="5307330" y="1698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1905</xdr:colOff>
      <xdr:row>95</xdr:row>
      <xdr:rowOff>95250</xdr:rowOff>
    </xdr:from>
    <xdr:ext cx="190889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3D8CBF41-F6A9-46A3-AF72-27BCE2F11780}"/>
            </a:ext>
          </a:extLst>
        </xdr:cNvPr>
        <xdr:cNvSpPr txBox="1"/>
      </xdr:nvSpPr>
      <xdr:spPr>
        <a:xfrm>
          <a:off x="5307330" y="1698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3092450</xdr:colOff>
      <xdr:row>94</xdr:row>
      <xdr:rowOff>0</xdr:rowOff>
    </xdr:from>
    <xdr:ext cx="191101" cy="2721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76793AB2-986B-477A-97CB-78DC9C37C934}"/>
            </a:ext>
          </a:extLst>
        </xdr:cNvPr>
        <xdr:cNvSpPr txBox="1"/>
      </xdr:nvSpPr>
      <xdr:spPr>
        <a:xfrm>
          <a:off x="3495675" y="1700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3148</xdr:colOff>
      <xdr:row>99</xdr:row>
      <xdr:rowOff>102870</xdr:rowOff>
    </xdr:from>
    <xdr:ext cx="190889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3864A5B1-CF0F-4B0F-80B4-7B64695037B1}"/>
            </a:ext>
          </a:extLst>
        </xdr:cNvPr>
        <xdr:cNvSpPr txBox="1"/>
      </xdr:nvSpPr>
      <xdr:spPr>
        <a:xfrm>
          <a:off x="3514974" y="1694141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3295650</xdr:colOff>
      <xdr:row>96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361B8E1F-4A80-4679-9056-8B54224464ED}"/>
            </a:ext>
          </a:extLst>
        </xdr:cNvPr>
        <xdr:cNvSpPr txBox="1"/>
      </xdr:nvSpPr>
      <xdr:spPr>
        <a:xfrm>
          <a:off x="2876550" y="2364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3092450</xdr:colOff>
      <xdr:row>98</xdr:row>
      <xdr:rowOff>0</xdr:rowOff>
    </xdr:from>
    <xdr:ext cx="191101" cy="2721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4724E63-DB5C-4C8A-9420-6C776C882304}"/>
            </a:ext>
          </a:extLst>
        </xdr:cNvPr>
        <xdr:cNvSpPr txBox="1"/>
      </xdr:nvSpPr>
      <xdr:spPr>
        <a:xfrm>
          <a:off x="2876550" y="2364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2485</xdr:colOff>
      <xdr:row>99</xdr:row>
      <xdr:rowOff>0</xdr:rowOff>
    </xdr:from>
    <xdr:ext cx="190889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F63B816F-D44E-4247-A8A2-72245077D893}"/>
            </a:ext>
          </a:extLst>
        </xdr:cNvPr>
        <xdr:cNvSpPr txBox="1"/>
      </xdr:nvSpPr>
      <xdr:spPr>
        <a:xfrm>
          <a:off x="2876550" y="168385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3148</xdr:colOff>
      <xdr:row>102</xdr:row>
      <xdr:rowOff>109220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F6232D0B-E760-4549-8A20-25B313AA5841}"/>
            </a:ext>
          </a:extLst>
        </xdr:cNvPr>
        <xdr:cNvSpPr txBox="1"/>
      </xdr:nvSpPr>
      <xdr:spPr>
        <a:xfrm>
          <a:off x="6485670" y="174364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3295650</xdr:colOff>
      <xdr:row>101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A3B80BAB-607F-433C-A621-9D892082DCBE}"/>
            </a:ext>
          </a:extLst>
        </xdr:cNvPr>
        <xdr:cNvSpPr txBox="1"/>
      </xdr:nvSpPr>
      <xdr:spPr>
        <a:xfrm>
          <a:off x="2876550" y="2405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2485</xdr:colOff>
      <xdr:row>102</xdr:row>
      <xdr:rowOff>0</xdr:rowOff>
    </xdr:from>
    <xdr:ext cx="190889" cy="26273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11DA771D-7628-4F45-AC8B-80076A4CDA28}"/>
            </a:ext>
          </a:extLst>
        </xdr:cNvPr>
        <xdr:cNvSpPr txBox="1"/>
      </xdr:nvSpPr>
      <xdr:spPr>
        <a:xfrm>
          <a:off x="2876550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48</xdr:row>
      <xdr:rowOff>0</xdr:rowOff>
    </xdr:from>
    <xdr:ext cx="19110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DBE2CF05-53EA-4FBE-B9D4-AA1E9FEBD502}"/>
            </a:ext>
          </a:extLst>
        </xdr:cNvPr>
        <xdr:cNvSpPr txBox="1"/>
      </xdr:nvSpPr>
      <xdr:spPr>
        <a:xfrm>
          <a:off x="2876550" y="2380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3056890</xdr:colOff>
      <xdr:row>52</xdr:row>
      <xdr:rowOff>95250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FD2B6613-BA27-444D-96BF-F2C28702E2AD}"/>
            </a:ext>
          </a:extLst>
        </xdr:cNvPr>
        <xdr:cNvSpPr txBox="1"/>
      </xdr:nvSpPr>
      <xdr:spPr>
        <a:xfrm>
          <a:off x="3368040" y="10864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9110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770A0898-B7F2-483D-9DC6-967D84239922}"/>
            </a:ext>
          </a:extLst>
        </xdr:cNvPr>
        <xdr:cNvSpPr txBox="1"/>
      </xdr:nvSpPr>
      <xdr:spPr>
        <a:xfrm>
          <a:off x="295275" y="96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E746AB4A-E8B9-46A3-B08F-899A891709A4}"/>
            </a:ext>
          </a:extLst>
        </xdr:cNvPr>
        <xdr:cNvSpPr txBox="1"/>
      </xdr:nvSpPr>
      <xdr:spPr>
        <a:xfrm>
          <a:off x="295275" y="96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9110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F19F9DE4-99CD-49C1-89D2-963222EF1141}"/>
            </a:ext>
          </a:extLst>
        </xdr:cNvPr>
        <xdr:cNvSpPr txBox="1"/>
      </xdr:nvSpPr>
      <xdr:spPr>
        <a:xfrm>
          <a:off x="295275" y="96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9110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D2A8B4B2-82D3-4FC6-B232-EFB4AD4454E4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9110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C54517B0-5676-4D05-A3EA-20BD2D9AC56B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9110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4AC19F05-54BF-4517-9DE6-177D7D38BDC4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9110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77946F44-F0BE-4D4A-941F-E83A23DB775A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EBE8F1E1-2023-42E9-9713-4A94C38283A5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9110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56A7897A-72B5-4CD5-96D8-7F43629C4CA0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E6A47138-A66C-4005-ABE0-896B0375D683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99AD624F-1544-46F4-9CE9-20AE8C1A1971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0</xdr:colOff>
      <xdr:row>57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B5EFC5DE-994D-42DD-8AF1-C703739EC801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48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F373E165-954C-46FC-923B-C883328833BB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49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ED4B2AA2-E3C1-43D9-BBF6-B71DD19569C9}"/>
            </a:ext>
          </a:extLst>
        </xdr:cNvPr>
        <xdr:cNvSpPr txBox="1"/>
      </xdr:nvSpPr>
      <xdr:spPr>
        <a:xfrm>
          <a:off x="295275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51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1D5DC06F-AAD6-4CA0-8B29-DBBA9BD9AAB0}"/>
            </a:ext>
          </a:extLst>
        </xdr:cNvPr>
        <xdr:cNvSpPr txBox="1"/>
      </xdr:nvSpPr>
      <xdr:spPr>
        <a:xfrm>
          <a:off x="295275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52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8DC0E62E-0D90-499F-8356-D2494DABF431}"/>
            </a:ext>
          </a:extLst>
        </xdr:cNvPr>
        <xdr:cNvSpPr txBox="1"/>
      </xdr:nvSpPr>
      <xdr:spPr>
        <a:xfrm>
          <a:off x="295275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49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6854A1E0-632D-42E5-9A7B-20A7DD47D7EA}"/>
            </a:ext>
          </a:extLst>
        </xdr:cNvPr>
        <xdr:cNvSpPr txBox="1"/>
      </xdr:nvSpPr>
      <xdr:spPr>
        <a:xfrm>
          <a:off x="295275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50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225C0E4F-CA4C-4080-9DF6-A542C2673EDF}"/>
            </a:ext>
          </a:extLst>
        </xdr:cNvPr>
        <xdr:cNvSpPr txBox="1"/>
      </xdr:nvSpPr>
      <xdr:spPr>
        <a:xfrm>
          <a:off x="29527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51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3F1369F5-0BDA-4A32-BE39-CAA4E19F8876}"/>
            </a:ext>
          </a:extLst>
        </xdr:cNvPr>
        <xdr:cNvSpPr txBox="1"/>
      </xdr:nvSpPr>
      <xdr:spPr>
        <a:xfrm>
          <a:off x="295275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52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CF55D07-CB1E-4C6A-A7C2-A59C7370BF6E}"/>
            </a:ext>
          </a:extLst>
        </xdr:cNvPr>
        <xdr:cNvSpPr txBox="1"/>
      </xdr:nvSpPr>
      <xdr:spPr>
        <a:xfrm>
          <a:off x="295275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53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FD9C5E90-674B-49FD-B72E-5E698B373DD0}"/>
            </a:ext>
          </a:extLst>
        </xdr:cNvPr>
        <xdr:cNvSpPr txBox="1"/>
      </xdr:nvSpPr>
      <xdr:spPr>
        <a:xfrm>
          <a:off x="295275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54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56A4B9E4-1404-40E9-9A8C-BB37C938BC5A}"/>
            </a:ext>
          </a:extLst>
        </xdr:cNvPr>
        <xdr:cNvSpPr txBox="1"/>
      </xdr:nvSpPr>
      <xdr:spPr>
        <a:xfrm>
          <a:off x="295275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9110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8EE3DAE8-63C9-4924-AEF6-83199255D7F2}"/>
            </a:ext>
          </a:extLst>
        </xdr:cNvPr>
        <xdr:cNvSpPr txBox="1"/>
      </xdr:nvSpPr>
      <xdr:spPr>
        <a:xfrm>
          <a:off x="295275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56</xdr:row>
      <xdr:rowOff>0</xdr:rowOff>
    </xdr:from>
    <xdr:ext cx="19110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856D5DFC-56C3-4F47-858F-D6D1D34BFD8B}"/>
            </a:ext>
          </a:extLst>
        </xdr:cNvPr>
        <xdr:cNvSpPr txBox="1"/>
      </xdr:nvSpPr>
      <xdr:spPr>
        <a:xfrm>
          <a:off x="295275" y="115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57</xdr:row>
      <xdr:rowOff>0</xdr:rowOff>
    </xdr:from>
    <xdr:ext cx="19110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7C5FD9A-CAC3-4FE8-9E6F-CEEFEB9DCBC2}"/>
            </a:ext>
          </a:extLst>
        </xdr:cNvPr>
        <xdr:cNvSpPr txBox="1"/>
      </xdr:nvSpPr>
      <xdr:spPr>
        <a:xfrm>
          <a:off x="295275" y="1167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9110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BA142ADE-380E-43EB-8289-22DE098A0131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9110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77E81483-867B-4679-B7EA-0BB75F0B8D21}"/>
            </a:ext>
          </a:extLst>
        </xdr:cNvPr>
        <xdr:cNvSpPr txBox="1"/>
      </xdr:nvSpPr>
      <xdr:spPr>
        <a:xfrm>
          <a:off x="295275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9110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92938B63-8DED-4E27-B9A6-335A1D3EC2C6}"/>
            </a:ext>
          </a:extLst>
        </xdr:cNvPr>
        <xdr:cNvSpPr txBox="1"/>
      </xdr:nvSpPr>
      <xdr:spPr>
        <a:xfrm>
          <a:off x="295275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9110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4953F416-E4EB-4434-9353-65DD21E49390}"/>
            </a:ext>
          </a:extLst>
        </xdr:cNvPr>
        <xdr:cNvSpPr txBox="1"/>
      </xdr:nvSpPr>
      <xdr:spPr>
        <a:xfrm>
          <a:off x="295275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9110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161C9C91-9073-4E6B-81CE-96B2EE0C8E26}"/>
            </a:ext>
          </a:extLst>
        </xdr:cNvPr>
        <xdr:cNvSpPr txBox="1"/>
      </xdr:nvSpPr>
      <xdr:spPr>
        <a:xfrm>
          <a:off x="295275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9110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39D8310A-3755-48CA-B023-827128D490FC}"/>
            </a:ext>
          </a:extLst>
        </xdr:cNvPr>
        <xdr:cNvSpPr txBox="1"/>
      </xdr:nvSpPr>
      <xdr:spPr>
        <a:xfrm>
          <a:off x="29527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9110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673F124A-FFF7-48B8-A3C2-87FFFCF3BF2C}"/>
            </a:ext>
          </a:extLst>
        </xdr:cNvPr>
        <xdr:cNvSpPr txBox="1"/>
      </xdr:nvSpPr>
      <xdr:spPr>
        <a:xfrm>
          <a:off x="295275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9110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354C3670-782A-41F5-B32B-0EB421FF72FD}"/>
            </a:ext>
          </a:extLst>
        </xdr:cNvPr>
        <xdr:cNvSpPr txBox="1"/>
      </xdr:nvSpPr>
      <xdr:spPr>
        <a:xfrm>
          <a:off x="295275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53</xdr:row>
      <xdr:rowOff>0</xdr:rowOff>
    </xdr:from>
    <xdr:ext cx="19110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738B1D4-0714-4EF3-9B2E-62C663AFEC90}"/>
            </a:ext>
          </a:extLst>
        </xdr:cNvPr>
        <xdr:cNvSpPr txBox="1"/>
      </xdr:nvSpPr>
      <xdr:spPr>
        <a:xfrm>
          <a:off x="295275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54</xdr:row>
      <xdr:rowOff>0</xdr:rowOff>
    </xdr:from>
    <xdr:ext cx="19110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18C14072-2B7E-44B6-A703-52CE048EBA5E}"/>
            </a:ext>
          </a:extLst>
        </xdr:cNvPr>
        <xdr:cNvSpPr txBox="1"/>
      </xdr:nvSpPr>
      <xdr:spPr>
        <a:xfrm>
          <a:off x="295275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55</xdr:row>
      <xdr:rowOff>0</xdr:rowOff>
    </xdr:from>
    <xdr:ext cx="19110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BF0E2322-B5F6-4E48-BBE1-7B660DFD0C9D}"/>
            </a:ext>
          </a:extLst>
        </xdr:cNvPr>
        <xdr:cNvSpPr txBox="1"/>
      </xdr:nvSpPr>
      <xdr:spPr>
        <a:xfrm>
          <a:off x="295275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56</xdr:row>
      <xdr:rowOff>0</xdr:rowOff>
    </xdr:from>
    <xdr:ext cx="19110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19DEA040-6BAA-4B08-A084-A975264D29A8}"/>
            </a:ext>
          </a:extLst>
        </xdr:cNvPr>
        <xdr:cNvSpPr txBox="1"/>
      </xdr:nvSpPr>
      <xdr:spPr>
        <a:xfrm>
          <a:off x="295275" y="115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57</xdr:row>
      <xdr:rowOff>0</xdr:rowOff>
    </xdr:from>
    <xdr:ext cx="19110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3F8DE883-13D3-4557-9F01-4734135AA414}"/>
            </a:ext>
          </a:extLst>
        </xdr:cNvPr>
        <xdr:cNvSpPr txBox="1"/>
      </xdr:nvSpPr>
      <xdr:spPr>
        <a:xfrm>
          <a:off x="295275" y="1167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48</xdr:row>
      <xdr:rowOff>0</xdr:rowOff>
    </xdr:from>
    <xdr:ext cx="19110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92CE3E03-C59A-4839-B107-44973E579106}"/>
            </a:ext>
          </a:extLst>
        </xdr:cNvPr>
        <xdr:cNvSpPr txBox="1"/>
      </xdr:nvSpPr>
      <xdr:spPr>
        <a:xfrm>
          <a:off x="295275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49</xdr:row>
      <xdr:rowOff>0</xdr:rowOff>
    </xdr:from>
    <xdr:ext cx="19110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6A20F8A6-5917-408B-9C6C-2C01BA1EACC4}"/>
            </a:ext>
          </a:extLst>
        </xdr:cNvPr>
        <xdr:cNvSpPr txBox="1"/>
      </xdr:nvSpPr>
      <xdr:spPr>
        <a:xfrm>
          <a:off x="295275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51</xdr:row>
      <xdr:rowOff>0</xdr:rowOff>
    </xdr:from>
    <xdr:ext cx="19110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C35F03CF-4B92-4EBC-A6B7-459F315DAB04}"/>
            </a:ext>
          </a:extLst>
        </xdr:cNvPr>
        <xdr:cNvSpPr txBox="1"/>
      </xdr:nvSpPr>
      <xdr:spPr>
        <a:xfrm>
          <a:off x="295275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52</xdr:row>
      <xdr:rowOff>0</xdr:rowOff>
    </xdr:from>
    <xdr:ext cx="19110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7AD1259-7BC3-4EE4-A13A-700C636A0827}"/>
            </a:ext>
          </a:extLst>
        </xdr:cNvPr>
        <xdr:cNvSpPr txBox="1"/>
      </xdr:nvSpPr>
      <xdr:spPr>
        <a:xfrm>
          <a:off x="295275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49</xdr:row>
      <xdr:rowOff>0</xdr:rowOff>
    </xdr:from>
    <xdr:ext cx="19110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F32A6923-59DE-48D4-B149-7898546D7D40}"/>
            </a:ext>
          </a:extLst>
        </xdr:cNvPr>
        <xdr:cNvSpPr txBox="1"/>
      </xdr:nvSpPr>
      <xdr:spPr>
        <a:xfrm>
          <a:off x="295275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50</xdr:row>
      <xdr:rowOff>0</xdr:rowOff>
    </xdr:from>
    <xdr:ext cx="19110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F827F915-41C2-4CDC-812C-0726911DD4EB}"/>
            </a:ext>
          </a:extLst>
        </xdr:cNvPr>
        <xdr:cNvSpPr txBox="1"/>
      </xdr:nvSpPr>
      <xdr:spPr>
        <a:xfrm>
          <a:off x="29527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51</xdr:row>
      <xdr:rowOff>0</xdr:rowOff>
    </xdr:from>
    <xdr:ext cx="19110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5D7BD5AF-3CB7-4AC8-99A0-D409F63ACE4B}"/>
            </a:ext>
          </a:extLst>
        </xdr:cNvPr>
        <xdr:cNvSpPr txBox="1"/>
      </xdr:nvSpPr>
      <xdr:spPr>
        <a:xfrm>
          <a:off x="295275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52</xdr:row>
      <xdr:rowOff>0</xdr:rowOff>
    </xdr:from>
    <xdr:ext cx="19110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C939CBD0-9EF5-4E33-B291-AFAFFF34B0C4}"/>
            </a:ext>
          </a:extLst>
        </xdr:cNvPr>
        <xdr:cNvSpPr txBox="1"/>
      </xdr:nvSpPr>
      <xdr:spPr>
        <a:xfrm>
          <a:off x="295275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53</xdr:row>
      <xdr:rowOff>0</xdr:rowOff>
    </xdr:from>
    <xdr:ext cx="19110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CFFBC02A-60A5-40F0-BB57-28426ED3D67A}"/>
            </a:ext>
          </a:extLst>
        </xdr:cNvPr>
        <xdr:cNvSpPr txBox="1"/>
      </xdr:nvSpPr>
      <xdr:spPr>
        <a:xfrm>
          <a:off x="295275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54</xdr:row>
      <xdr:rowOff>0</xdr:rowOff>
    </xdr:from>
    <xdr:ext cx="19110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DDAD7813-C3F5-4B15-BF3D-14EF9252D6F2}"/>
            </a:ext>
          </a:extLst>
        </xdr:cNvPr>
        <xdr:cNvSpPr txBox="1"/>
      </xdr:nvSpPr>
      <xdr:spPr>
        <a:xfrm>
          <a:off x="295275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55</xdr:row>
      <xdr:rowOff>0</xdr:rowOff>
    </xdr:from>
    <xdr:ext cx="19110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5F5DC3EF-DF82-4248-B9E2-956CDD1091D3}"/>
            </a:ext>
          </a:extLst>
        </xdr:cNvPr>
        <xdr:cNvSpPr txBox="1"/>
      </xdr:nvSpPr>
      <xdr:spPr>
        <a:xfrm>
          <a:off x="295275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56</xdr:row>
      <xdr:rowOff>0</xdr:rowOff>
    </xdr:from>
    <xdr:ext cx="19110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1891D9C7-2133-4077-857E-425000829FB4}"/>
            </a:ext>
          </a:extLst>
        </xdr:cNvPr>
        <xdr:cNvSpPr txBox="1"/>
      </xdr:nvSpPr>
      <xdr:spPr>
        <a:xfrm>
          <a:off x="295275" y="115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57</xdr:row>
      <xdr:rowOff>0</xdr:rowOff>
    </xdr:from>
    <xdr:ext cx="19110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ED0B53ED-B239-4204-A133-C4565E4AC85A}"/>
            </a:ext>
          </a:extLst>
        </xdr:cNvPr>
        <xdr:cNvSpPr txBox="1"/>
      </xdr:nvSpPr>
      <xdr:spPr>
        <a:xfrm>
          <a:off x="295275" y="1167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75</xdr:row>
      <xdr:rowOff>0</xdr:rowOff>
    </xdr:from>
    <xdr:ext cx="19110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163F6BAE-214B-4F84-B965-5EE7FCD34F3B}"/>
            </a:ext>
          </a:extLst>
        </xdr:cNvPr>
        <xdr:cNvSpPr txBox="1"/>
      </xdr:nvSpPr>
      <xdr:spPr>
        <a:xfrm>
          <a:off x="3295650" y="105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1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2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3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4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5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6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50800</xdr:colOff>
      <xdr:row>97</xdr:row>
      <xdr:rowOff>171450</xdr:rowOff>
    </xdr:to>
    <xdr:sp macro="" textlink="">
      <xdr:nvSpPr>
        <xdr:cNvPr id="857527" name="AutoShape 2"/>
        <xdr:cNvSpPr>
          <a:spLocks noChangeArrowheads="1"/>
        </xdr:cNvSpPr>
      </xdr:nvSpPr>
      <xdr:spPr bwMode="auto">
        <a:xfrm>
          <a:off x="0" y="0"/>
          <a:ext cx="9093200" cy="20224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296545</xdr:colOff>
      <xdr:row>67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11A91C21-1DE1-448F-8F2D-AD90525EB1E6}"/>
            </a:ext>
          </a:extLst>
        </xdr:cNvPr>
        <xdr:cNvSpPr txBox="1"/>
      </xdr:nvSpPr>
      <xdr:spPr>
        <a:xfrm>
          <a:off x="296545" y="1303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71</xdr:row>
      <xdr:rowOff>95250</xdr:rowOff>
    </xdr:from>
    <xdr:ext cx="191101" cy="26863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B58F7E77-F75D-4D1A-A4B7-2F003C1C9F5D}"/>
            </a:ext>
          </a:extLst>
        </xdr:cNvPr>
        <xdr:cNvSpPr txBox="1"/>
      </xdr:nvSpPr>
      <xdr:spPr>
        <a:xfrm>
          <a:off x="3505200" y="1243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68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B1C37E39-C234-43A0-B569-3B349CEA2321}"/>
            </a:ext>
          </a:extLst>
        </xdr:cNvPr>
        <xdr:cNvSpPr txBox="1"/>
      </xdr:nvSpPr>
      <xdr:spPr>
        <a:xfrm>
          <a:off x="296545" y="1319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70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BC9BD7F7-C618-4098-9851-BF829DAD1864}"/>
            </a:ext>
          </a:extLst>
        </xdr:cNvPr>
        <xdr:cNvSpPr txBox="1"/>
      </xdr:nvSpPr>
      <xdr:spPr>
        <a:xfrm>
          <a:off x="29654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71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4548C81-FFA3-4DAF-9F81-FD92E17B1261}"/>
            </a:ext>
          </a:extLst>
        </xdr:cNvPr>
        <xdr:cNvSpPr txBox="1"/>
      </xdr:nvSpPr>
      <xdr:spPr>
        <a:xfrm>
          <a:off x="296545" y="136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68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77EC5537-4418-454A-9405-0C276E0D305A}"/>
            </a:ext>
          </a:extLst>
        </xdr:cNvPr>
        <xdr:cNvSpPr txBox="1"/>
      </xdr:nvSpPr>
      <xdr:spPr>
        <a:xfrm>
          <a:off x="296545" y="1319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70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F890100E-D51B-4A60-830C-94594E85110F}"/>
            </a:ext>
          </a:extLst>
        </xdr:cNvPr>
        <xdr:cNvSpPr txBox="1"/>
      </xdr:nvSpPr>
      <xdr:spPr>
        <a:xfrm>
          <a:off x="29654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71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B4318183-AFC3-45ED-BDE8-BA3559742748}"/>
            </a:ext>
          </a:extLst>
        </xdr:cNvPr>
        <xdr:cNvSpPr txBox="1"/>
      </xdr:nvSpPr>
      <xdr:spPr>
        <a:xfrm>
          <a:off x="296545" y="136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68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E8EB34BD-26FC-4A00-819D-D91C82746C4B}"/>
            </a:ext>
          </a:extLst>
        </xdr:cNvPr>
        <xdr:cNvSpPr txBox="1"/>
      </xdr:nvSpPr>
      <xdr:spPr>
        <a:xfrm>
          <a:off x="296545" y="1319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70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1339BB55-98CE-44CB-84FD-74AAC8573A39}"/>
            </a:ext>
          </a:extLst>
        </xdr:cNvPr>
        <xdr:cNvSpPr txBox="1"/>
      </xdr:nvSpPr>
      <xdr:spPr>
        <a:xfrm>
          <a:off x="29654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296545</xdr:colOff>
      <xdr:row>71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3841FC60-2D34-4AB9-A684-AD62B730AA3D}"/>
            </a:ext>
          </a:extLst>
        </xdr:cNvPr>
        <xdr:cNvSpPr txBox="1"/>
      </xdr:nvSpPr>
      <xdr:spPr>
        <a:xfrm>
          <a:off x="296545" y="136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67</xdr:row>
      <xdr:rowOff>0</xdr:rowOff>
    </xdr:from>
    <xdr:ext cx="19110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79EAC3F-5E67-423D-BB2F-8F4623FA7E16}"/>
            </a:ext>
          </a:extLst>
        </xdr:cNvPr>
        <xdr:cNvSpPr txBox="1"/>
      </xdr:nvSpPr>
      <xdr:spPr>
        <a:xfrm>
          <a:off x="238125" y="141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68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2BACF501-1037-46DF-8F2F-B82ADC7BFCA9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B08AAD59-A544-4CD8-B215-553DD17F9BFA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71</xdr:row>
      <xdr:rowOff>0</xdr:rowOff>
    </xdr:from>
    <xdr:ext cx="19110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50B481A6-87DB-41E2-BB1F-4D7CBA841610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68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D9C9929E-88F0-4466-A292-2BE1514A1C0B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D77B612A-9420-4289-A9A9-05FC952CED9B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71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9419A71A-12E7-45AB-8125-A620E5BE1AE0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0</xdr:colOff>
      <xdr:row>68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2A7D8491-8D42-43CE-8DD3-CBE07EF3F361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9110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B837A7E2-52AD-46A1-B137-C949FEC157F4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71</xdr:row>
      <xdr:rowOff>0</xdr:rowOff>
    </xdr:from>
    <xdr:ext cx="19110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1BCA577-73A7-4A73-AF22-138D2438C257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67</xdr:row>
      <xdr:rowOff>0</xdr:rowOff>
    </xdr:from>
    <xdr:ext cx="19110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D828F0F0-137D-4045-B2EC-136DADB2A8E7}"/>
            </a:ext>
          </a:extLst>
        </xdr:cNvPr>
        <xdr:cNvSpPr txBox="1"/>
      </xdr:nvSpPr>
      <xdr:spPr>
        <a:xfrm>
          <a:off x="238125" y="141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AF333E54-D513-41F5-A6E3-95FE56AE8320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9110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C4E0DAD7-24DF-483D-BA76-71E9E32044EA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9110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B0646290-F865-498A-B13E-6869790F749F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A638EEA5-9E86-41CC-B397-5F6B08D61F18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9110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614A2AAD-877F-4B92-A08D-93867678AEE6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9110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4CDCB84B-6D26-49A3-A5DC-D23206AA9391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9110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D62BC4AA-441E-4F78-9D5B-A2EC5FBDF4C0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9110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3E40EA4C-975B-4736-8369-D4B85EF69F44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71</xdr:row>
      <xdr:rowOff>0</xdr:rowOff>
    </xdr:from>
    <xdr:ext cx="19110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8A161790-1CE2-4494-BC64-CE191F6025C1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67</xdr:row>
      <xdr:rowOff>0</xdr:rowOff>
    </xdr:from>
    <xdr:ext cx="19110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15A60F83-EA8F-475A-8161-E904541308C1}"/>
            </a:ext>
          </a:extLst>
        </xdr:cNvPr>
        <xdr:cNvSpPr txBox="1"/>
      </xdr:nvSpPr>
      <xdr:spPr>
        <a:xfrm>
          <a:off x="238125" y="141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9110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6E44295E-0EF1-4C9C-AFF3-A2981F8DD20F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9110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739124B2-4FC8-45B9-898A-9D7472BD53EB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9110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8B6AD223-64E7-4412-BD98-EC899A6D5BA6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9110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37D0BFAF-8DAD-4535-B0E8-D150B279240A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9110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5C3BFCB0-87F5-4346-8EAE-EE334B964CAA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9110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827275BB-9CC1-4574-932A-24D8D3848926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68</xdr:row>
      <xdr:rowOff>0</xdr:rowOff>
    </xdr:from>
    <xdr:ext cx="19110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6F07E842-6E97-4D3A-8119-25467708F30B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9110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FBCBDB3F-92B6-4C81-A6ED-73AAE5FFC020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9110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EE256BD8-8263-426F-AE9E-D66AB6B23262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67</xdr:row>
      <xdr:rowOff>0</xdr:rowOff>
    </xdr:from>
    <xdr:ext cx="19110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D1F494BC-82F6-4531-80CA-60C4A9531EB3}"/>
            </a:ext>
          </a:extLst>
        </xdr:cNvPr>
        <xdr:cNvSpPr txBox="1"/>
      </xdr:nvSpPr>
      <xdr:spPr>
        <a:xfrm>
          <a:off x="238125" y="141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9110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A1843C7A-1E0B-4D48-807C-AD2348F9D922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9110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F62289B0-9C89-41F8-9572-94705C450BD9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9110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E219BBAA-1F80-4578-A64F-94EB59AC8700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9110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1FB1895-89E3-4F04-9C68-83098A344A28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9110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1E69350F-1992-47E5-BF3E-654C8A7F4088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9110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E6DE3430-604B-4581-92A3-51515983AAC6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68</xdr:row>
      <xdr:rowOff>0</xdr:rowOff>
    </xdr:from>
    <xdr:ext cx="19110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B27130B2-36A8-41B4-ACA0-59D11B869CB7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9110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DF61A8D4-29BB-4306-B45A-44FAF359E948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71</xdr:row>
      <xdr:rowOff>0</xdr:rowOff>
    </xdr:from>
    <xdr:ext cx="19110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70E1A4B7-24F7-4B4F-8EB7-2F9C81010A74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67</xdr:row>
      <xdr:rowOff>0</xdr:rowOff>
    </xdr:from>
    <xdr:ext cx="19110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AB6245A6-3E92-4232-8521-9BB6D2A3B611}"/>
            </a:ext>
          </a:extLst>
        </xdr:cNvPr>
        <xdr:cNvSpPr txBox="1"/>
      </xdr:nvSpPr>
      <xdr:spPr>
        <a:xfrm>
          <a:off x="238125" y="141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19110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93878583-B430-4D37-9A4B-1687671459F2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19110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AF8063E2-171F-495E-A7C6-2848C9237DA3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19110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A5087D30-227C-4682-8CDD-262755E962D1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19110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E936DE1D-8EAE-4CFD-9F43-E7F77CC8F381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19110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56EB951F-A9A7-4722-B167-C7C8EAA8206D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19110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B4C1B3DA-509E-49C8-8336-9DB4CFA5CC74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19110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F178553E-9501-4F69-A740-50261CF6B3A3}"/>
            </a:ext>
          </a:extLst>
        </xdr:cNvPr>
        <xdr:cNvSpPr txBox="1"/>
      </xdr:nvSpPr>
      <xdr:spPr>
        <a:xfrm>
          <a:off x="238125" y="1434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19110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3EC6422B-0F91-468E-ADEE-F86F5CA3FD0B}"/>
            </a:ext>
          </a:extLst>
        </xdr:cNvPr>
        <xdr:cNvSpPr txBox="1"/>
      </xdr:nvSpPr>
      <xdr:spPr>
        <a:xfrm>
          <a:off x="238125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19110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2D3EEB20-512F-407B-81BE-99040B4AED5A}"/>
            </a:ext>
          </a:extLst>
        </xdr:cNvPr>
        <xdr:cNvSpPr txBox="1"/>
      </xdr:nvSpPr>
      <xdr:spPr>
        <a:xfrm>
          <a:off x="238125" y="1483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183C3DB6-925B-4A3E-8737-1843AB0B12F6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331470</xdr:colOff>
      <xdr:row>31</xdr:row>
      <xdr:rowOff>0</xdr:rowOff>
    </xdr:from>
    <xdr:ext cx="191101" cy="27171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AD182F12-2681-4296-A9BC-E39E3574E625}"/>
            </a:ext>
          </a:extLst>
        </xdr:cNvPr>
        <xdr:cNvSpPr txBox="1"/>
      </xdr:nvSpPr>
      <xdr:spPr>
        <a:xfrm>
          <a:off x="3276600" y="1491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90B5D633-A655-49EE-B7D3-79F9ABB3E33A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E0D2127D-572C-4187-A1F6-E757DF2EFE2B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9EC01D76-4EF8-4020-B250-7A24DB43F989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1250B4CD-0DDF-45C8-9FAA-8EAE58261C41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2E45ED56-F7C9-4A8E-ABF6-94184C53A7E9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2C53D534-A655-4594-9B95-39F028EC4163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1905</xdr:colOff>
      <xdr:row>31</xdr:row>
      <xdr:rowOff>0</xdr:rowOff>
    </xdr:from>
    <xdr:ext cx="190889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CD45ED9-5F05-46B0-9630-DB98A2B43880}"/>
            </a:ext>
          </a:extLst>
        </xdr:cNvPr>
        <xdr:cNvSpPr txBox="1"/>
      </xdr:nvSpPr>
      <xdr:spPr>
        <a:xfrm>
          <a:off x="459105" y="632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1725</xdr:colOff>
      <xdr:row>35</xdr:row>
      <xdr:rowOff>104775</xdr:rowOff>
    </xdr:from>
    <xdr:ext cx="190889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82CECDA4-924B-4EBE-965D-1D7608FAB49A}"/>
            </a:ext>
          </a:extLst>
        </xdr:cNvPr>
        <xdr:cNvSpPr txBox="1"/>
      </xdr:nvSpPr>
      <xdr:spPr>
        <a:xfrm>
          <a:off x="774508" y="70777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34</xdr:row>
      <xdr:rowOff>0</xdr:rowOff>
    </xdr:from>
    <xdr:ext cx="19110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EE0595F-95D8-43D9-9327-8A3179282EF4}"/>
            </a:ext>
          </a:extLst>
        </xdr:cNvPr>
        <xdr:cNvSpPr txBox="1"/>
      </xdr:nvSpPr>
      <xdr:spPr>
        <a:xfrm>
          <a:off x="619125" y="774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35</xdr:row>
      <xdr:rowOff>0</xdr:rowOff>
    </xdr:from>
    <xdr:ext cx="19110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8904D43-26DD-456C-AC7A-2D71C05A6299}"/>
            </a:ext>
          </a:extLst>
        </xdr:cNvPr>
        <xdr:cNvSpPr txBox="1"/>
      </xdr:nvSpPr>
      <xdr:spPr>
        <a:xfrm>
          <a:off x="619125" y="774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34</xdr:row>
      <xdr:rowOff>0</xdr:rowOff>
    </xdr:from>
    <xdr:ext cx="19110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EA063247-D98C-4F7F-8EFC-803F269F7A1E}"/>
            </a:ext>
          </a:extLst>
        </xdr:cNvPr>
        <xdr:cNvSpPr txBox="1"/>
      </xdr:nvSpPr>
      <xdr:spPr>
        <a:xfrm>
          <a:off x="619125" y="774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35</xdr:row>
      <xdr:rowOff>0</xdr:rowOff>
    </xdr:from>
    <xdr:ext cx="19110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615A6183-FA02-49EA-A51B-B918FCF3A662}"/>
            </a:ext>
          </a:extLst>
        </xdr:cNvPr>
        <xdr:cNvSpPr txBox="1"/>
      </xdr:nvSpPr>
      <xdr:spPr>
        <a:xfrm>
          <a:off x="619125" y="774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827</xdr:colOff>
      <xdr:row>32</xdr:row>
      <xdr:rowOff>0</xdr:rowOff>
    </xdr:from>
    <xdr:ext cx="191101" cy="2624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84B14555-77F2-40F3-9B89-F67B2561FE2A}"/>
            </a:ext>
          </a:extLst>
        </xdr:cNvPr>
        <xdr:cNvSpPr txBox="1"/>
      </xdr:nvSpPr>
      <xdr:spPr>
        <a:xfrm>
          <a:off x="61912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34</xdr:row>
      <xdr:rowOff>0</xdr:rowOff>
    </xdr:from>
    <xdr:ext cx="19110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B9856B83-10C7-4D53-9077-DEED6FE159DC}"/>
            </a:ext>
          </a:extLst>
        </xdr:cNvPr>
        <xdr:cNvSpPr txBox="1"/>
      </xdr:nvSpPr>
      <xdr:spPr>
        <a:xfrm>
          <a:off x="61912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35</xdr:row>
      <xdr:rowOff>0</xdr:rowOff>
    </xdr:from>
    <xdr:ext cx="19110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A481CC97-84E0-4088-958E-A0CCE49D5908}"/>
            </a:ext>
          </a:extLst>
        </xdr:cNvPr>
        <xdr:cNvSpPr txBox="1"/>
      </xdr:nvSpPr>
      <xdr:spPr>
        <a:xfrm>
          <a:off x="61912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827</xdr:colOff>
      <xdr:row>32</xdr:row>
      <xdr:rowOff>0</xdr:rowOff>
    </xdr:from>
    <xdr:ext cx="191101" cy="2624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EAC12481-93A7-486C-8B9D-97F6157030BE}"/>
            </a:ext>
          </a:extLst>
        </xdr:cNvPr>
        <xdr:cNvSpPr txBox="1"/>
      </xdr:nvSpPr>
      <xdr:spPr>
        <a:xfrm>
          <a:off x="533400" y="629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34</xdr:row>
      <xdr:rowOff>0</xdr:rowOff>
    </xdr:from>
    <xdr:ext cx="19110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3D3077FC-ED97-43C6-B30D-6C86E15F5375}"/>
            </a:ext>
          </a:extLst>
        </xdr:cNvPr>
        <xdr:cNvSpPr txBox="1"/>
      </xdr:nvSpPr>
      <xdr:spPr>
        <a:xfrm>
          <a:off x="533400" y="629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35</xdr:row>
      <xdr:rowOff>0</xdr:rowOff>
    </xdr:from>
    <xdr:ext cx="19110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6E463275-6D23-4535-9464-6D5FC44194FA}"/>
            </a:ext>
          </a:extLst>
        </xdr:cNvPr>
        <xdr:cNvSpPr txBox="1"/>
      </xdr:nvSpPr>
      <xdr:spPr>
        <a:xfrm>
          <a:off x="533400" y="629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1725</xdr:colOff>
      <xdr:row>36</xdr:row>
      <xdr:rowOff>95250</xdr:rowOff>
    </xdr:from>
    <xdr:ext cx="190889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9D3579B7-4C44-4275-A151-3F890B8FC2E0}"/>
            </a:ext>
          </a:extLst>
        </xdr:cNvPr>
        <xdr:cNvSpPr txBox="1"/>
      </xdr:nvSpPr>
      <xdr:spPr>
        <a:xfrm>
          <a:off x="774508" y="72569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36</xdr:row>
      <xdr:rowOff>0</xdr:rowOff>
    </xdr:from>
    <xdr:ext cx="19110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7FA509B9-F6C9-4A16-8549-C6632EBC51F0}"/>
            </a:ext>
          </a:extLst>
        </xdr:cNvPr>
        <xdr:cNvSpPr txBox="1"/>
      </xdr:nvSpPr>
      <xdr:spPr>
        <a:xfrm>
          <a:off x="533400" y="686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36</xdr:row>
      <xdr:rowOff>0</xdr:rowOff>
    </xdr:from>
    <xdr:ext cx="19110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F252DAF0-1BDA-41FE-8437-E45E7233404F}"/>
            </a:ext>
          </a:extLst>
        </xdr:cNvPr>
        <xdr:cNvSpPr txBox="1"/>
      </xdr:nvSpPr>
      <xdr:spPr>
        <a:xfrm>
          <a:off x="533400" y="686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36</xdr:row>
      <xdr:rowOff>0</xdr:rowOff>
    </xdr:from>
    <xdr:ext cx="19110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FAA657EC-A95E-47FE-8790-B446760EF039}"/>
            </a:ext>
          </a:extLst>
        </xdr:cNvPr>
        <xdr:cNvSpPr txBox="1"/>
      </xdr:nvSpPr>
      <xdr:spPr>
        <a:xfrm>
          <a:off x="533400" y="686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476250</xdr:colOff>
      <xdr:row>36</xdr:row>
      <xdr:rowOff>0</xdr:rowOff>
    </xdr:from>
    <xdr:ext cx="19110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732E46F3-AA64-4254-B4C5-CFFD7244A8F5}"/>
            </a:ext>
          </a:extLst>
        </xdr:cNvPr>
        <xdr:cNvSpPr txBox="1"/>
      </xdr:nvSpPr>
      <xdr:spPr>
        <a:xfrm>
          <a:off x="533400" y="686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2228</xdr:colOff>
      <xdr:row>31</xdr:row>
      <xdr:rowOff>0</xdr:rowOff>
    </xdr:from>
    <xdr:ext cx="190889" cy="2707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5F13795C-743A-46E9-8CC3-1A7FB9D2207A}"/>
            </a:ext>
          </a:extLst>
        </xdr:cNvPr>
        <xdr:cNvSpPr txBox="1"/>
      </xdr:nvSpPr>
      <xdr:spPr>
        <a:xfrm>
          <a:off x="2356520" y="6299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1930"/>
  <sheetViews>
    <sheetView topLeftCell="A25" workbookViewId="0">
      <selection activeCell="A38" sqref="A38"/>
    </sheetView>
  </sheetViews>
  <sheetFormatPr defaultColWidth="9.1796875" defaultRowHeight="13"/>
  <cols>
    <col min="1" max="1" width="53.453125" style="32" customWidth="1"/>
    <col min="2" max="2" width="9" style="47" customWidth="1"/>
    <col min="3" max="3" width="17.453125" style="34" customWidth="1"/>
    <col min="4" max="4" width="17" style="34" customWidth="1"/>
    <col min="5" max="5" width="32.26953125" style="33" customWidth="1"/>
    <col min="6" max="6" width="9.1796875" style="33"/>
    <col min="7" max="16384" width="9.1796875" style="34"/>
  </cols>
  <sheetData>
    <row r="1" spans="1:23" ht="13.5" customHeight="1">
      <c r="B1" s="1040"/>
      <c r="C1" s="1040"/>
      <c r="D1" s="1040"/>
    </row>
    <row r="3" spans="1:23" ht="15" customHeight="1">
      <c r="A3" s="1041" t="s">
        <v>292</v>
      </c>
      <c r="B3" s="1041"/>
      <c r="C3" s="1041"/>
      <c r="D3" s="1041"/>
    </row>
    <row r="4" spans="1:23">
      <c r="A4" s="35"/>
      <c r="B4" s="182"/>
      <c r="C4" s="35"/>
      <c r="D4" s="35"/>
    </row>
    <row r="5" spans="1:23" s="37" customFormat="1" ht="12.75" customHeight="1">
      <c r="A5" s="60" t="str">
        <f>+i.04108!A7</f>
        <v>Даатгагчийн нэр:</v>
      </c>
      <c r="B5" s="60"/>
      <c r="C5" s="1042" t="str">
        <f>+i.04108!F7</f>
        <v>..... оны .... сарын ...-ны өдөр</v>
      </c>
      <c r="D5" s="1042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</row>
    <row r="6" spans="1:23" s="37" customFormat="1" ht="12.75" customHeight="1" thickBot="1">
      <c r="A6" s="38"/>
      <c r="B6" s="39"/>
      <c r="D6" s="40" t="s">
        <v>1</v>
      </c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</row>
    <row r="7" spans="1:23">
      <c r="A7" s="829" t="s">
        <v>3</v>
      </c>
      <c r="B7" s="830" t="s">
        <v>5</v>
      </c>
      <c r="C7" s="831" t="s">
        <v>926</v>
      </c>
      <c r="D7" s="832" t="s">
        <v>926</v>
      </c>
    </row>
    <row r="8" spans="1:23">
      <c r="A8" s="833" t="s">
        <v>6</v>
      </c>
      <c r="B8" s="834" t="s">
        <v>7</v>
      </c>
      <c r="C8" s="835">
        <v>1</v>
      </c>
      <c r="D8" s="836">
        <v>2</v>
      </c>
    </row>
    <row r="9" spans="1:23">
      <c r="A9" s="270" t="s">
        <v>182</v>
      </c>
      <c r="B9" s="43">
        <v>1010</v>
      </c>
      <c r="C9" s="280"/>
      <c r="D9" s="281"/>
    </row>
    <row r="10" spans="1:23">
      <c r="A10" s="270" t="s">
        <v>183</v>
      </c>
      <c r="B10" s="43">
        <v>1020</v>
      </c>
      <c r="C10" s="280"/>
      <c r="D10" s="281"/>
    </row>
    <row r="11" spans="1:23">
      <c r="A11" s="270" t="s">
        <v>184</v>
      </c>
      <c r="B11" s="43">
        <v>1030</v>
      </c>
      <c r="C11" s="280"/>
      <c r="D11" s="281"/>
    </row>
    <row r="12" spans="1:23">
      <c r="A12" s="270" t="s">
        <v>185</v>
      </c>
      <c r="B12" s="43">
        <v>1110</v>
      </c>
      <c r="C12" s="280"/>
      <c r="D12" s="281"/>
    </row>
    <row r="13" spans="1:23">
      <c r="A13" s="270" t="s">
        <v>186</v>
      </c>
      <c r="B13" s="43">
        <v>1111</v>
      </c>
      <c r="C13" s="280"/>
      <c r="D13" s="281"/>
    </row>
    <row r="14" spans="1:23">
      <c r="A14" s="270" t="s">
        <v>187</v>
      </c>
      <c r="B14" s="43">
        <v>1112</v>
      </c>
      <c r="C14" s="280"/>
      <c r="D14" s="281"/>
    </row>
    <row r="15" spans="1:23">
      <c r="A15" s="270" t="s">
        <v>188</v>
      </c>
      <c r="B15" s="43">
        <v>1120</v>
      </c>
      <c r="C15" s="280"/>
      <c r="D15" s="281"/>
    </row>
    <row r="16" spans="1:23">
      <c r="A16" s="270" t="s">
        <v>189</v>
      </c>
      <c r="B16" s="43">
        <v>1121</v>
      </c>
      <c r="C16" s="280"/>
      <c r="D16" s="281"/>
    </row>
    <row r="17" spans="1:4" ht="26">
      <c r="A17" s="270" t="s">
        <v>190</v>
      </c>
      <c r="B17" s="43">
        <v>1130</v>
      </c>
      <c r="C17" s="280"/>
      <c r="D17" s="281"/>
    </row>
    <row r="18" spans="1:4" ht="26">
      <c r="A18" s="270" t="s">
        <v>191</v>
      </c>
      <c r="B18" s="43">
        <v>1131</v>
      </c>
      <c r="C18" s="280"/>
      <c r="D18" s="281"/>
    </row>
    <row r="19" spans="1:4" ht="26">
      <c r="A19" s="270" t="s">
        <v>192</v>
      </c>
      <c r="B19" s="43">
        <v>1132</v>
      </c>
      <c r="C19" s="280"/>
      <c r="D19" s="281"/>
    </row>
    <row r="20" spans="1:4" ht="26">
      <c r="A20" s="270" t="s">
        <v>193</v>
      </c>
      <c r="B20" s="43">
        <v>1140</v>
      </c>
      <c r="C20" s="280"/>
      <c r="D20" s="281"/>
    </row>
    <row r="21" spans="1:4" ht="26">
      <c r="A21" s="270" t="s">
        <v>194</v>
      </c>
      <c r="B21" s="43">
        <v>1141</v>
      </c>
      <c r="C21" s="280"/>
      <c r="D21" s="281"/>
    </row>
    <row r="22" spans="1:4" ht="26">
      <c r="A22" s="270" t="s">
        <v>195</v>
      </c>
      <c r="B22" s="43">
        <v>1142</v>
      </c>
      <c r="C22" s="280"/>
      <c r="D22" s="281"/>
    </row>
    <row r="23" spans="1:4">
      <c r="A23" s="270" t="s">
        <v>196</v>
      </c>
      <c r="B23" s="43">
        <v>1150</v>
      </c>
      <c r="C23" s="280"/>
      <c r="D23" s="281"/>
    </row>
    <row r="24" spans="1:4">
      <c r="A24" s="270" t="s">
        <v>197</v>
      </c>
      <c r="B24" s="43">
        <v>1151</v>
      </c>
      <c r="C24" s="280"/>
      <c r="D24" s="281"/>
    </row>
    <row r="25" spans="1:4" ht="26">
      <c r="A25" s="270" t="s">
        <v>198</v>
      </c>
      <c r="B25" s="43">
        <v>1160</v>
      </c>
      <c r="C25" s="280"/>
      <c r="D25" s="281"/>
    </row>
    <row r="26" spans="1:4" ht="26">
      <c r="A26" s="270" t="s">
        <v>199</v>
      </c>
      <c r="B26" s="43">
        <v>1161</v>
      </c>
      <c r="C26" s="280"/>
      <c r="D26" s="281"/>
    </row>
    <row r="27" spans="1:4" ht="26">
      <c r="A27" s="270" t="s">
        <v>200</v>
      </c>
      <c r="B27" s="43">
        <v>1162</v>
      </c>
      <c r="C27" s="280"/>
      <c r="D27" s="281"/>
    </row>
    <row r="28" spans="1:4">
      <c r="A28" s="270" t="s">
        <v>201</v>
      </c>
      <c r="B28" s="43">
        <v>1170</v>
      </c>
      <c r="C28" s="280"/>
      <c r="D28" s="281"/>
    </row>
    <row r="29" spans="1:4">
      <c r="A29" s="270" t="s">
        <v>202</v>
      </c>
      <c r="B29" s="43">
        <v>1171</v>
      </c>
      <c r="C29" s="280"/>
      <c r="D29" s="281"/>
    </row>
    <row r="30" spans="1:4">
      <c r="A30" s="270" t="s">
        <v>203</v>
      </c>
      <c r="B30" s="43">
        <v>1210</v>
      </c>
      <c r="C30" s="280"/>
      <c r="D30" s="942">
        <f>i.04106!I46</f>
        <v>0</v>
      </c>
    </row>
    <row r="31" spans="1:4">
      <c r="A31" s="270" t="s">
        <v>204</v>
      </c>
      <c r="B31" s="43">
        <v>1219</v>
      </c>
      <c r="C31" s="280"/>
      <c r="D31" s="281"/>
    </row>
    <row r="32" spans="1:4">
      <c r="A32" s="270" t="s">
        <v>205</v>
      </c>
      <c r="B32" s="43">
        <v>1220</v>
      </c>
      <c r="C32" s="280"/>
      <c r="D32" s="942">
        <f>i.04106!I47</f>
        <v>0</v>
      </c>
    </row>
    <row r="33" spans="1:4">
      <c r="A33" s="270" t="s">
        <v>206</v>
      </c>
      <c r="B33" s="43">
        <v>1229</v>
      </c>
      <c r="C33" s="280"/>
      <c r="D33" s="281"/>
    </row>
    <row r="34" spans="1:4">
      <c r="A34" s="270" t="s">
        <v>207</v>
      </c>
      <c r="B34" s="43">
        <v>1230</v>
      </c>
      <c r="C34" s="280"/>
      <c r="D34" s="281"/>
    </row>
    <row r="35" spans="1:4">
      <c r="A35" s="270" t="s">
        <v>208</v>
      </c>
      <c r="B35" s="43">
        <v>1239</v>
      </c>
      <c r="C35" s="280"/>
      <c r="D35" s="281"/>
    </row>
    <row r="36" spans="1:4">
      <c r="A36" s="270" t="s">
        <v>209</v>
      </c>
      <c r="B36" s="43">
        <v>1240</v>
      </c>
      <c r="C36" s="280"/>
      <c r="D36" s="281"/>
    </row>
    <row r="37" spans="1:4">
      <c r="A37" s="270" t="s">
        <v>210</v>
      </c>
      <c r="B37" s="43">
        <v>1249</v>
      </c>
      <c r="C37" s="280"/>
      <c r="D37" s="281"/>
    </row>
    <row r="38" spans="1:4">
      <c r="A38" s="270" t="s">
        <v>211</v>
      </c>
      <c r="B38" s="43">
        <v>1250</v>
      </c>
      <c r="C38" s="280"/>
      <c r="D38" s="281"/>
    </row>
    <row r="39" spans="1:4">
      <c r="A39" s="270" t="s">
        <v>212</v>
      </c>
      <c r="B39" s="43">
        <v>1259</v>
      </c>
      <c r="C39" s="280"/>
      <c r="D39" s="281"/>
    </row>
    <row r="40" spans="1:4">
      <c r="A40" s="270" t="s">
        <v>213</v>
      </c>
      <c r="B40" s="43">
        <v>1260</v>
      </c>
      <c r="C40" s="280"/>
      <c r="D40" s="281"/>
    </row>
    <row r="41" spans="1:4">
      <c r="A41" s="270" t="s">
        <v>214</v>
      </c>
      <c r="B41" s="43">
        <v>1269</v>
      </c>
      <c r="C41" s="280"/>
      <c r="D41" s="942">
        <f>i.04106!I64</f>
        <v>0</v>
      </c>
    </row>
    <row r="42" spans="1:4">
      <c r="A42" s="270" t="s">
        <v>215</v>
      </c>
      <c r="B42" s="43">
        <v>1270</v>
      </c>
      <c r="C42" s="280"/>
      <c r="D42" s="281"/>
    </row>
    <row r="43" spans="1:4">
      <c r="A43" s="270" t="s">
        <v>216</v>
      </c>
      <c r="B43" s="43">
        <v>1280</v>
      </c>
      <c r="C43" s="280"/>
      <c r="D43" s="281"/>
    </row>
    <row r="44" spans="1:4">
      <c r="A44" s="271" t="s">
        <v>46</v>
      </c>
      <c r="B44" s="264">
        <v>1290</v>
      </c>
      <c r="C44" s="280"/>
      <c r="D44" s="281"/>
    </row>
    <row r="45" spans="1:4" ht="26">
      <c r="A45" s="270" t="s">
        <v>217</v>
      </c>
      <c r="B45" s="43">
        <v>1310</v>
      </c>
      <c r="C45" s="280"/>
      <c r="D45" s="281"/>
    </row>
    <row r="46" spans="1:4" ht="26">
      <c r="A46" s="270" t="s">
        <v>218</v>
      </c>
      <c r="B46" s="43">
        <v>1311</v>
      </c>
      <c r="C46" s="280"/>
      <c r="D46" s="281"/>
    </row>
    <row r="47" spans="1:4" ht="26">
      <c r="A47" s="270" t="s">
        <v>219</v>
      </c>
      <c r="B47" s="43">
        <v>1312</v>
      </c>
      <c r="C47" s="280"/>
      <c r="D47" s="281"/>
    </row>
    <row r="48" spans="1:4" ht="26">
      <c r="A48" s="270" t="s">
        <v>220</v>
      </c>
      <c r="B48" s="43">
        <v>1313</v>
      </c>
      <c r="C48" s="280"/>
      <c r="D48" s="281"/>
    </row>
    <row r="49" spans="1:4" ht="39">
      <c r="A49" s="270" t="s">
        <v>221</v>
      </c>
      <c r="B49" s="43">
        <v>1317</v>
      </c>
      <c r="C49" s="280"/>
      <c r="D49" s="281"/>
    </row>
    <row r="50" spans="1:4" ht="26">
      <c r="A50" s="270" t="s">
        <v>222</v>
      </c>
      <c r="B50" s="43">
        <v>1318</v>
      </c>
      <c r="C50" s="280"/>
      <c r="D50" s="281"/>
    </row>
    <row r="51" spans="1:4" ht="26">
      <c r="A51" s="270" t="s">
        <v>223</v>
      </c>
      <c r="B51" s="43">
        <v>1319</v>
      </c>
      <c r="C51" s="280"/>
      <c r="D51" s="281"/>
    </row>
    <row r="52" spans="1:4">
      <c r="A52" s="270" t="s">
        <v>224</v>
      </c>
      <c r="B52" s="43">
        <v>1320</v>
      </c>
      <c r="C52" s="280"/>
      <c r="D52" s="281"/>
    </row>
    <row r="53" spans="1:4">
      <c r="A53" s="270" t="s">
        <v>225</v>
      </c>
      <c r="B53" s="43">
        <v>1321</v>
      </c>
      <c r="C53" s="280"/>
      <c r="D53" s="281"/>
    </row>
    <row r="54" spans="1:4">
      <c r="A54" s="270" t="s">
        <v>226</v>
      </c>
      <c r="B54" s="43">
        <v>1322</v>
      </c>
      <c r="C54" s="280"/>
      <c r="D54" s="281"/>
    </row>
    <row r="55" spans="1:4">
      <c r="A55" s="270" t="s">
        <v>227</v>
      </c>
      <c r="B55" s="43">
        <v>1323</v>
      </c>
      <c r="C55" s="280"/>
      <c r="D55" s="281"/>
    </row>
    <row r="56" spans="1:4">
      <c r="A56" s="270" t="s">
        <v>228</v>
      </c>
      <c r="B56" s="43">
        <v>1326</v>
      </c>
      <c r="C56" s="280"/>
      <c r="D56" s="281"/>
    </row>
    <row r="57" spans="1:4">
      <c r="A57" s="270" t="s">
        <v>229</v>
      </c>
      <c r="B57" s="43">
        <v>1327</v>
      </c>
      <c r="C57" s="280"/>
      <c r="D57" s="281"/>
    </row>
    <row r="58" spans="1:4">
      <c r="A58" s="270" t="s">
        <v>230</v>
      </c>
      <c r="B58" s="43">
        <v>1328</v>
      </c>
      <c r="C58" s="280"/>
      <c r="D58" s="281"/>
    </row>
    <row r="59" spans="1:4">
      <c r="A59" s="270" t="s">
        <v>231</v>
      </c>
      <c r="B59" s="43">
        <v>1329</v>
      </c>
      <c r="C59" s="280"/>
      <c r="D59" s="281"/>
    </row>
    <row r="60" spans="1:4">
      <c r="A60" s="270" t="s">
        <v>232</v>
      </c>
      <c r="B60" s="43">
        <v>1330</v>
      </c>
      <c r="C60" s="280"/>
      <c r="D60" s="281"/>
    </row>
    <row r="61" spans="1:4">
      <c r="A61" s="270" t="s">
        <v>233</v>
      </c>
      <c r="B61" s="43">
        <v>1331</v>
      </c>
      <c r="C61" s="280"/>
      <c r="D61" s="281"/>
    </row>
    <row r="62" spans="1:4">
      <c r="A62" s="270" t="s">
        <v>234</v>
      </c>
      <c r="B62" s="43">
        <v>1332</v>
      </c>
      <c r="C62" s="280"/>
      <c r="D62" s="281"/>
    </row>
    <row r="63" spans="1:4" ht="26">
      <c r="A63" s="270" t="s">
        <v>235</v>
      </c>
      <c r="B63" s="43">
        <v>1339</v>
      </c>
      <c r="C63" s="280"/>
      <c r="D63" s="281"/>
    </row>
    <row r="64" spans="1:4">
      <c r="A64" s="270" t="s">
        <v>236</v>
      </c>
      <c r="B64" s="43">
        <v>1350</v>
      </c>
      <c r="C64" s="280"/>
      <c r="D64" s="281"/>
    </row>
    <row r="65" spans="1:4">
      <c r="A65" s="270" t="s">
        <v>237</v>
      </c>
      <c r="B65" s="43">
        <v>1351</v>
      </c>
      <c r="C65" s="280"/>
      <c r="D65" s="281"/>
    </row>
    <row r="66" spans="1:4">
      <c r="A66" s="270" t="s">
        <v>238</v>
      </c>
      <c r="B66" s="43">
        <v>1410</v>
      </c>
      <c r="C66" s="280"/>
      <c r="D66" s="281"/>
    </row>
    <row r="67" spans="1:4">
      <c r="A67" s="270" t="s">
        <v>239</v>
      </c>
      <c r="B67" s="43">
        <v>1420</v>
      </c>
      <c r="C67" s="280"/>
      <c r="D67" s="281"/>
    </row>
    <row r="68" spans="1:4">
      <c r="A68" s="270" t="s">
        <v>240</v>
      </c>
      <c r="B68" s="43">
        <v>1430</v>
      </c>
      <c r="C68" s="280"/>
      <c r="D68" s="281"/>
    </row>
    <row r="69" spans="1:4">
      <c r="A69" s="270" t="s">
        <v>241</v>
      </c>
      <c r="B69" s="43">
        <v>1440</v>
      </c>
      <c r="C69" s="280"/>
      <c r="D69" s="281"/>
    </row>
    <row r="70" spans="1:4">
      <c r="A70" s="270" t="s">
        <v>242</v>
      </c>
      <c r="B70" s="43">
        <v>1450</v>
      </c>
      <c r="C70" s="280"/>
      <c r="D70" s="281"/>
    </row>
    <row r="71" spans="1:4">
      <c r="A71" s="270" t="s">
        <v>243</v>
      </c>
      <c r="B71" s="43">
        <v>1510</v>
      </c>
      <c r="C71" s="280"/>
      <c r="D71" s="281"/>
    </row>
    <row r="72" spans="1:4">
      <c r="A72" s="270" t="s">
        <v>244</v>
      </c>
      <c r="B72" s="43">
        <v>1520</v>
      </c>
      <c r="C72" s="280"/>
      <c r="D72" s="281"/>
    </row>
    <row r="73" spans="1:4">
      <c r="A73" s="270" t="s">
        <v>245</v>
      </c>
      <c r="B73" s="264">
        <v>1610</v>
      </c>
      <c r="C73" s="280"/>
      <c r="D73" s="942">
        <f>i.04106!I36</f>
        <v>0</v>
      </c>
    </row>
    <row r="74" spans="1:4">
      <c r="A74" s="270" t="s">
        <v>246</v>
      </c>
      <c r="B74" s="264">
        <v>1619</v>
      </c>
      <c r="C74" s="280"/>
      <c r="D74" s="942">
        <f>i.04106!I37</f>
        <v>0</v>
      </c>
    </row>
    <row r="75" spans="1:4">
      <c r="A75" s="272" t="s">
        <v>70</v>
      </c>
      <c r="B75" s="264">
        <v>1810</v>
      </c>
      <c r="C75" s="280"/>
      <c r="D75" s="281"/>
    </row>
    <row r="76" spans="1:4" ht="26">
      <c r="A76" s="270" t="s">
        <v>247</v>
      </c>
      <c r="B76" s="43">
        <v>1820</v>
      </c>
      <c r="C76" s="941">
        <f>+i.04107!H12+i.04107!H15</f>
        <v>0</v>
      </c>
      <c r="D76" s="942">
        <f>+i.04107!K12+i.04107!K15</f>
        <v>0</v>
      </c>
    </row>
    <row r="77" spans="1:4" ht="26">
      <c r="A77" s="270" t="s">
        <v>248</v>
      </c>
      <c r="B77" s="43">
        <v>1821</v>
      </c>
      <c r="C77" s="941">
        <f>+i.04107!H13+i.04107!H16</f>
        <v>0</v>
      </c>
      <c r="D77" s="942">
        <f>+i.04107!K13+i.04107!K16</f>
        <v>0</v>
      </c>
    </row>
    <row r="78" spans="1:4">
      <c r="A78" s="270" t="s">
        <v>249</v>
      </c>
      <c r="B78" s="43">
        <v>1830</v>
      </c>
      <c r="C78" s="280"/>
      <c r="D78" s="280"/>
    </row>
    <row r="79" spans="1:4">
      <c r="A79" s="270" t="s">
        <v>250</v>
      </c>
      <c r="B79" s="43">
        <v>1840</v>
      </c>
      <c r="C79" s="280"/>
      <c r="D79" s="280"/>
    </row>
    <row r="80" spans="1:4">
      <c r="A80" s="270" t="s">
        <v>251</v>
      </c>
      <c r="B80" s="43">
        <v>1850</v>
      </c>
      <c r="C80" s="280"/>
      <c r="D80" s="280"/>
    </row>
    <row r="81" spans="1:6">
      <c r="A81" s="270" t="s">
        <v>252</v>
      </c>
      <c r="B81" s="43">
        <v>2010</v>
      </c>
      <c r="C81" s="280"/>
      <c r="D81" s="280"/>
      <c r="E81" s="44"/>
      <c r="F81" s="45"/>
    </row>
    <row r="82" spans="1:6">
      <c r="A82" s="270" t="s">
        <v>253</v>
      </c>
      <c r="B82" s="43">
        <v>2011</v>
      </c>
      <c r="C82" s="280"/>
      <c r="D82" s="280"/>
      <c r="E82" s="44"/>
      <c r="F82" s="45"/>
    </row>
    <row r="83" spans="1:6">
      <c r="A83" s="270" t="s">
        <v>254</v>
      </c>
      <c r="B83" s="43">
        <v>2020</v>
      </c>
      <c r="C83" s="280"/>
      <c r="D83" s="280"/>
      <c r="E83" s="44"/>
      <c r="F83" s="45"/>
    </row>
    <row r="84" spans="1:6">
      <c r="A84" s="270" t="s">
        <v>255</v>
      </c>
      <c r="B84" s="43">
        <v>2021</v>
      </c>
      <c r="C84" s="280"/>
      <c r="D84" s="280"/>
      <c r="E84" s="44"/>
      <c r="F84" s="45"/>
    </row>
    <row r="85" spans="1:6">
      <c r="A85" s="270" t="s">
        <v>256</v>
      </c>
      <c r="B85" s="43">
        <v>2030</v>
      </c>
      <c r="C85" s="280"/>
      <c r="D85" s="280"/>
      <c r="E85" s="44"/>
      <c r="F85" s="45"/>
    </row>
    <row r="86" spans="1:6">
      <c r="A86" s="270" t="s">
        <v>257</v>
      </c>
      <c r="B86" s="43">
        <v>2031</v>
      </c>
      <c r="C86" s="280"/>
      <c r="D86" s="280"/>
      <c r="E86" s="44"/>
      <c r="F86" s="45"/>
    </row>
    <row r="87" spans="1:6">
      <c r="A87" s="270" t="s">
        <v>258</v>
      </c>
      <c r="B87" s="43">
        <v>2040</v>
      </c>
      <c r="C87" s="280"/>
      <c r="D87" s="280"/>
      <c r="E87" s="44"/>
      <c r="F87" s="45"/>
    </row>
    <row r="88" spans="1:6">
      <c r="A88" s="270" t="s">
        <v>259</v>
      </c>
      <c r="B88" s="43">
        <v>2041</v>
      </c>
      <c r="C88" s="280"/>
      <c r="D88" s="280"/>
      <c r="E88" s="44"/>
      <c r="F88" s="45"/>
    </row>
    <row r="89" spans="1:6">
      <c r="A89" s="270" t="s">
        <v>260</v>
      </c>
      <c r="B89" s="43">
        <v>2050</v>
      </c>
      <c r="C89" s="280"/>
      <c r="D89" s="280"/>
      <c r="E89" s="44"/>
      <c r="F89" s="45"/>
    </row>
    <row r="90" spans="1:6">
      <c r="A90" s="270" t="s">
        <v>261</v>
      </c>
      <c r="B90" s="43">
        <v>2051</v>
      </c>
      <c r="C90" s="280"/>
      <c r="D90" s="280"/>
      <c r="E90" s="44"/>
      <c r="F90" s="45"/>
    </row>
    <row r="91" spans="1:6">
      <c r="A91" s="270" t="s">
        <v>262</v>
      </c>
      <c r="B91" s="265">
        <v>2060</v>
      </c>
      <c r="C91" s="280"/>
      <c r="D91" s="280"/>
      <c r="E91" s="44"/>
      <c r="F91" s="45"/>
    </row>
    <row r="92" spans="1:6">
      <c r="A92" s="270" t="s">
        <v>263</v>
      </c>
      <c r="B92" s="265">
        <v>2061</v>
      </c>
      <c r="C92" s="280"/>
      <c r="D92" s="280"/>
      <c r="E92" s="44"/>
      <c r="F92" s="45"/>
    </row>
    <row r="93" spans="1:6">
      <c r="A93" s="270" t="s">
        <v>264</v>
      </c>
      <c r="B93" s="265">
        <v>2070</v>
      </c>
      <c r="C93" s="280"/>
      <c r="D93" s="280"/>
      <c r="E93" s="44"/>
      <c r="F93" s="45"/>
    </row>
    <row r="94" spans="1:6">
      <c r="A94" s="270" t="s">
        <v>265</v>
      </c>
      <c r="B94" s="265">
        <v>2071</v>
      </c>
      <c r="C94" s="280"/>
      <c r="D94" s="280"/>
      <c r="E94" s="44"/>
      <c r="F94" s="45"/>
    </row>
    <row r="95" spans="1:6">
      <c r="A95" s="270" t="s">
        <v>266</v>
      </c>
      <c r="B95" s="265">
        <v>2080</v>
      </c>
      <c r="C95" s="280"/>
      <c r="D95" s="280"/>
      <c r="E95" s="44"/>
      <c r="F95" s="45"/>
    </row>
    <row r="96" spans="1:6">
      <c r="A96" s="270" t="s">
        <v>267</v>
      </c>
      <c r="B96" s="265">
        <v>2082</v>
      </c>
      <c r="C96" s="280"/>
      <c r="D96" s="280"/>
      <c r="E96" s="44"/>
      <c r="F96" s="45"/>
    </row>
    <row r="97" spans="1:6">
      <c r="A97" s="270" t="s">
        <v>268</v>
      </c>
      <c r="B97" s="265">
        <v>2090</v>
      </c>
      <c r="C97" s="280"/>
      <c r="D97" s="280"/>
      <c r="E97" s="44"/>
      <c r="F97" s="45"/>
    </row>
    <row r="98" spans="1:6">
      <c r="A98" s="270" t="s">
        <v>269</v>
      </c>
      <c r="B98" s="265">
        <v>2110</v>
      </c>
      <c r="C98" s="280"/>
      <c r="D98" s="280"/>
    </row>
    <row r="99" spans="1:6">
      <c r="A99" s="270" t="s">
        <v>270</v>
      </c>
      <c r="B99" s="265">
        <v>2111</v>
      </c>
      <c r="C99" s="280"/>
      <c r="D99" s="280"/>
    </row>
    <row r="100" spans="1:6">
      <c r="A100" s="270" t="s">
        <v>271</v>
      </c>
      <c r="B100" s="265">
        <v>2120</v>
      </c>
      <c r="C100" s="280"/>
      <c r="D100" s="280"/>
    </row>
    <row r="101" spans="1:6">
      <c r="A101" s="270" t="s">
        <v>272</v>
      </c>
      <c r="B101" s="265">
        <v>2121</v>
      </c>
      <c r="C101" s="280"/>
      <c r="D101" s="280"/>
    </row>
    <row r="102" spans="1:6">
      <c r="A102" s="270" t="s">
        <v>273</v>
      </c>
      <c r="B102" s="265">
        <v>2130</v>
      </c>
      <c r="C102" s="280"/>
      <c r="D102" s="280"/>
    </row>
    <row r="103" spans="1:6">
      <c r="A103" s="270" t="s">
        <v>274</v>
      </c>
      <c r="B103" s="265">
        <v>2131</v>
      </c>
      <c r="C103" s="280"/>
      <c r="D103" s="280"/>
    </row>
    <row r="104" spans="1:6">
      <c r="A104" s="270" t="s">
        <v>275</v>
      </c>
      <c r="B104" s="265">
        <v>2140</v>
      </c>
      <c r="C104" s="280"/>
      <c r="D104" s="280"/>
    </row>
    <row r="105" spans="1:6">
      <c r="A105" s="270" t="s">
        <v>276</v>
      </c>
      <c r="B105" s="265">
        <v>2141</v>
      </c>
      <c r="C105" s="280"/>
      <c r="D105" s="280"/>
    </row>
    <row r="106" spans="1:6">
      <c r="A106" s="270" t="s">
        <v>277</v>
      </c>
      <c r="B106" s="265">
        <v>2150</v>
      </c>
      <c r="C106" s="280"/>
      <c r="D106" s="280"/>
    </row>
    <row r="107" spans="1:6">
      <c r="A107" s="270" t="s">
        <v>278</v>
      </c>
      <c r="B107" s="265">
        <v>2151</v>
      </c>
      <c r="C107" s="280"/>
      <c r="D107" s="280"/>
    </row>
    <row r="108" spans="1:6">
      <c r="A108" s="270" t="s">
        <v>279</v>
      </c>
      <c r="B108" s="265">
        <v>2160</v>
      </c>
      <c r="C108" s="280"/>
      <c r="D108" s="280"/>
    </row>
    <row r="109" spans="1:6">
      <c r="A109" s="270" t="s">
        <v>280</v>
      </c>
      <c r="B109" s="265">
        <v>2161</v>
      </c>
      <c r="C109" s="280"/>
      <c r="D109" s="280"/>
    </row>
    <row r="110" spans="1:6">
      <c r="A110" s="273" t="s">
        <v>281</v>
      </c>
      <c r="B110" s="279">
        <v>2610</v>
      </c>
      <c r="C110" s="280"/>
      <c r="D110" s="280"/>
    </row>
    <row r="111" spans="1:6">
      <c r="A111" s="270" t="s">
        <v>282</v>
      </c>
      <c r="B111" s="265">
        <v>2910</v>
      </c>
      <c r="C111" s="280"/>
      <c r="D111" s="280"/>
    </row>
    <row r="112" spans="1:6">
      <c r="A112" s="271" t="s">
        <v>92</v>
      </c>
      <c r="B112" s="279">
        <v>3110</v>
      </c>
      <c r="C112" s="280"/>
      <c r="D112" s="280"/>
    </row>
    <row r="113" spans="1:4">
      <c r="A113" s="271" t="s">
        <v>1026</v>
      </c>
      <c r="B113" s="279">
        <v>3120</v>
      </c>
      <c r="C113" s="280"/>
      <c r="D113" s="280"/>
    </row>
    <row r="114" spans="1:4">
      <c r="A114" s="271" t="s">
        <v>1027</v>
      </c>
      <c r="B114" s="279">
        <v>3130</v>
      </c>
      <c r="C114" s="280"/>
      <c r="D114" s="280"/>
    </row>
    <row r="115" spans="1:4">
      <c r="A115" s="271" t="s">
        <v>102</v>
      </c>
      <c r="B115" s="279">
        <v>3210</v>
      </c>
      <c r="C115" s="280"/>
      <c r="D115" s="280"/>
    </row>
    <row r="116" spans="1:4">
      <c r="A116" s="271" t="s">
        <v>104</v>
      </c>
      <c r="B116" s="279">
        <v>3220</v>
      </c>
      <c r="C116" s="280"/>
      <c r="D116" s="280"/>
    </row>
    <row r="117" spans="1:4">
      <c r="A117" s="271" t="s">
        <v>106</v>
      </c>
      <c r="B117" s="279">
        <v>3230</v>
      </c>
      <c r="C117" s="280"/>
      <c r="D117" s="280"/>
    </row>
    <row r="118" spans="1:4">
      <c r="A118" s="271" t="s">
        <v>108</v>
      </c>
      <c r="B118" s="279">
        <v>3240</v>
      </c>
      <c r="C118" s="280"/>
      <c r="D118" s="280"/>
    </row>
    <row r="119" spans="1:4">
      <c r="A119" s="271" t="s">
        <v>110</v>
      </c>
      <c r="B119" s="279">
        <v>3250</v>
      </c>
      <c r="C119" s="280"/>
      <c r="D119" s="280"/>
    </row>
    <row r="120" spans="1:4">
      <c r="A120" s="271" t="s">
        <v>112</v>
      </c>
      <c r="B120" s="279">
        <v>3260</v>
      </c>
      <c r="C120" s="280"/>
      <c r="D120" s="280"/>
    </row>
    <row r="121" spans="1:4">
      <c r="A121" s="271" t="s">
        <v>118</v>
      </c>
      <c r="B121" s="279">
        <v>3310</v>
      </c>
      <c r="C121" s="280"/>
      <c r="D121" s="280"/>
    </row>
    <row r="122" spans="1:4">
      <c r="A122" s="271" t="s">
        <v>120</v>
      </c>
      <c r="B122" s="279">
        <v>3311</v>
      </c>
      <c r="C122" s="280"/>
      <c r="D122" s="280"/>
    </row>
    <row r="123" spans="1:4">
      <c r="A123" s="270" t="s">
        <v>283</v>
      </c>
      <c r="B123" s="265">
        <v>3312</v>
      </c>
      <c r="C123" s="280"/>
      <c r="D123" s="280"/>
    </row>
    <row r="124" spans="1:4">
      <c r="A124" s="271" t="s">
        <v>122</v>
      </c>
      <c r="B124" s="279">
        <v>3313</v>
      </c>
      <c r="C124" s="280"/>
      <c r="D124" s="280"/>
    </row>
    <row r="125" spans="1:4">
      <c r="A125" s="271" t="s">
        <v>124</v>
      </c>
      <c r="B125" s="279">
        <v>3314</v>
      </c>
      <c r="C125" s="280"/>
      <c r="D125" s="280"/>
    </row>
    <row r="126" spans="1:4">
      <c r="A126" s="271" t="s">
        <v>126</v>
      </c>
      <c r="B126" s="279">
        <v>3320</v>
      </c>
      <c r="C126" s="280"/>
      <c r="D126" s="280"/>
    </row>
    <row r="127" spans="1:4">
      <c r="A127" s="271" t="s">
        <v>128</v>
      </c>
      <c r="B127" s="279">
        <v>3330</v>
      </c>
      <c r="C127" s="280"/>
      <c r="D127" s="280"/>
    </row>
    <row r="128" spans="1:4">
      <c r="A128" s="271" t="s">
        <v>130</v>
      </c>
      <c r="B128" s="279">
        <v>3340</v>
      </c>
      <c r="C128" s="280"/>
      <c r="D128" s="280"/>
    </row>
    <row r="129" spans="1:4">
      <c r="A129" s="271" t="s">
        <v>132</v>
      </c>
      <c r="B129" s="279">
        <v>3350</v>
      </c>
      <c r="C129" s="280"/>
      <c r="D129" s="280"/>
    </row>
    <row r="130" spans="1:4">
      <c r="A130" s="271" t="s">
        <v>134</v>
      </c>
      <c r="B130" s="279">
        <v>3360</v>
      </c>
      <c r="C130" s="280"/>
      <c r="D130" s="280"/>
    </row>
    <row r="131" spans="1:4">
      <c r="A131" s="271" t="s">
        <v>116</v>
      </c>
      <c r="B131" s="279">
        <v>3370</v>
      </c>
      <c r="C131" s="280"/>
      <c r="D131" s="280"/>
    </row>
    <row r="132" spans="1:4">
      <c r="A132" s="274" t="s">
        <v>141</v>
      </c>
      <c r="B132" s="279">
        <v>3380</v>
      </c>
      <c r="C132" s="280"/>
      <c r="D132" s="280"/>
    </row>
    <row r="133" spans="1:4">
      <c r="A133" s="274" t="s">
        <v>917</v>
      </c>
      <c r="B133" s="279">
        <v>3390</v>
      </c>
      <c r="C133" s="280"/>
      <c r="D133" s="280"/>
    </row>
    <row r="134" spans="1:4">
      <c r="A134" s="274" t="s">
        <v>145</v>
      </c>
      <c r="B134" s="279">
        <v>3410</v>
      </c>
      <c r="C134" s="941">
        <f>+i.04111!E31</f>
        <v>0</v>
      </c>
      <c r="D134" s="943">
        <f>+i.04111!H31</f>
        <v>0</v>
      </c>
    </row>
    <row r="135" spans="1:4">
      <c r="A135" s="275" t="s">
        <v>149</v>
      </c>
      <c r="B135" s="279">
        <v>3420</v>
      </c>
      <c r="C135" s="941">
        <f>+i.04108!E30</f>
        <v>0</v>
      </c>
      <c r="D135" s="943">
        <f>+i.04108!H30</f>
        <v>0</v>
      </c>
    </row>
    <row r="136" spans="1:4" ht="26">
      <c r="A136" s="270" t="s">
        <v>284</v>
      </c>
      <c r="B136" s="265">
        <v>3421</v>
      </c>
      <c r="C136" s="268"/>
      <c r="D136" s="269"/>
    </row>
    <row r="137" spans="1:4">
      <c r="A137" s="275" t="s">
        <v>151</v>
      </c>
      <c r="B137" s="279">
        <v>3430</v>
      </c>
      <c r="C137" s="941">
        <f>+i.04109!E30</f>
        <v>0</v>
      </c>
      <c r="D137" s="942">
        <f>+i.04109!H30</f>
        <v>0</v>
      </c>
    </row>
    <row r="138" spans="1:4">
      <c r="A138" s="276" t="s">
        <v>153</v>
      </c>
      <c r="B138" s="279">
        <v>3510</v>
      </c>
      <c r="C138" s="941">
        <f>+i.04110!E30</f>
        <v>0</v>
      </c>
      <c r="D138" s="942">
        <f>+i.04110!H30</f>
        <v>0</v>
      </c>
    </row>
    <row r="139" spans="1:4">
      <c r="A139" s="276" t="s">
        <v>156</v>
      </c>
      <c r="B139" s="279">
        <v>3610</v>
      </c>
      <c r="C139" s="941">
        <f>+i.04107!D18</f>
        <v>0</v>
      </c>
      <c r="D139" s="942">
        <f>+i.04107!G18</f>
        <v>0</v>
      </c>
    </row>
    <row r="140" spans="1:4">
      <c r="A140" s="270" t="s">
        <v>282</v>
      </c>
      <c r="B140" s="265">
        <v>3910</v>
      </c>
      <c r="C140" s="268"/>
      <c r="D140" s="269"/>
    </row>
    <row r="141" spans="1:4">
      <c r="A141" s="277" t="s">
        <v>1028</v>
      </c>
      <c r="B141" s="266">
        <v>4110</v>
      </c>
      <c r="C141" s="268"/>
      <c r="D141" s="269"/>
    </row>
    <row r="142" spans="1:4">
      <c r="A142" s="277" t="s">
        <v>1029</v>
      </c>
      <c r="B142" s="266">
        <v>4111</v>
      </c>
      <c r="C142" s="268"/>
      <c r="D142" s="269"/>
    </row>
    <row r="143" spans="1:4">
      <c r="A143" s="277" t="s">
        <v>1030</v>
      </c>
      <c r="B143" s="266">
        <v>4210</v>
      </c>
      <c r="C143" s="268"/>
      <c r="D143" s="269"/>
    </row>
    <row r="144" spans="1:4">
      <c r="A144" s="277" t="s">
        <v>1031</v>
      </c>
      <c r="B144" s="266">
        <v>4211</v>
      </c>
      <c r="C144" s="268"/>
      <c r="D144" s="269"/>
    </row>
    <row r="145" spans="1:6">
      <c r="A145" s="277" t="s">
        <v>1032</v>
      </c>
      <c r="B145" s="266">
        <v>4310</v>
      </c>
      <c r="C145" s="268"/>
      <c r="D145" s="269"/>
    </row>
    <row r="146" spans="1:6">
      <c r="A146" s="277" t="s">
        <v>1033</v>
      </c>
      <c r="B146" s="266">
        <v>4311</v>
      </c>
      <c r="C146" s="268"/>
      <c r="D146" s="269"/>
    </row>
    <row r="147" spans="1:6">
      <c r="A147" s="271" t="s">
        <v>169</v>
      </c>
      <c r="B147" s="279">
        <v>4410</v>
      </c>
      <c r="C147" s="268"/>
      <c r="D147" s="269"/>
    </row>
    <row r="148" spans="1:6">
      <c r="A148" s="271" t="s">
        <v>171</v>
      </c>
      <c r="B148" s="279">
        <v>4510</v>
      </c>
      <c r="C148" s="268"/>
      <c r="D148" s="269"/>
    </row>
    <row r="149" spans="1:6">
      <c r="A149" s="271" t="s">
        <v>177</v>
      </c>
      <c r="B149" s="279">
        <v>4610</v>
      </c>
      <c r="C149" s="268"/>
      <c r="D149" s="269"/>
    </row>
    <row r="150" spans="1:6">
      <c r="A150" s="278" t="s">
        <v>285</v>
      </c>
      <c r="B150" s="267">
        <v>4710</v>
      </c>
      <c r="C150" s="268"/>
      <c r="D150" s="269"/>
    </row>
    <row r="151" spans="1:6">
      <c r="A151" s="277" t="s">
        <v>286</v>
      </c>
      <c r="B151" s="266">
        <v>4711</v>
      </c>
      <c r="C151" s="268"/>
      <c r="D151" s="269"/>
    </row>
    <row r="152" spans="1:6">
      <c r="A152" s="278" t="s">
        <v>287</v>
      </c>
      <c r="B152" s="267">
        <v>4712</v>
      </c>
      <c r="C152" s="268"/>
      <c r="D152" s="269"/>
    </row>
    <row r="153" spans="1:6">
      <c r="A153" s="271" t="s">
        <v>173</v>
      </c>
      <c r="B153" s="279">
        <v>4713</v>
      </c>
      <c r="C153" s="268"/>
      <c r="D153" s="269"/>
    </row>
    <row r="154" spans="1:6">
      <c r="A154" s="277" t="s">
        <v>288</v>
      </c>
      <c r="B154" s="266">
        <v>4714</v>
      </c>
      <c r="C154" s="268"/>
      <c r="D154" s="269"/>
    </row>
    <row r="155" spans="1:6">
      <c r="A155" s="276" t="s">
        <v>44</v>
      </c>
      <c r="B155" s="279">
        <v>127001</v>
      </c>
      <c r="C155" s="268"/>
      <c r="D155" s="269"/>
    </row>
    <row r="156" spans="1:6">
      <c r="A156" s="271" t="s">
        <v>136</v>
      </c>
      <c r="B156" s="279">
        <v>332004</v>
      </c>
      <c r="C156" s="268"/>
      <c r="D156" s="269"/>
    </row>
    <row r="157" spans="1:6" s="42" customFormat="1" ht="13.5" thickBot="1">
      <c r="A157" s="50" t="s">
        <v>290</v>
      </c>
      <c r="B157" s="183"/>
      <c r="C157" s="282">
        <f>(C9+C10+C11++C12+C13+C14+C15+C16+C17+C18+C19+C20+C21+C22+C23+C24+C25+C26+C27+C28+C29+C30-C31+C32-C33+C34-C35+C36-C37+C38-C39+C40-C41+C42+C43+C44+C45+C46+C47+C48+C49+C50+C51+C52+C53+C54+C55+C56-C57+C58-C59+C60+C61+C62-C63+C64+C65+C66+C67+C68+C69+C70+C71+C72+C73+C74+C75+C76+C77+C78+C79+C80+C81-C82+C83-C84+C85-C86+C87-C88+C89-C90+C91-C92+C93-C94+C95-C96+C97+C98-C99+C100-C101+C102-C103+C104-C105+C106-C107+C108-C109+C110+C111)</f>
        <v>0</v>
      </c>
      <c r="D157" s="282">
        <f>(D9+D10+D11++D12+D13+D14+D15+D16+D17+D18+D19+D20+D21+D22+D23+D24+D25+D26+D27+D28+D29+D30-D31+D32-D33+D34-D35+D36-D37+D38-D39+D40-D41+D42+D43+D44+D45+D46+D47+D48+D49+D50+D51+D52+D53+D54+D55+D56-D57+D58-D59+D60+D61+D62-D63+D64+D65+D66+D67+D68+D69+D70+D71+D72+D73+D74+D75+D76+D77+D78+D79+D80+D81-D82+D83-D84+D85-D86+D87-D88+D89-D90+D91-D92+D93-D94+D95-D96+D97+D98-D99+D100-D101+D102-D103+D104-D105+D106-D107+D108-D109+D110+D111)</f>
        <v>0</v>
      </c>
      <c r="E157" s="41"/>
      <c r="F157" s="41"/>
    </row>
    <row r="158" spans="1:6" s="42" customFormat="1" ht="15.75" customHeight="1" thickBot="1">
      <c r="A158" s="51" t="s">
        <v>291</v>
      </c>
      <c r="B158" s="184"/>
      <c r="C158" s="1025">
        <f>+C112+C113+C114+C115+C116+C117+C118+C119+C120+C121+C122+C123+C124+C125+C126+C127+C128+C129+C130+C131+C132+C133+C134+C135+C136+C137+C138+C139+C140+C141+C142+C143+C144+C145+C146+C147+C148+C149+C150+C151+C152+C153+C154+C156</f>
        <v>0</v>
      </c>
      <c r="D158" s="1026">
        <f>D112+D113+D114+D115+D116+D117+D118+D119+D120+D121+D122+D123+D124+D125+D126+D127+D128+D129+D130+D131+D132+D133+D134+D135+D136+D137+D138+D139+D140+D141+D142+D143+D144+D145+D146+D147+D148+D149+D150+D151+D152+D153+D154+D156</f>
        <v>0</v>
      </c>
      <c r="E158" s="41"/>
      <c r="F158" s="41"/>
    </row>
    <row r="159" spans="1:6">
      <c r="A159" s="46"/>
      <c r="B159" s="722"/>
      <c r="C159" s="723" t="str">
        <f>IF(C157=C158,"","ТЭНЦЛИЙН ДҮН ЗӨРҮҮТЭЙ БАЙНА:")</f>
        <v/>
      </c>
      <c r="D159" s="723" t="str">
        <f>IF(D157=D158,"","ТЭНЦЛИЙН ДҮН ЗӨРҮҮТЭЙ БАЙНА:")</f>
        <v/>
      </c>
    </row>
    <row r="160" spans="1:6">
      <c r="A160" s="46"/>
      <c r="B160" s="723"/>
      <c r="C160" s="1024">
        <f>+C157-C158</f>
        <v>0</v>
      </c>
      <c r="D160" s="1024">
        <f>+D157-D158</f>
        <v>0</v>
      </c>
    </row>
    <row r="161" spans="1:5" s="236" customFormat="1">
      <c r="A161" s="233" t="str">
        <f>+i.04108!C32</f>
        <v>тамга тэмдэг</v>
      </c>
      <c r="B161" s="234"/>
      <c r="C161" s="283"/>
      <c r="D161" s="283"/>
      <c r="E161" s="235"/>
    </row>
    <row r="162" spans="1:5">
      <c r="A162" s="34"/>
      <c r="C162" s="48"/>
      <c r="D162" s="48"/>
    </row>
    <row r="163" spans="1:5">
      <c r="A163" s="46" t="str">
        <f>+i.04108!C34</f>
        <v xml:space="preserve">ТАЙЛАН ГАРГАСАН:    </v>
      </c>
    </row>
    <row r="164" spans="1:5">
      <c r="A164" s="46"/>
    </row>
    <row r="165" spans="1:5">
      <c r="A165" s="46" t="str">
        <f>+i.04108!C36</f>
        <v xml:space="preserve"> Гүйцэтгэх захирал</v>
      </c>
      <c r="B165" s="46" t="str">
        <f>+i.04108!D36</f>
        <v xml:space="preserve">/................................../   </v>
      </c>
      <c r="C165" s="46"/>
      <c r="D165" s="46" t="str">
        <f>+i.04108!F36</f>
        <v>/................................./</v>
      </c>
    </row>
    <row r="166" spans="1:5">
      <c r="A166" s="46"/>
      <c r="B166" s="46"/>
      <c r="C166" s="46"/>
      <c r="D166" s="46"/>
    </row>
    <row r="167" spans="1:5">
      <c r="A167" s="46" t="str">
        <f>+i.04108!C38</f>
        <v xml:space="preserve"> Ерөнхий нягтлан бодогч  </v>
      </c>
      <c r="B167" s="46" t="str">
        <f>+i.04108!D38</f>
        <v xml:space="preserve">/.................................../   </v>
      </c>
      <c r="C167" s="46"/>
      <c r="D167" s="46" t="str">
        <f>+i.04108!F38</f>
        <v>/................................/</v>
      </c>
    </row>
    <row r="168" spans="1:5">
      <c r="A168" s="46"/>
      <c r="B168" s="46"/>
      <c r="C168" s="46"/>
      <c r="D168" s="46"/>
    </row>
    <row r="169" spans="1:5">
      <c r="A169" s="46" t="str">
        <f>+i.04108!C40</f>
        <v>...................................................</v>
      </c>
      <c r="B169" s="46" t="str">
        <f>+i.04108!D40</f>
        <v xml:space="preserve">/................................../   </v>
      </c>
      <c r="C169" s="46"/>
      <c r="D169" s="46" t="str">
        <f>+i.04108!F40</f>
        <v>/................................/</v>
      </c>
    </row>
    <row r="170" spans="1:5">
      <c r="A170" s="46"/>
      <c r="B170" s="46"/>
      <c r="C170" s="46"/>
      <c r="D170" s="46"/>
    </row>
    <row r="171" spans="1:5">
      <c r="A171" s="46"/>
    </row>
    <row r="172" spans="1:5">
      <c r="A172" s="46"/>
    </row>
    <row r="173" spans="1:5">
      <c r="A173" s="46"/>
    </row>
    <row r="174" spans="1:5">
      <c r="A174" s="46"/>
    </row>
    <row r="175" spans="1:5">
      <c r="A175" s="46"/>
    </row>
    <row r="176" spans="1:5">
      <c r="A176" s="46"/>
    </row>
    <row r="177" spans="1:1">
      <c r="A177" s="46"/>
    </row>
    <row r="178" spans="1:1">
      <c r="A178" s="46"/>
    </row>
    <row r="179" spans="1:1">
      <c r="A179" s="46"/>
    </row>
    <row r="180" spans="1:1">
      <c r="A180" s="46"/>
    </row>
    <row r="181" spans="1:1">
      <c r="A181" s="46"/>
    </row>
    <row r="182" spans="1:1">
      <c r="A182" s="46"/>
    </row>
    <row r="183" spans="1:1">
      <c r="A183" s="46"/>
    </row>
    <row r="184" spans="1:1">
      <c r="A184" s="46"/>
    </row>
    <row r="185" spans="1:1">
      <c r="A185" s="46"/>
    </row>
    <row r="186" spans="1:1">
      <c r="A186" s="46"/>
    </row>
    <row r="187" spans="1:1">
      <c r="A187" s="46"/>
    </row>
    <row r="188" spans="1:1">
      <c r="A188" s="46"/>
    </row>
    <row r="189" spans="1:1">
      <c r="A189" s="46"/>
    </row>
    <row r="190" spans="1:1">
      <c r="A190" s="46"/>
    </row>
    <row r="191" spans="1:1">
      <c r="A191" s="46"/>
    </row>
    <row r="192" spans="1:1">
      <c r="A192" s="46"/>
    </row>
    <row r="193" spans="1:1">
      <c r="A193" s="46"/>
    </row>
    <row r="194" spans="1:1">
      <c r="A194" s="46"/>
    </row>
    <row r="195" spans="1:1">
      <c r="A195" s="46"/>
    </row>
    <row r="196" spans="1:1">
      <c r="A196" s="46"/>
    </row>
    <row r="197" spans="1:1">
      <c r="A197" s="46"/>
    </row>
    <row r="198" spans="1:1">
      <c r="A198" s="46"/>
    </row>
    <row r="199" spans="1:1">
      <c r="A199" s="46"/>
    </row>
    <row r="200" spans="1:1">
      <c r="A200" s="46"/>
    </row>
    <row r="201" spans="1:1">
      <c r="A201" s="46"/>
    </row>
    <row r="202" spans="1:1">
      <c r="A202" s="46"/>
    </row>
    <row r="203" spans="1:1">
      <c r="A203" s="46"/>
    </row>
    <row r="204" spans="1:1">
      <c r="A204" s="46"/>
    </row>
    <row r="205" spans="1:1">
      <c r="A205" s="46"/>
    </row>
    <row r="206" spans="1:1">
      <c r="A206" s="46"/>
    </row>
    <row r="207" spans="1:1">
      <c r="A207" s="46"/>
    </row>
    <row r="208" spans="1:1">
      <c r="A208" s="46"/>
    </row>
    <row r="209" spans="1:1">
      <c r="A209" s="46"/>
    </row>
    <row r="210" spans="1:1">
      <c r="A210" s="46"/>
    </row>
    <row r="211" spans="1:1">
      <c r="A211" s="46"/>
    </row>
    <row r="212" spans="1:1">
      <c r="A212" s="46"/>
    </row>
    <row r="213" spans="1:1">
      <c r="A213" s="46"/>
    </row>
    <row r="214" spans="1:1">
      <c r="A214" s="46"/>
    </row>
    <row r="215" spans="1:1">
      <c r="A215" s="46"/>
    </row>
    <row r="216" spans="1:1">
      <c r="A216" s="46"/>
    </row>
    <row r="217" spans="1:1">
      <c r="A217" s="46"/>
    </row>
    <row r="218" spans="1:1">
      <c r="A218" s="46"/>
    </row>
    <row r="219" spans="1:1">
      <c r="A219" s="46"/>
    </row>
    <row r="220" spans="1:1">
      <c r="A220" s="46"/>
    </row>
    <row r="221" spans="1:1">
      <c r="A221" s="46"/>
    </row>
    <row r="222" spans="1:1">
      <c r="A222" s="46"/>
    </row>
    <row r="223" spans="1:1">
      <c r="A223" s="46"/>
    </row>
    <row r="224" spans="1:1">
      <c r="A224" s="46"/>
    </row>
    <row r="225" spans="1:1">
      <c r="A225" s="46"/>
    </row>
    <row r="226" spans="1:1">
      <c r="A226" s="46"/>
    </row>
    <row r="227" spans="1:1">
      <c r="A227" s="46"/>
    </row>
    <row r="228" spans="1:1">
      <c r="A228" s="46"/>
    </row>
    <row r="229" spans="1:1">
      <c r="A229" s="46"/>
    </row>
    <row r="230" spans="1:1">
      <c r="A230" s="46"/>
    </row>
    <row r="231" spans="1:1">
      <c r="A231" s="46"/>
    </row>
    <row r="232" spans="1:1">
      <c r="A232" s="46"/>
    </row>
    <row r="233" spans="1:1">
      <c r="A233" s="46"/>
    </row>
    <row r="234" spans="1:1">
      <c r="A234" s="46"/>
    </row>
    <row r="235" spans="1:1">
      <c r="A235" s="46"/>
    </row>
    <row r="236" spans="1:1">
      <c r="A236" s="46"/>
    </row>
    <row r="237" spans="1:1">
      <c r="A237" s="46"/>
    </row>
    <row r="238" spans="1:1">
      <c r="A238" s="46"/>
    </row>
    <row r="239" spans="1:1">
      <c r="A239" s="46"/>
    </row>
    <row r="240" spans="1:1">
      <c r="A240" s="46"/>
    </row>
    <row r="241" spans="1:1">
      <c r="A241" s="46"/>
    </row>
    <row r="242" spans="1:1">
      <c r="A242" s="46"/>
    </row>
    <row r="243" spans="1:1">
      <c r="A243" s="46"/>
    </row>
    <row r="244" spans="1:1">
      <c r="A244" s="46"/>
    </row>
    <row r="245" spans="1:1">
      <c r="A245" s="46"/>
    </row>
    <row r="246" spans="1:1">
      <c r="A246" s="46"/>
    </row>
    <row r="247" spans="1:1">
      <c r="A247" s="46"/>
    </row>
    <row r="248" spans="1:1">
      <c r="A248" s="46"/>
    </row>
    <row r="249" spans="1:1">
      <c r="A249" s="46"/>
    </row>
    <row r="250" spans="1:1">
      <c r="A250" s="46"/>
    </row>
    <row r="251" spans="1:1">
      <c r="A251" s="46"/>
    </row>
    <row r="252" spans="1:1">
      <c r="A252" s="46"/>
    </row>
    <row r="253" spans="1:1">
      <c r="A253" s="46"/>
    </row>
    <row r="254" spans="1:1">
      <c r="A254" s="46"/>
    </row>
    <row r="255" spans="1:1">
      <c r="A255" s="46"/>
    </row>
    <row r="256" spans="1:1">
      <c r="A256" s="46"/>
    </row>
    <row r="257" spans="1:1">
      <c r="A257" s="46"/>
    </row>
    <row r="258" spans="1:1">
      <c r="A258" s="46"/>
    </row>
    <row r="259" spans="1:1">
      <c r="A259" s="46"/>
    </row>
    <row r="260" spans="1:1">
      <c r="A260" s="46"/>
    </row>
    <row r="261" spans="1:1">
      <c r="A261" s="46"/>
    </row>
    <row r="262" spans="1:1">
      <c r="A262" s="46"/>
    </row>
    <row r="263" spans="1:1">
      <c r="A263" s="46"/>
    </row>
    <row r="264" spans="1:1">
      <c r="A264" s="46"/>
    </row>
    <row r="265" spans="1:1">
      <c r="A265" s="46"/>
    </row>
    <row r="266" spans="1:1">
      <c r="A266" s="46"/>
    </row>
    <row r="267" spans="1:1">
      <c r="A267" s="46"/>
    </row>
    <row r="268" spans="1:1">
      <c r="A268" s="46"/>
    </row>
    <row r="269" spans="1:1">
      <c r="A269" s="46"/>
    </row>
    <row r="270" spans="1:1">
      <c r="A270" s="46"/>
    </row>
    <row r="271" spans="1:1">
      <c r="A271" s="46"/>
    </row>
    <row r="272" spans="1:1">
      <c r="A272" s="46"/>
    </row>
    <row r="273" spans="1:1">
      <c r="A273" s="46"/>
    </row>
    <row r="274" spans="1:1">
      <c r="A274" s="46"/>
    </row>
    <row r="275" spans="1:1">
      <c r="A275" s="46"/>
    </row>
    <row r="276" spans="1:1">
      <c r="A276" s="46"/>
    </row>
    <row r="277" spans="1:1">
      <c r="A277" s="46"/>
    </row>
    <row r="278" spans="1:1">
      <c r="A278" s="46"/>
    </row>
    <row r="279" spans="1:1">
      <c r="A279" s="46"/>
    </row>
    <row r="280" spans="1:1">
      <c r="A280" s="46"/>
    </row>
    <row r="281" spans="1:1">
      <c r="A281" s="46"/>
    </row>
    <row r="282" spans="1:1">
      <c r="A282" s="46"/>
    </row>
    <row r="283" spans="1:1">
      <c r="A283" s="46"/>
    </row>
    <row r="284" spans="1:1">
      <c r="A284" s="46"/>
    </row>
    <row r="285" spans="1:1">
      <c r="A285" s="46"/>
    </row>
    <row r="286" spans="1:1">
      <c r="A286" s="46"/>
    </row>
    <row r="287" spans="1:1">
      <c r="A287" s="46"/>
    </row>
    <row r="288" spans="1:1">
      <c r="A288" s="46"/>
    </row>
    <row r="289" spans="1:1">
      <c r="A289" s="46"/>
    </row>
    <row r="290" spans="1:1">
      <c r="A290" s="46"/>
    </row>
    <row r="291" spans="1:1">
      <c r="A291" s="46"/>
    </row>
    <row r="292" spans="1:1">
      <c r="A292" s="46"/>
    </row>
    <row r="293" spans="1:1">
      <c r="A293" s="46"/>
    </row>
    <row r="294" spans="1:1">
      <c r="A294" s="46"/>
    </row>
    <row r="295" spans="1:1">
      <c r="A295" s="46"/>
    </row>
    <row r="296" spans="1:1">
      <c r="A296" s="46"/>
    </row>
    <row r="297" spans="1:1">
      <c r="A297" s="46"/>
    </row>
    <row r="298" spans="1:1">
      <c r="A298" s="46"/>
    </row>
    <row r="299" spans="1:1">
      <c r="A299" s="46"/>
    </row>
    <row r="300" spans="1:1">
      <c r="A300" s="46"/>
    </row>
    <row r="301" spans="1:1">
      <c r="A301" s="46"/>
    </row>
    <row r="302" spans="1:1">
      <c r="A302" s="46"/>
    </row>
    <row r="303" spans="1:1">
      <c r="A303" s="46"/>
    </row>
    <row r="304" spans="1:1">
      <c r="A304" s="46"/>
    </row>
    <row r="305" spans="1:1">
      <c r="A305" s="46"/>
    </row>
    <row r="306" spans="1:1">
      <c r="A306" s="46"/>
    </row>
    <row r="307" spans="1:1">
      <c r="A307" s="46"/>
    </row>
    <row r="308" spans="1:1">
      <c r="A308" s="46"/>
    </row>
    <row r="309" spans="1:1">
      <c r="A309" s="46"/>
    </row>
    <row r="310" spans="1:1">
      <c r="A310" s="46"/>
    </row>
    <row r="311" spans="1:1">
      <c r="A311" s="46"/>
    </row>
    <row r="312" spans="1:1">
      <c r="A312" s="46"/>
    </row>
    <row r="313" spans="1:1">
      <c r="A313" s="46"/>
    </row>
    <row r="314" spans="1:1">
      <c r="A314" s="46"/>
    </row>
    <row r="315" spans="1:1">
      <c r="A315" s="46"/>
    </row>
    <row r="316" spans="1:1">
      <c r="A316" s="46"/>
    </row>
    <row r="317" spans="1:1">
      <c r="A317" s="46"/>
    </row>
    <row r="318" spans="1:1">
      <c r="A318" s="46"/>
    </row>
    <row r="319" spans="1:1">
      <c r="A319" s="46"/>
    </row>
    <row r="320" spans="1:1">
      <c r="A320" s="46"/>
    </row>
    <row r="321" spans="1:1">
      <c r="A321" s="46"/>
    </row>
    <row r="322" spans="1:1">
      <c r="A322" s="46"/>
    </row>
    <row r="323" spans="1:1">
      <c r="A323" s="46"/>
    </row>
    <row r="324" spans="1:1">
      <c r="A324" s="46"/>
    </row>
    <row r="325" spans="1:1">
      <c r="A325" s="46"/>
    </row>
    <row r="326" spans="1:1">
      <c r="A326" s="46"/>
    </row>
    <row r="327" spans="1:1">
      <c r="A327" s="46"/>
    </row>
    <row r="328" spans="1:1">
      <c r="A328" s="46"/>
    </row>
    <row r="329" spans="1:1">
      <c r="A329" s="46"/>
    </row>
    <row r="330" spans="1:1">
      <c r="A330" s="46"/>
    </row>
    <row r="331" spans="1:1">
      <c r="A331" s="46"/>
    </row>
    <row r="332" spans="1:1">
      <c r="A332" s="46"/>
    </row>
    <row r="333" spans="1:1">
      <c r="A333" s="46"/>
    </row>
    <row r="334" spans="1:1">
      <c r="A334" s="46"/>
    </row>
    <row r="335" spans="1:1">
      <c r="A335" s="46"/>
    </row>
    <row r="336" spans="1:1">
      <c r="A336" s="46"/>
    </row>
    <row r="337" spans="1:1">
      <c r="A337" s="46"/>
    </row>
    <row r="338" spans="1:1">
      <c r="A338" s="46"/>
    </row>
    <row r="339" spans="1:1">
      <c r="A339" s="46"/>
    </row>
    <row r="340" spans="1:1">
      <c r="A340" s="46"/>
    </row>
    <row r="341" spans="1:1">
      <c r="A341" s="46"/>
    </row>
    <row r="342" spans="1:1">
      <c r="A342" s="46"/>
    </row>
    <row r="343" spans="1:1">
      <c r="A343" s="46"/>
    </row>
    <row r="344" spans="1:1">
      <c r="A344" s="46"/>
    </row>
    <row r="345" spans="1:1">
      <c r="A345" s="46"/>
    </row>
    <row r="346" spans="1:1">
      <c r="A346" s="46"/>
    </row>
    <row r="347" spans="1:1">
      <c r="A347" s="46"/>
    </row>
    <row r="348" spans="1:1">
      <c r="A348" s="46"/>
    </row>
    <row r="349" spans="1:1">
      <c r="A349" s="46"/>
    </row>
    <row r="350" spans="1:1">
      <c r="A350" s="46"/>
    </row>
    <row r="351" spans="1:1">
      <c r="A351" s="46"/>
    </row>
    <row r="352" spans="1:1">
      <c r="A352" s="46"/>
    </row>
    <row r="353" spans="1:1">
      <c r="A353" s="46"/>
    </row>
    <row r="354" spans="1:1">
      <c r="A354" s="46"/>
    </row>
    <row r="355" spans="1:1">
      <c r="A355" s="46"/>
    </row>
    <row r="356" spans="1:1">
      <c r="A356" s="46"/>
    </row>
    <row r="357" spans="1:1">
      <c r="A357" s="46"/>
    </row>
    <row r="358" spans="1:1">
      <c r="A358" s="46"/>
    </row>
    <row r="359" spans="1:1">
      <c r="A359" s="46"/>
    </row>
    <row r="360" spans="1:1">
      <c r="A360" s="46"/>
    </row>
    <row r="361" spans="1:1">
      <c r="A361" s="46"/>
    </row>
    <row r="362" spans="1:1">
      <c r="A362" s="46"/>
    </row>
    <row r="363" spans="1:1">
      <c r="A363" s="46"/>
    </row>
    <row r="364" spans="1:1">
      <c r="A364" s="46"/>
    </row>
    <row r="365" spans="1:1">
      <c r="A365" s="46"/>
    </row>
    <row r="366" spans="1:1">
      <c r="A366" s="46"/>
    </row>
    <row r="367" spans="1:1">
      <c r="A367" s="46"/>
    </row>
    <row r="368" spans="1:1">
      <c r="A368" s="46"/>
    </row>
    <row r="369" spans="1:1">
      <c r="A369" s="46"/>
    </row>
    <row r="370" spans="1:1">
      <c r="A370" s="46"/>
    </row>
    <row r="371" spans="1:1">
      <c r="A371" s="46"/>
    </row>
    <row r="372" spans="1:1">
      <c r="A372" s="46"/>
    </row>
    <row r="373" spans="1:1">
      <c r="A373" s="46"/>
    </row>
    <row r="374" spans="1:1">
      <c r="A374" s="46"/>
    </row>
    <row r="375" spans="1:1">
      <c r="A375" s="46"/>
    </row>
    <row r="376" spans="1:1">
      <c r="A376" s="46"/>
    </row>
    <row r="377" spans="1:1">
      <c r="A377" s="46"/>
    </row>
    <row r="378" spans="1:1">
      <c r="A378" s="46"/>
    </row>
    <row r="379" spans="1:1">
      <c r="A379" s="46"/>
    </row>
    <row r="380" spans="1:1">
      <c r="A380" s="46"/>
    </row>
    <row r="381" spans="1:1">
      <c r="A381" s="46"/>
    </row>
    <row r="382" spans="1:1">
      <c r="A382" s="46"/>
    </row>
    <row r="383" spans="1:1">
      <c r="A383" s="46"/>
    </row>
    <row r="384" spans="1:1">
      <c r="A384" s="46"/>
    </row>
    <row r="385" spans="1:1">
      <c r="A385" s="46"/>
    </row>
    <row r="386" spans="1:1">
      <c r="A386" s="46"/>
    </row>
    <row r="387" spans="1:1">
      <c r="A387" s="46"/>
    </row>
    <row r="388" spans="1:1">
      <c r="A388" s="46"/>
    </row>
    <row r="389" spans="1:1">
      <c r="A389" s="46"/>
    </row>
    <row r="390" spans="1:1">
      <c r="A390" s="46"/>
    </row>
    <row r="391" spans="1:1">
      <c r="A391" s="46"/>
    </row>
    <row r="392" spans="1:1">
      <c r="A392" s="46"/>
    </row>
    <row r="393" spans="1:1">
      <c r="A393" s="46"/>
    </row>
    <row r="394" spans="1:1">
      <c r="A394" s="46"/>
    </row>
    <row r="395" spans="1:1">
      <c r="A395" s="46"/>
    </row>
    <row r="396" spans="1:1">
      <c r="A396" s="46"/>
    </row>
    <row r="397" spans="1:1">
      <c r="A397" s="46"/>
    </row>
    <row r="398" spans="1:1">
      <c r="A398" s="46"/>
    </row>
    <row r="399" spans="1:1">
      <c r="A399" s="46"/>
    </row>
    <row r="400" spans="1:1">
      <c r="A400" s="46"/>
    </row>
    <row r="401" spans="1:1">
      <c r="A401" s="46"/>
    </row>
    <row r="402" spans="1:1">
      <c r="A402" s="46"/>
    </row>
    <row r="403" spans="1:1">
      <c r="A403" s="46"/>
    </row>
    <row r="404" spans="1:1">
      <c r="A404" s="46"/>
    </row>
    <row r="405" spans="1:1">
      <c r="A405" s="46"/>
    </row>
    <row r="406" spans="1:1">
      <c r="A406" s="46"/>
    </row>
    <row r="407" spans="1:1">
      <c r="A407" s="46"/>
    </row>
    <row r="408" spans="1:1">
      <c r="A408" s="46"/>
    </row>
    <row r="409" spans="1:1">
      <c r="A409" s="46"/>
    </row>
    <row r="410" spans="1:1">
      <c r="A410" s="46"/>
    </row>
    <row r="411" spans="1:1">
      <c r="A411" s="46"/>
    </row>
    <row r="412" spans="1:1">
      <c r="A412" s="46"/>
    </row>
    <row r="413" spans="1:1">
      <c r="A413" s="46"/>
    </row>
    <row r="414" spans="1:1">
      <c r="A414" s="46"/>
    </row>
    <row r="415" spans="1:1">
      <c r="A415" s="46"/>
    </row>
    <row r="416" spans="1:1">
      <c r="A416" s="46"/>
    </row>
    <row r="417" spans="1:1">
      <c r="A417" s="46"/>
    </row>
    <row r="418" spans="1:1">
      <c r="A418" s="46"/>
    </row>
    <row r="419" spans="1:1">
      <c r="A419" s="46"/>
    </row>
    <row r="420" spans="1:1">
      <c r="A420" s="46"/>
    </row>
    <row r="421" spans="1:1">
      <c r="A421" s="46"/>
    </row>
    <row r="422" spans="1:1">
      <c r="A422" s="46"/>
    </row>
    <row r="423" spans="1:1">
      <c r="A423" s="46"/>
    </row>
    <row r="424" spans="1:1">
      <c r="A424" s="46"/>
    </row>
    <row r="425" spans="1:1">
      <c r="A425" s="46"/>
    </row>
    <row r="426" spans="1:1">
      <c r="A426" s="46"/>
    </row>
    <row r="427" spans="1:1">
      <c r="A427" s="46"/>
    </row>
    <row r="428" spans="1:1">
      <c r="A428" s="46"/>
    </row>
    <row r="429" spans="1:1">
      <c r="A429" s="46"/>
    </row>
    <row r="430" spans="1:1">
      <c r="A430" s="46"/>
    </row>
    <row r="431" spans="1:1">
      <c r="A431" s="46"/>
    </row>
    <row r="432" spans="1:1">
      <c r="A432" s="46"/>
    </row>
    <row r="433" spans="1:1">
      <c r="A433" s="46"/>
    </row>
    <row r="434" spans="1:1">
      <c r="A434" s="46"/>
    </row>
    <row r="435" spans="1:1">
      <c r="A435" s="46"/>
    </row>
    <row r="436" spans="1:1">
      <c r="A436" s="46"/>
    </row>
    <row r="437" spans="1:1">
      <c r="A437" s="46"/>
    </row>
    <row r="438" spans="1:1">
      <c r="A438" s="46"/>
    </row>
    <row r="439" spans="1:1">
      <c r="A439" s="46"/>
    </row>
    <row r="440" spans="1:1">
      <c r="A440" s="46"/>
    </row>
    <row r="441" spans="1:1">
      <c r="A441" s="46"/>
    </row>
    <row r="442" spans="1:1">
      <c r="A442" s="46"/>
    </row>
    <row r="443" spans="1:1">
      <c r="A443" s="46"/>
    </row>
    <row r="444" spans="1:1">
      <c r="A444" s="46"/>
    </row>
    <row r="445" spans="1:1">
      <c r="A445" s="46"/>
    </row>
    <row r="446" spans="1:1">
      <c r="A446" s="46"/>
    </row>
    <row r="447" spans="1:1">
      <c r="A447" s="46"/>
    </row>
    <row r="448" spans="1:1">
      <c r="A448" s="46"/>
    </row>
    <row r="449" spans="1:1">
      <c r="A449" s="46"/>
    </row>
    <row r="450" spans="1:1">
      <c r="A450" s="46"/>
    </row>
    <row r="451" spans="1:1">
      <c r="A451" s="46"/>
    </row>
    <row r="452" spans="1:1">
      <c r="A452" s="46"/>
    </row>
    <row r="453" spans="1:1">
      <c r="A453" s="46"/>
    </row>
    <row r="454" spans="1:1">
      <c r="A454" s="46"/>
    </row>
    <row r="455" spans="1:1">
      <c r="A455" s="46"/>
    </row>
    <row r="456" spans="1:1">
      <c r="A456" s="46"/>
    </row>
    <row r="457" spans="1:1">
      <c r="A457" s="46"/>
    </row>
    <row r="458" spans="1:1">
      <c r="A458" s="46"/>
    </row>
    <row r="459" spans="1:1">
      <c r="A459" s="46"/>
    </row>
    <row r="460" spans="1:1">
      <c r="A460" s="46"/>
    </row>
    <row r="461" spans="1:1">
      <c r="A461" s="46"/>
    </row>
    <row r="462" spans="1:1">
      <c r="A462" s="46"/>
    </row>
    <row r="463" spans="1:1">
      <c r="A463" s="46"/>
    </row>
    <row r="464" spans="1:1">
      <c r="A464" s="46"/>
    </row>
    <row r="465" spans="1:1">
      <c r="A465" s="46"/>
    </row>
    <row r="466" spans="1:1">
      <c r="A466" s="46"/>
    </row>
    <row r="467" spans="1:1">
      <c r="A467" s="46"/>
    </row>
    <row r="468" spans="1:1">
      <c r="A468" s="46"/>
    </row>
    <row r="469" spans="1:1">
      <c r="A469" s="46"/>
    </row>
    <row r="470" spans="1:1">
      <c r="A470" s="46"/>
    </row>
    <row r="471" spans="1:1">
      <c r="A471" s="46"/>
    </row>
    <row r="472" spans="1:1">
      <c r="A472" s="46"/>
    </row>
    <row r="473" spans="1:1">
      <c r="A473" s="46"/>
    </row>
    <row r="474" spans="1:1">
      <c r="A474" s="46"/>
    </row>
    <row r="475" spans="1:1">
      <c r="A475" s="46"/>
    </row>
    <row r="476" spans="1:1">
      <c r="A476" s="46"/>
    </row>
    <row r="477" spans="1:1">
      <c r="A477" s="46"/>
    </row>
    <row r="478" spans="1:1">
      <c r="A478" s="46"/>
    </row>
    <row r="479" spans="1:1">
      <c r="A479" s="46"/>
    </row>
    <row r="480" spans="1:1">
      <c r="A480" s="46"/>
    </row>
    <row r="481" spans="1:1">
      <c r="A481" s="46"/>
    </row>
    <row r="482" spans="1:1">
      <c r="A482" s="46"/>
    </row>
    <row r="483" spans="1:1">
      <c r="A483" s="46"/>
    </row>
    <row r="484" spans="1:1">
      <c r="A484" s="46"/>
    </row>
    <row r="485" spans="1:1">
      <c r="A485" s="46"/>
    </row>
    <row r="486" spans="1:1">
      <c r="A486" s="46"/>
    </row>
    <row r="487" spans="1:1">
      <c r="A487" s="46"/>
    </row>
    <row r="488" spans="1:1">
      <c r="A488" s="46"/>
    </row>
    <row r="489" spans="1:1">
      <c r="A489" s="46"/>
    </row>
    <row r="490" spans="1:1">
      <c r="A490" s="46"/>
    </row>
    <row r="491" spans="1:1">
      <c r="A491" s="46"/>
    </row>
    <row r="492" spans="1:1">
      <c r="A492" s="46"/>
    </row>
    <row r="493" spans="1:1">
      <c r="A493" s="46"/>
    </row>
    <row r="494" spans="1:1">
      <c r="A494" s="46"/>
    </row>
    <row r="495" spans="1:1">
      <c r="A495" s="46"/>
    </row>
    <row r="496" spans="1:1">
      <c r="A496" s="46"/>
    </row>
    <row r="497" spans="1:1">
      <c r="A497" s="46"/>
    </row>
    <row r="498" spans="1:1">
      <c r="A498" s="46"/>
    </row>
    <row r="499" spans="1:1">
      <c r="A499" s="46"/>
    </row>
    <row r="500" spans="1:1">
      <c r="A500" s="46"/>
    </row>
    <row r="501" spans="1:1">
      <c r="A501" s="46"/>
    </row>
    <row r="502" spans="1:1">
      <c r="A502" s="46"/>
    </row>
    <row r="503" spans="1:1">
      <c r="A503" s="46"/>
    </row>
    <row r="504" spans="1:1">
      <c r="A504" s="46"/>
    </row>
    <row r="505" spans="1:1">
      <c r="A505" s="46"/>
    </row>
    <row r="506" spans="1:1">
      <c r="A506" s="46"/>
    </row>
    <row r="507" spans="1:1">
      <c r="A507" s="46"/>
    </row>
    <row r="508" spans="1:1">
      <c r="A508" s="46"/>
    </row>
    <row r="509" spans="1:1">
      <c r="A509" s="46"/>
    </row>
    <row r="510" spans="1:1">
      <c r="A510" s="46"/>
    </row>
    <row r="511" spans="1:1">
      <c r="A511" s="46"/>
    </row>
    <row r="512" spans="1:1">
      <c r="A512" s="46"/>
    </row>
    <row r="513" spans="1:1">
      <c r="A513" s="46"/>
    </row>
    <row r="514" spans="1:1">
      <c r="A514" s="46"/>
    </row>
    <row r="515" spans="1:1">
      <c r="A515" s="46"/>
    </row>
    <row r="516" spans="1:1">
      <c r="A516" s="46"/>
    </row>
    <row r="517" spans="1:1">
      <c r="A517" s="46"/>
    </row>
    <row r="518" spans="1:1">
      <c r="A518" s="46"/>
    </row>
    <row r="519" spans="1:1">
      <c r="A519" s="46"/>
    </row>
    <row r="520" spans="1:1">
      <c r="A520" s="46"/>
    </row>
    <row r="521" spans="1:1">
      <c r="A521" s="46"/>
    </row>
    <row r="522" spans="1:1">
      <c r="A522" s="46"/>
    </row>
    <row r="523" spans="1:1">
      <c r="A523" s="46"/>
    </row>
    <row r="524" spans="1:1">
      <c r="A524" s="46"/>
    </row>
    <row r="525" spans="1:1">
      <c r="A525" s="46"/>
    </row>
    <row r="526" spans="1:1">
      <c r="A526" s="46"/>
    </row>
    <row r="527" spans="1:1">
      <c r="A527" s="46"/>
    </row>
    <row r="528" spans="1:1">
      <c r="A528" s="46"/>
    </row>
    <row r="529" spans="1:1">
      <c r="A529" s="46"/>
    </row>
    <row r="530" spans="1:1">
      <c r="A530" s="46"/>
    </row>
    <row r="531" spans="1:1">
      <c r="A531" s="46"/>
    </row>
    <row r="532" spans="1:1">
      <c r="A532" s="46"/>
    </row>
    <row r="533" spans="1:1">
      <c r="A533" s="46"/>
    </row>
    <row r="534" spans="1:1">
      <c r="A534" s="46"/>
    </row>
    <row r="535" spans="1:1">
      <c r="A535" s="46"/>
    </row>
    <row r="536" spans="1:1">
      <c r="A536" s="46"/>
    </row>
    <row r="537" spans="1:1">
      <c r="A537" s="46"/>
    </row>
    <row r="538" spans="1:1">
      <c r="A538" s="46"/>
    </row>
    <row r="539" spans="1:1">
      <c r="A539" s="46"/>
    </row>
    <row r="540" spans="1:1">
      <c r="A540" s="46"/>
    </row>
    <row r="541" spans="1:1">
      <c r="A541" s="46"/>
    </row>
    <row r="542" spans="1:1">
      <c r="A542" s="46"/>
    </row>
    <row r="543" spans="1:1">
      <c r="A543" s="46"/>
    </row>
    <row r="544" spans="1:1">
      <c r="A544" s="46"/>
    </row>
    <row r="545" spans="1:1">
      <c r="A545" s="46"/>
    </row>
    <row r="546" spans="1:1">
      <c r="A546" s="46"/>
    </row>
    <row r="547" spans="1:1">
      <c r="A547" s="46"/>
    </row>
    <row r="548" spans="1:1">
      <c r="A548" s="46"/>
    </row>
    <row r="549" spans="1:1">
      <c r="A549" s="46"/>
    </row>
    <row r="550" spans="1:1">
      <c r="A550" s="46"/>
    </row>
    <row r="551" spans="1:1">
      <c r="A551" s="46"/>
    </row>
    <row r="552" spans="1:1">
      <c r="A552" s="46"/>
    </row>
    <row r="553" spans="1:1">
      <c r="A553" s="46"/>
    </row>
    <row r="554" spans="1:1">
      <c r="A554" s="46"/>
    </row>
    <row r="555" spans="1:1">
      <c r="A555" s="46"/>
    </row>
    <row r="556" spans="1:1">
      <c r="A556" s="46"/>
    </row>
    <row r="557" spans="1:1">
      <c r="A557" s="46"/>
    </row>
    <row r="558" spans="1:1">
      <c r="A558" s="46"/>
    </row>
    <row r="559" spans="1:1">
      <c r="A559" s="46"/>
    </row>
    <row r="560" spans="1:1">
      <c r="A560" s="46"/>
    </row>
    <row r="561" spans="1:1">
      <c r="A561" s="46"/>
    </row>
    <row r="562" spans="1:1">
      <c r="A562" s="46"/>
    </row>
    <row r="563" spans="1:1">
      <c r="A563" s="46"/>
    </row>
    <row r="564" spans="1:1">
      <c r="A564" s="46"/>
    </row>
    <row r="565" spans="1:1">
      <c r="A565" s="46"/>
    </row>
    <row r="566" spans="1:1">
      <c r="A566" s="46"/>
    </row>
    <row r="567" spans="1:1">
      <c r="A567" s="46"/>
    </row>
    <row r="568" spans="1:1">
      <c r="A568" s="46"/>
    </row>
    <row r="569" spans="1:1">
      <c r="A569" s="46"/>
    </row>
    <row r="570" spans="1:1">
      <c r="A570" s="46"/>
    </row>
    <row r="571" spans="1:1">
      <c r="A571" s="46"/>
    </row>
    <row r="572" spans="1:1">
      <c r="A572" s="46"/>
    </row>
    <row r="573" spans="1:1">
      <c r="A573" s="46"/>
    </row>
    <row r="574" spans="1:1">
      <c r="A574" s="46"/>
    </row>
    <row r="575" spans="1:1">
      <c r="A575" s="46"/>
    </row>
    <row r="576" spans="1:1">
      <c r="A576" s="46"/>
    </row>
    <row r="577" spans="1:1">
      <c r="A577" s="46"/>
    </row>
    <row r="578" spans="1:1">
      <c r="A578" s="46"/>
    </row>
    <row r="579" spans="1:1">
      <c r="A579" s="46"/>
    </row>
    <row r="580" spans="1:1">
      <c r="A580" s="46"/>
    </row>
    <row r="581" spans="1:1">
      <c r="A581" s="46"/>
    </row>
    <row r="582" spans="1:1">
      <c r="A582" s="46"/>
    </row>
    <row r="583" spans="1:1">
      <c r="A583" s="46"/>
    </row>
    <row r="584" spans="1:1">
      <c r="A584" s="46"/>
    </row>
    <row r="585" spans="1:1">
      <c r="A585" s="46"/>
    </row>
    <row r="586" spans="1:1">
      <c r="A586" s="46"/>
    </row>
    <row r="587" spans="1:1">
      <c r="A587" s="46"/>
    </row>
    <row r="588" spans="1:1">
      <c r="A588" s="46"/>
    </row>
    <row r="589" spans="1:1">
      <c r="A589" s="46"/>
    </row>
    <row r="590" spans="1:1">
      <c r="A590" s="46"/>
    </row>
    <row r="591" spans="1:1">
      <c r="A591" s="46"/>
    </row>
    <row r="592" spans="1:1">
      <c r="A592" s="46"/>
    </row>
    <row r="593" spans="1:1">
      <c r="A593" s="46"/>
    </row>
    <row r="594" spans="1:1">
      <c r="A594" s="46"/>
    </row>
    <row r="595" spans="1:1">
      <c r="A595" s="46"/>
    </row>
    <row r="596" spans="1:1">
      <c r="A596" s="46"/>
    </row>
    <row r="597" spans="1:1">
      <c r="A597" s="46"/>
    </row>
    <row r="598" spans="1:1">
      <c r="A598" s="46"/>
    </row>
    <row r="599" spans="1:1">
      <c r="A599" s="46"/>
    </row>
    <row r="600" spans="1:1">
      <c r="A600" s="46"/>
    </row>
    <row r="601" spans="1:1">
      <c r="A601" s="46"/>
    </row>
    <row r="602" spans="1:1">
      <c r="A602" s="46"/>
    </row>
    <row r="603" spans="1:1">
      <c r="A603" s="46"/>
    </row>
    <row r="604" spans="1:1">
      <c r="A604" s="46"/>
    </row>
    <row r="605" spans="1:1">
      <c r="A605" s="46"/>
    </row>
    <row r="606" spans="1:1">
      <c r="A606" s="46"/>
    </row>
    <row r="607" spans="1:1">
      <c r="A607" s="46"/>
    </row>
    <row r="608" spans="1:1">
      <c r="A608" s="46"/>
    </row>
    <row r="609" spans="1:1">
      <c r="A609" s="46"/>
    </row>
    <row r="610" spans="1:1">
      <c r="A610" s="46"/>
    </row>
    <row r="611" spans="1:1">
      <c r="A611" s="46"/>
    </row>
    <row r="612" spans="1:1">
      <c r="A612" s="46"/>
    </row>
    <row r="613" spans="1:1">
      <c r="A613" s="46"/>
    </row>
    <row r="614" spans="1:1">
      <c r="A614" s="46"/>
    </row>
    <row r="615" spans="1:1">
      <c r="A615" s="46"/>
    </row>
    <row r="616" spans="1:1">
      <c r="A616" s="46"/>
    </row>
    <row r="617" spans="1:1">
      <c r="A617" s="46"/>
    </row>
    <row r="618" spans="1:1">
      <c r="A618" s="46"/>
    </row>
    <row r="619" spans="1:1">
      <c r="A619" s="46"/>
    </row>
    <row r="620" spans="1:1">
      <c r="A620" s="46"/>
    </row>
    <row r="621" spans="1:1">
      <c r="A621" s="46"/>
    </row>
    <row r="622" spans="1:1">
      <c r="A622" s="46"/>
    </row>
    <row r="623" spans="1:1">
      <c r="A623" s="46"/>
    </row>
    <row r="624" spans="1:1">
      <c r="A624" s="46"/>
    </row>
    <row r="625" spans="1:1">
      <c r="A625" s="46"/>
    </row>
    <row r="626" spans="1:1">
      <c r="A626" s="46"/>
    </row>
    <row r="627" spans="1:1">
      <c r="A627" s="46"/>
    </row>
    <row r="628" spans="1:1">
      <c r="A628" s="46"/>
    </row>
    <row r="629" spans="1:1">
      <c r="A629" s="46"/>
    </row>
    <row r="630" spans="1:1">
      <c r="A630" s="46"/>
    </row>
    <row r="631" spans="1:1">
      <c r="A631" s="46"/>
    </row>
    <row r="632" spans="1:1">
      <c r="A632" s="46"/>
    </row>
    <row r="633" spans="1:1">
      <c r="A633" s="46"/>
    </row>
    <row r="634" spans="1:1">
      <c r="A634" s="46"/>
    </row>
    <row r="635" spans="1:1">
      <c r="A635" s="46"/>
    </row>
    <row r="636" spans="1:1">
      <c r="A636" s="46"/>
    </row>
    <row r="637" spans="1:1">
      <c r="A637" s="46"/>
    </row>
    <row r="638" spans="1:1">
      <c r="A638" s="46"/>
    </row>
    <row r="639" spans="1:1">
      <c r="A639" s="46"/>
    </row>
    <row r="640" spans="1:1">
      <c r="A640" s="46"/>
    </row>
    <row r="641" spans="1:1">
      <c r="A641" s="46"/>
    </row>
    <row r="642" spans="1:1">
      <c r="A642" s="46"/>
    </row>
    <row r="643" spans="1:1">
      <c r="A643" s="46"/>
    </row>
    <row r="644" spans="1:1">
      <c r="A644" s="46"/>
    </row>
    <row r="645" spans="1:1">
      <c r="A645" s="46"/>
    </row>
    <row r="646" spans="1:1">
      <c r="A646" s="46"/>
    </row>
    <row r="647" spans="1:1">
      <c r="A647" s="46"/>
    </row>
    <row r="648" spans="1:1">
      <c r="A648" s="46"/>
    </row>
    <row r="649" spans="1:1">
      <c r="A649" s="46"/>
    </row>
    <row r="650" spans="1:1">
      <c r="A650" s="46"/>
    </row>
    <row r="651" spans="1:1">
      <c r="A651" s="46"/>
    </row>
    <row r="652" spans="1:1">
      <c r="A652" s="46"/>
    </row>
    <row r="653" spans="1:1">
      <c r="A653" s="46"/>
    </row>
    <row r="654" spans="1:1">
      <c r="A654" s="46"/>
    </row>
    <row r="655" spans="1:1">
      <c r="A655" s="46"/>
    </row>
    <row r="656" spans="1:1">
      <c r="A656" s="46"/>
    </row>
    <row r="657" spans="1:1">
      <c r="A657" s="46"/>
    </row>
    <row r="658" spans="1:1">
      <c r="A658" s="46"/>
    </row>
    <row r="659" spans="1:1">
      <c r="A659" s="46"/>
    </row>
    <row r="660" spans="1:1">
      <c r="A660" s="46"/>
    </row>
    <row r="661" spans="1:1">
      <c r="A661" s="46"/>
    </row>
    <row r="662" spans="1:1">
      <c r="A662" s="46"/>
    </row>
    <row r="663" spans="1:1">
      <c r="A663" s="46"/>
    </row>
    <row r="664" spans="1:1">
      <c r="A664" s="46"/>
    </row>
    <row r="665" spans="1:1">
      <c r="A665" s="46"/>
    </row>
    <row r="666" spans="1:1">
      <c r="A666" s="46"/>
    </row>
    <row r="667" spans="1:1">
      <c r="A667" s="46"/>
    </row>
    <row r="668" spans="1:1">
      <c r="A668" s="46"/>
    </row>
    <row r="669" spans="1:1">
      <c r="A669" s="46"/>
    </row>
    <row r="670" spans="1:1">
      <c r="A670" s="46"/>
    </row>
    <row r="671" spans="1:1">
      <c r="A671" s="46"/>
    </row>
    <row r="672" spans="1:1">
      <c r="A672" s="46"/>
    </row>
    <row r="673" spans="1:1">
      <c r="A673" s="46"/>
    </row>
    <row r="674" spans="1:1">
      <c r="A674" s="46"/>
    </row>
    <row r="675" spans="1:1">
      <c r="A675" s="46"/>
    </row>
    <row r="676" spans="1:1">
      <c r="A676" s="46"/>
    </row>
    <row r="677" spans="1:1">
      <c r="A677" s="46"/>
    </row>
    <row r="678" spans="1:1">
      <c r="A678" s="46"/>
    </row>
    <row r="679" spans="1:1">
      <c r="A679" s="46"/>
    </row>
    <row r="680" spans="1:1">
      <c r="A680" s="46"/>
    </row>
    <row r="681" spans="1:1">
      <c r="A681" s="46"/>
    </row>
    <row r="682" spans="1:1">
      <c r="A682" s="46"/>
    </row>
    <row r="683" spans="1:1">
      <c r="A683" s="46"/>
    </row>
    <row r="684" spans="1:1">
      <c r="A684" s="46"/>
    </row>
    <row r="685" spans="1:1">
      <c r="A685" s="46"/>
    </row>
    <row r="686" spans="1:1">
      <c r="A686" s="46"/>
    </row>
    <row r="687" spans="1:1">
      <c r="A687" s="46"/>
    </row>
    <row r="688" spans="1:1">
      <c r="A688" s="46"/>
    </row>
    <row r="689" spans="1:1">
      <c r="A689" s="46"/>
    </row>
    <row r="690" spans="1:1">
      <c r="A690" s="46"/>
    </row>
    <row r="691" spans="1:1">
      <c r="A691" s="46"/>
    </row>
    <row r="692" spans="1:1">
      <c r="A692" s="46"/>
    </row>
    <row r="693" spans="1:1">
      <c r="A693" s="46"/>
    </row>
    <row r="694" spans="1:1">
      <c r="A694" s="46"/>
    </row>
    <row r="695" spans="1:1">
      <c r="A695" s="46"/>
    </row>
    <row r="696" spans="1:1">
      <c r="A696" s="46"/>
    </row>
    <row r="697" spans="1:1">
      <c r="A697" s="46"/>
    </row>
    <row r="698" spans="1:1">
      <c r="A698" s="46"/>
    </row>
    <row r="699" spans="1:1">
      <c r="A699" s="46"/>
    </row>
    <row r="700" spans="1:1">
      <c r="A700" s="46"/>
    </row>
    <row r="701" spans="1:1">
      <c r="A701" s="46"/>
    </row>
    <row r="702" spans="1:1">
      <c r="A702" s="46"/>
    </row>
    <row r="703" spans="1:1">
      <c r="A703" s="46"/>
    </row>
    <row r="704" spans="1:1">
      <c r="A704" s="46"/>
    </row>
    <row r="705" spans="1:1">
      <c r="A705" s="46"/>
    </row>
    <row r="706" spans="1:1">
      <c r="A706" s="46"/>
    </row>
    <row r="707" spans="1:1">
      <c r="A707" s="46"/>
    </row>
    <row r="708" spans="1:1">
      <c r="A708" s="46"/>
    </row>
    <row r="709" spans="1:1">
      <c r="A709" s="46"/>
    </row>
    <row r="710" spans="1:1">
      <c r="A710" s="46"/>
    </row>
    <row r="711" spans="1:1">
      <c r="A711" s="46"/>
    </row>
    <row r="712" spans="1:1">
      <c r="A712" s="46"/>
    </row>
    <row r="713" spans="1:1">
      <c r="A713" s="46"/>
    </row>
    <row r="714" spans="1:1">
      <c r="A714" s="46"/>
    </row>
    <row r="715" spans="1:1">
      <c r="A715" s="46"/>
    </row>
    <row r="716" spans="1:1">
      <c r="A716" s="46"/>
    </row>
    <row r="717" spans="1:1">
      <c r="A717" s="46"/>
    </row>
    <row r="718" spans="1:1">
      <c r="A718" s="46"/>
    </row>
    <row r="719" spans="1:1">
      <c r="A719" s="46"/>
    </row>
    <row r="720" spans="1:1">
      <c r="A720" s="46"/>
    </row>
    <row r="721" spans="1:1">
      <c r="A721" s="46"/>
    </row>
    <row r="722" spans="1:1">
      <c r="A722" s="46"/>
    </row>
    <row r="723" spans="1:1">
      <c r="A723" s="46"/>
    </row>
    <row r="724" spans="1:1">
      <c r="A724" s="46"/>
    </row>
    <row r="725" spans="1:1">
      <c r="A725" s="46"/>
    </row>
    <row r="726" spans="1:1">
      <c r="A726" s="46"/>
    </row>
    <row r="727" spans="1:1">
      <c r="A727" s="46"/>
    </row>
    <row r="728" spans="1:1">
      <c r="A728" s="46"/>
    </row>
    <row r="729" spans="1:1">
      <c r="A729" s="46"/>
    </row>
    <row r="730" spans="1:1">
      <c r="A730" s="46"/>
    </row>
    <row r="731" spans="1:1">
      <c r="A731" s="46"/>
    </row>
    <row r="732" spans="1:1">
      <c r="A732" s="46"/>
    </row>
    <row r="733" spans="1:1">
      <c r="A733" s="46"/>
    </row>
    <row r="734" spans="1:1">
      <c r="A734" s="46"/>
    </row>
    <row r="735" spans="1:1">
      <c r="A735" s="46"/>
    </row>
    <row r="736" spans="1:1">
      <c r="A736" s="46"/>
    </row>
    <row r="737" spans="1:1">
      <c r="A737" s="46"/>
    </row>
    <row r="738" spans="1:1">
      <c r="A738" s="46"/>
    </row>
    <row r="739" spans="1:1">
      <c r="A739" s="46"/>
    </row>
    <row r="740" spans="1:1">
      <c r="A740" s="46"/>
    </row>
    <row r="741" spans="1:1">
      <c r="A741" s="46"/>
    </row>
    <row r="742" spans="1:1">
      <c r="A742" s="46"/>
    </row>
    <row r="743" spans="1:1">
      <c r="A743" s="46"/>
    </row>
    <row r="744" spans="1:1">
      <c r="A744" s="46"/>
    </row>
    <row r="745" spans="1:1">
      <c r="A745" s="46"/>
    </row>
    <row r="746" spans="1:1">
      <c r="A746" s="46"/>
    </row>
    <row r="747" spans="1:1">
      <c r="A747" s="46"/>
    </row>
    <row r="748" spans="1:1">
      <c r="A748" s="46"/>
    </row>
    <row r="749" spans="1:1">
      <c r="A749" s="46"/>
    </row>
    <row r="750" spans="1:1">
      <c r="A750" s="46"/>
    </row>
    <row r="751" spans="1:1">
      <c r="A751" s="46"/>
    </row>
    <row r="752" spans="1:1">
      <c r="A752" s="46"/>
    </row>
    <row r="753" spans="1:1">
      <c r="A753" s="46"/>
    </row>
    <row r="754" spans="1:1">
      <c r="A754" s="46"/>
    </row>
    <row r="755" spans="1:1">
      <c r="A755" s="46"/>
    </row>
    <row r="756" spans="1:1">
      <c r="A756" s="46"/>
    </row>
    <row r="757" spans="1:1">
      <c r="A757" s="46"/>
    </row>
    <row r="758" spans="1:1">
      <c r="A758" s="46"/>
    </row>
    <row r="759" spans="1:1">
      <c r="A759" s="46"/>
    </row>
    <row r="760" spans="1:1">
      <c r="A760" s="46"/>
    </row>
    <row r="761" spans="1:1">
      <c r="A761" s="46"/>
    </row>
    <row r="762" spans="1:1">
      <c r="A762" s="46"/>
    </row>
    <row r="763" spans="1:1">
      <c r="A763" s="46"/>
    </row>
    <row r="764" spans="1:1">
      <c r="A764" s="46"/>
    </row>
    <row r="765" spans="1:1">
      <c r="A765" s="46"/>
    </row>
    <row r="766" spans="1:1">
      <c r="A766" s="46"/>
    </row>
    <row r="767" spans="1:1">
      <c r="A767" s="46"/>
    </row>
    <row r="768" spans="1:1">
      <c r="A768" s="46"/>
    </row>
    <row r="769" spans="1:1">
      <c r="A769" s="46"/>
    </row>
    <row r="770" spans="1:1">
      <c r="A770" s="46"/>
    </row>
    <row r="771" spans="1:1">
      <c r="A771" s="46"/>
    </row>
    <row r="772" spans="1:1">
      <c r="A772" s="46"/>
    </row>
    <row r="773" spans="1:1">
      <c r="A773" s="46"/>
    </row>
    <row r="774" spans="1:1">
      <c r="A774" s="46"/>
    </row>
    <row r="775" spans="1:1">
      <c r="A775" s="46"/>
    </row>
    <row r="776" spans="1:1">
      <c r="A776" s="46"/>
    </row>
    <row r="777" spans="1:1">
      <c r="A777" s="46"/>
    </row>
    <row r="778" spans="1:1">
      <c r="A778" s="46"/>
    </row>
    <row r="779" spans="1:1">
      <c r="A779" s="46"/>
    </row>
    <row r="780" spans="1:1">
      <c r="A780" s="46"/>
    </row>
    <row r="781" spans="1:1">
      <c r="A781" s="46"/>
    </row>
    <row r="782" spans="1:1">
      <c r="A782" s="46"/>
    </row>
    <row r="783" spans="1:1">
      <c r="A783" s="46"/>
    </row>
    <row r="784" spans="1:1">
      <c r="A784" s="46"/>
    </row>
    <row r="785" spans="1:1">
      <c r="A785" s="46"/>
    </row>
    <row r="786" spans="1:1">
      <c r="A786" s="46"/>
    </row>
    <row r="787" spans="1:1">
      <c r="A787" s="46"/>
    </row>
    <row r="788" spans="1:1">
      <c r="A788" s="46"/>
    </row>
    <row r="789" spans="1:1">
      <c r="A789" s="46"/>
    </row>
    <row r="790" spans="1:1">
      <c r="A790" s="46"/>
    </row>
    <row r="791" spans="1:1">
      <c r="A791" s="46"/>
    </row>
    <row r="792" spans="1:1">
      <c r="A792" s="46"/>
    </row>
    <row r="793" spans="1:1">
      <c r="A793" s="46"/>
    </row>
    <row r="794" spans="1:1">
      <c r="A794" s="46"/>
    </row>
    <row r="795" spans="1:1">
      <c r="A795" s="46"/>
    </row>
    <row r="796" spans="1:1">
      <c r="A796" s="46"/>
    </row>
    <row r="797" spans="1:1">
      <c r="A797" s="46"/>
    </row>
    <row r="798" spans="1:1">
      <c r="A798" s="46"/>
    </row>
    <row r="799" spans="1:1">
      <c r="A799" s="46"/>
    </row>
    <row r="800" spans="1:1">
      <c r="A800" s="46"/>
    </row>
    <row r="801" spans="1:1">
      <c r="A801" s="46"/>
    </row>
    <row r="802" spans="1:1">
      <c r="A802" s="46"/>
    </row>
    <row r="803" spans="1:1">
      <c r="A803" s="46"/>
    </row>
    <row r="804" spans="1:1">
      <c r="A804" s="46"/>
    </row>
    <row r="805" spans="1:1">
      <c r="A805" s="46"/>
    </row>
    <row r="806" spans="1:1">
      <c r="A806" s="46"/>
    </row>
    <row r="807" spans="1:1">
      <c r="A807" s="46"/>
    </row>
    <row r="808" spans="1:1">
      <c r="A808" s="46"/>
    </row>
    <row r="809" spans="1:1">
      <c r="A809" s="46"/>
    </row>
    <row r="810" spans="1:1">
      <c r="A810" s="46"/>
    </row>
    <row r="811" spans="1:1">
      <c r="A811" s="46"/>
    </row>
    <row r="812" spans="1:1">
      <c r="A812" s="46"/>
    </row>
    <row r="813" spans="1:1">
      <c r="A813" s="46"/>
    </row>
    <row r="814" spans="1:1">
      <c r="A814" s="46"/>
    </row>
    <row r="815" spans="1:1">
      <c r="A815" s="46"/>
    </row>
    <row r="816" spans="1:1">
      <c r="A816" s="46"/>
    </row>
    <row r="817" spans="1:1">
      <c r="A817" s="46"/>
    </row>
    <row r="818" spans="1:1">
      <c r="A818" s="46"/>
    </row>
    <row r="819" spans="1:1">
      <c r="A819" s="46"/>
    </row>
    <row r="820" spans="1:1">
      <c r="A820" s="46"/>
    </row>
    <row r="821" spans="1:1">
      <c r="A821" s="46"/>
    </row>
    <row r="822" spans="1:1">
      <c r="A822" s="46"/>
    </row>
    <row r="823" spans="1:1">
      <c r="A823" s="46"/>
    </row>
    <row r="824" spans="1:1">
      <c r="A824" s="46"/>
    </row>
    <row r="825" spans="1:1">
      <c r="A825" s="46"/>
    </row>
    <row r="826" spans="1:1">
      <c r="A826" s="46"/>
    </row>
    <row r="827" spans="1:1">
      <c r="A827" s="46"/>
    </row>
    <row r="828" spans="1:1">
      <c r="A828" s="46"/>
    </row>
    <row r="829" spans="1:1">
      <c r="A829" s="46"/>
    </row>
    <row r="830" spans="1:1">
      <c r="A830" s="46"/>
    </row>
    <row r="831" spans="1:1">
      <c r="A831" s="46"/>
    </row>
    <row r="832" spans="1:1">
      <c r="A832" s="46"/>
    </row>
    <row r="833" spans="1:1">
      <c r="A833" s="46"/>
    </row>
    <row r="834" spans="1:1">
      <c r="A834" s="46"/>
    </row>
    <row r="835" spans="1:1">
      <c r="A835" s="46"/>
    </row>
    <row r="836" spans="1:1">
      <c r="A836" s="46"/>
    </row>
    <row r="837" spans="1:1">
      <c r="A837" s="46"/>
    </row>
    <row r="838" spans="1:1">
      <c r="A838" s="46"/>
    </row>
    <row r="839" spans="1:1">
      <c r="A839" s="46"/>
    </row>
    <row r="840" spans="1:1">
      <c r="A840" s="46"/>
    </row>
    <row r="841" spans="1:1">
      <c r="A841" s="46"/>
    </row>
    <row r="842" spans="1:1">
      <c r="A842" s="46"/>
    </row>
    <row r="843" spans="1:1">
      <c r="A843" s="46"/>
    </row>
    <row r="844" spans="1:1">
      <c r="A844" s="46"/>
    </row>
    <row r="845" spans="1:1">
      <c r="A845" s="46"/>
    </row>
    <row r="846" spans="1:1">
      <c r="A846" s="46"/>
    </row>
    <row r="847" spans="1:1">
      <c r="A847" s="46"/>
    </row>
    <row r="848" spans="1:1">
      <c r="A848" s="46"/>
    </row>
    <row r="849" spans="1:1">
      <c r="A849" s="46"/>
    </row>
    <row r="850" spans="1:1">
      <c r="A850" s="46"/>
    </row>
    <row r="851" spans="1:1">
      <c r="A851" s="46"/>
    </row>
    <row r="852" spans="1:1">
      <c r="A852" s="46"/>
    </row>
    <row r="853" spans="1:1">
      <c r="A853" s="46"/>
    </row>
    <row r="854" spans="1:1">
      <c r="A854" s="46"/>
    </row>
    <row r="855" spans="1:1">
      <c r="A855" s="46"/>
    </row>
    <row r="856" spans="1:1">
      <c r="A856" s="46"/>
    </row>
    <row r="857" spans="1:1">
      <c r="A857" s="46"/>
    </row>
    <row r="858" spans="1:1">
      <c r="A858" s="46"/>
    </row>
    <row r="859" spans="1:1">
      <c r="A859" s="46"/>
    </row>
    <row r="860" spans="1:1">
      <c r="A860" s="46"/>
    </row>
    <row r="861" spans="1:1">
      <c r="A861" s="46"/>
    </row>
    <row r="862" spans="1:1">
      <c r="A862" s="46"/>
    </row>
    <row r="863" spans="1:1">
      <c r="A863" s="46"/>
    </row>
    <row r="864" spans="1:1">
      <c r="A864" s="46"/>
    </row>
    <row r="865" spans="1:1">
      <c r="A865" s="46"/>
    </row>
    <row r="866" spans="1:1">
      <c r="A866" s="46"/>
    </row>
    <row r="867" spans="1:1">
      <c r="A867" s="46"/>
    </row>
    <row r="868" spans="1:1">
      <c r="A868" s="46"/>
    </row>
    <row r="869" spans="1:1">
      <c r="A869" s="46"/>
    </row>
    <row r="870" spans="1:1">
      <c r="A870" s="46"/>
    </row>
    <row r="871" spans="1:1">
      <c r="A871" s="46"/>
    </row>
    <row r="872" spans="1:1">
      <c r="A872" s="46"/>
    </row>
    <row r="873" spans="1:1">
      <c r="A873" s="46"/>
    </row>
    <row r="874" spans="1:1">
      <c r="A874" s="46"/>
    </row>
    <row r="875" spans="1:1">
      <c r="A875" s="46"/>
    </row>
    <row r="876" spans="1:1">
      <c r="A876" s="46"/>
    </row>
    <row r="877" spans="1:1">
      <c r="A877" s="46"/>
    </row>
    <row r="878" spans="1:1">
      <c r="A878" s="46"/>
    </row>
    <row r="879" spans="1:1">
      <c r="A879" s="46"/>
    </row>
    <row r="880" spans="1:1">
      <c r="A880" s="46"/>
    </row>
    <row r="881" spans="1:1">
      <c r="A881" s="46"/>
    </row>
    <row r="882" spans="1:1">
      <c r="A882" s="46"/>
    </row>
    <row r="883" spans="1:1">
      <c r="A883" s="46"/>
    </row>
    <row r="884" spans="1:1">
      <c r="A884" s="46"/>
    </row>
    <row r="885" spans="1:1">
      <c r="A885" s="46"/>
    </row>
    <row r="886" spans="1:1">
      <c r="A886" s="46"/>
    </row>
    <row r="887" spans="1:1">
      <c r="A887" s="46"/>
    </row>
    <row r="888" spans="1:1">
      <c r="A888" s="46"/>
    </row>
    <row r="889" spans="1:1">
      <c r="A889" s="46"/>
    </row>
    <row r="890" spans="1:1">
      <c r="A890" s="46"/>
    </row>
    <row r="891" spans="1:1">
      <c r="A891" s="46"/>
    </row>
    <row r="892" spans="1:1">
      <c r="A892" s="46"/>
    </row>
    <row r="893" spans="1:1">
      <c r="A893" s="46"/>
    </row>
    <row r="894" spans="1:1">
      <c r="A894" s="46"/>
    </row>
    <row r="895" spans="1:1">
      <c r="A895" s="46"/>
    </row>
    <row r="896" spans="1:1">
      <c r="A896" s="46"/>
    </row>
    <row r="897" spans="1:1">
      <c r="A897" s="46"/>
    </row>
    <row r="898" spans="1:1">
      <c r="A898" s="46"/>
    </row>
    <row r="899" spans="1:1">
      <c r="A899" s="46"/>
    </row>
    <row r="900" spans="1:1">
      <c r="A900" s="46"/>
    </row>
    <row r="901" spans="1:1">
      <c r="A901" s="46"/>
    </row>
    <row r="902" spans="1:1">
      <c r="A902" s="46"/>
    </row>
    <row r="903" spans="1:1">
      <c r="A903" s="46"/>
    </row>
    <row r="904" spans="1:1">
      <c r="A904" s="46"/>
    </row>
    <row r="905" spans="1:1">
      <c r="A905" s="46"/>
    </row>
    <row r="906" spans="1:1">
      <c r="A906" s="46"/>
    </row>
    <row r="907" spans="1:1">
      <c r="A907" s="46"/>
    </row>
    <row r="908" spans="1:1">
      <c r="A908" s="46"/>
    </row>
    <row r="909" spans="1:1">
      <c r="A909" s="46"/>
    </row>
    <row r="910" spans="1:1">
      <c r="A910" s="46"/>
    </row>
    <row r="911" spans="1:1">
      <c r="A911" s="46"/>
    </row>
    <row r="912" spans="1:1">
      <c r="A912" s="46"/>
    </row>
    <row r="913" spans="1:1">
      <c r="A913" s="46"/>
    </row>
    <row r="914" spans="1:1">
      <c r="A914" s="46"/>
    </row>
    <row r="915" spans="1:1">
      <c r="A915" s="46"/>
    </row>
    <row r="916" spans="1:1">
      <c r="A916" s="46"/>
    </row>
    <row r="917" spans="1:1">
      <c r="A917" s="46"/>
    </row>
    <row r="918" spans="1:1">
      <c r="A918" s="46"/>
    </row>
    <row r="919" spans="1:1">
      <c r="A919" s="46"/>
    </row>
    <row r="920" spans="1:1">
      <c r="A920" s="46"/>
    </row>
    <row r="921" spans="1:1">
      <c r="A921" s="46"/>
    </row>
    <row r="922" spans="1:1">
      <c r="A922" s="46"/>
    </row>
    <row r="923" spans="1:1">
      <c r="A923" s="46"/>
    </row>
    <row r="924" spans="1:1">
      <c r="A924" s="46"/>
    </row>
    <row r="925" spans="1:1">
      <c r="A925" s="46"/>
    </row>
    <row r="926" spans="1:1">
      <c r="A926" s="46"/>
    </row>
    <row r="927" spans="1:1">
      <c r="A927" s="46"/>
    </row>
    <row r="928" spans="1:1">
      <c r="A928" s="46"/>
    </row>
    <row r="929" spans="1:1">
      <c r="A929" s="46"/>
    </row>
    <row r="930" spans="1:1">
      <c r="A930" s="46"/>
    </row>
    <row r="931" spans="1:1">
      <c r="A931" s="46"/>
    </row>
    <row r="932" spans="1:1">
      <c r="A932" s="46"/>
    </row>
    <row r="933" spans="1:1">
      <c r="A933" s="46"/>
    </row>
    <row r="934" spans="1:1">
      <c r="A934" s="46"/>
    </row>
    <row r="935" spans="1:1">
      <c r="A935" s="46"/>
    </row>
    <row r="936" spans="1:1">
      <c r="A936" s="46"/>
    </row>
    <row r="937" spans="1:1">
      <c r="A937" s="46"/>
    </row>
    <row r="938" spans="1:1">
      <c r="A938" s="46"/>
    </row>
    <row r="939" spans="1:1">
      <c r="A939" s="46"/>
    </row>
    <row r="940" spans="1:1">
      <c r="A940" s="46"/>
    </row>
    <row r="941" spans="1:1">
      <c r="A941" s="46"/>
    </row>
    <row r="942" spans="1:1">
      <c r="A942" s="46"/>
    </row>
    <row r="943" spans="1:1">
      <c r="A943" s="46"/>
    </row>
    <row r="944" spans="1:1">
      <c r="A944" s="46"/>
    </row>
    <row r="945" spans="1:1">
      <c r="A945" s="46"/>
    </row>
    <row r="946" spans="1:1">
      <c r="A946" s="46"/>
    </row>
    <row r="947" spans="1:1">
      <c r="A947" s="46"/>
    </row>
    <row r="948" spans="1:1">
      <c r="A948" s="46"/>
    </row>
    <row r="949" spans="1:1">
      <c r="A949" s="46"/>
    </row>
    <row r="950" spans="1:1">
      <c r="A950" s="46"/>
    </row>
    <row r="951" spans="1:1">
      <c r="A951" s="46"/>
    </row>
    <row r="952" spans="1:1">
      <c r="A952" s="46"/>
    </row>
    <row r="953" spans="1:1">
      <c r="A953" s="46"/>
    </row>
    <row r="954" spans="1:1">
      <c r="A954" s="46"/>
    </row>
    <row r="955" spans="1:1">
      <c r="A955" s="46"/>
    </row>
    <row r="956" spans="1:1">
      <c r="A956" s="46"/>
    </row>
    <row r="957" spans="1:1">
      <c r="A957" s="46"/>
    </row>
    <row r="958" spans="1:1">
      <c r="A958" s="46"/>
    </row>
    <row r="959" spans="1:1">
      <c r="A959" s="46"/>
    </row>
    <row r="960" spans="1:1">
      <c r="A960" s="46"/>
    </row>
    <row r="961" spans="1:1">
      <c r="A961" s="46"/>
    </row>
    <row r="962" spans="1:1">
      <c r="A962" s="46"/>
    </row>
    <row r="963" spans="1:1">
      <c r="A963" s="46"/>
    </row>
    <row r="964" spans="1:1">
      <c r="A964" s="46"/>
    </row>
    <row r="965" spans="1:1">
      <c r="A965" s="46"/>
    </row>
    <row r="966" spans="1:1">
      <c r="A966" s="46"/>
    </row>
    <row r="967" spans="1:1">
      <c r="A967" s="46"/>
    </row>
    <row r="968" spans="1:1">
      <c r="A968" s="46"/>
    </row>
    <row r="969" spans="1:1">
      <c r="A969" s="46"/>
    </row>
    <row r="970" spans="1:1">
      <c r="A970" s="46"/>
    </row>
    <row r="971" spans="1:1">
      <c r="A971" s="46"/>
    </row>
    <row r="972" spans="1:1">
      <c r="A972" s="46"/>
    </row>
    <row r="973" spans="1:1">
      <c r="A973" s="46"/>
    </row>
    <row r="974" spans="1:1">
      <c r="A974" s="46"/>
    </row>
    <row r="975" spans="1:1">
      <c r="A975" s="46"/>
    </row>
    <row r="976" spans="1:1">
      <c r="A976" s="46"/>
    </row>
    <row r="977" spans="1:1">
      <c r="A977" s="46"/>
    </row>
    <row r="978" spans="1:1">
      <c r="A978" s="46"/>
    </row>
    <row r="979" spans="1:1">
      <c r="A979" s="46"/>
    </row>
    <row r="980" spans="1:1">
      <c r="A980" s="46"/>
    </row>
    <row r="981" spans="1:1">
      <c r="A981" s="46"/>
    </row>
    <row r="982" spans="1:1">
      <c r="A982" s="46"/>
    </row>
    <row r="983" spans="1:1">
      <c r="A983" s="46"/>
    </row>
    <row r="984" spans="1:1">
      <c r="A984" s="46"/>
    </row>
    <row r="985" spans="1:1">
      <c r="A985" s="46"/>
    </row>
    <row r="986" spans="1:1">
      <c r="A986" s="46"/>
    </row>
    <row r="987" spans="1:1">
      <c r="A987" s="46"/>
    </row>
    <row r="988" spans="1:1">
      <c r="A988" s="46"/>
    </row>
    <row r="989" spans="1:1">
      <c r="A989" s="46"/>
    </row>
    <row r="990" spans="1:1">
      <c r="A990" s="46"/>
    </row>
    <row r="991" spans="1:1">
      <c r="A991" s="46"/>
    </row>
    <row r="992" spans="1:1">
      <c r="A992" s="46"/>
    </row>
    <row r="993" spans="1:1">
      <c r="A993" s="46"/>
    </row>
    <row r="994" spans="1:1">
      <c r="A994" s="46"/>
    </row>
    <row r="995" spans="1:1">
      <c r="A995" s="46"/>
    </row>
    <row r="996" spans="1:1">
      <c r="A996" s="46"/>
    </row>
    <row r="997" spans="1:1">
      <c r="A997" s="46"/>
    </row>
    <row r="998" spans="1:1">
      <c r="A998" s="46"/>
    </row>
    <row r="999" spans="1:1">
      <c r="A999" s="46"/>
    </row>
    <row r="1000" spans="1:1">
      <c r="A1000" s="46"/>
    </row>
    <row r="1001" spans="1:1">
      <c r="A1001" s="46"/>
    </row>
    <row r="1002" spans="1:1">
      <c r="A1002" s="46"/>
    </row>
    <row r="1003" spans="1:1">
      <c r="A1003" s="46"/>
    </row>
    <row r="1004" spans="1:1">
      <c r="A1004" s="46"/>
    </row>
    <row r="1005" spans="1:1">
      <c r="A1005" s="46"/>
    </row>
    <row r="1006" spans="1:1">
      <c r="A1006" s="46"/>
    </row>
    <row r="1007" spans="1:1">
      <c r="A1007" s="46"/>
    </row>
    <row r="1008" spans="1:1">
      <c r="A1008" s="46"/>
    </row>
    <row r="1009" spans="1:1">
      <c r="A1009" s="46"/>
    </row>
    <row r="1010" spans="1:1">
      <c r="A1010" s="46"/>
    </row>
    <row r="1011" spans="1:1">
      <c r="A1011" s="46"/>
    </row>
    <row r="1012" spans="1:1">
      <c r="A1012" s="46"/>
    </row>
    <row r="1013" spans="1:1">
      <c r="A1013" s="46"/>
    </row>
    <row r="1014" spans="1:1">
      <c r="A1014" s="46"/>
    </row>
    <row r="1015" spans="1:1">
      <c r="A1015" s="46"/>
    </row>
    <row r="1016" spans="1:1">
      <c r="A1016" s="46"/>
    </row>
    <row r="1017" spans="1:1">
      <c r="A1017" s="46"/>
    </row>
    <row r="1018" spans="1:1">
      <c r="A1018" s="46"/>
    </row>
    <row r="1019" spans="1:1">
      <c r="A1019" s="46"/>
    </row>
    <row r="1020" spans="1:1">
      <c r="A1020" s="46"/>
    </row>
    <row r="1021" spans="1:1">
      <c r="A1021" s="46"/>
    </row>
    <row r="1022" spans="1:1">
      <c r="A1022" s="46"/>
    </row>
    <row r="1023" spans="1:1">
      <c r="A1023" s="46"/>
    </row>
    <row r="1024" spans="1:1">
      <c r="A1024" s="46"/>
    </row>
    <row r="1025" spans="1:1">
      <c r="A1025" s="46"/>
    </row>
    <row r="1026" spans="1:1">
      <c r="A1026" s="46"/>
    </row>
    <row r="1027" spans="1:1">
      <c r="A1027" s="46"/>
    </row>
    <row r="1028" spans="1:1">
      <c r="A1028" s="46"/>
    </row>
    <row r="1029" spans="1:1">
      <c r="A1029" s="46"/>
    </row>
    <row r="1030" spans="1:1">
      <c r="A1030" s="46"/>
    </row>
    <row r="1031" spans="1:1">
      <c r="A1031" s="46"/>
    </row>
    <row r="1032" spans="1:1">
      <c r="A1032" s="46"/>
    </row>
    <row r="1033" spans="1:1">
      <c r="A1033" s="46"/>
    </row>
    <row r="1034" spans="1:1">
      <c r="A1034" s="46"/>
    </row>
    <row r="1035" spans="1:1">
      <c r="A1035" s="46"/>
    </row>
    <row r="1036" spans="1:1">
      <c r="A1036" s="46"/>
    </row>
    <row r="1037" spans="1:1">
      <c r="A1037" s="46"/>
    </row>
    <row r="1038" spans="1:1">
      <c r="A1038" s="46"/>
    </row>
    <row r="1039" spans="1:1">
      <c r="A1039" s="46"/>
    </row>
    <row r="1040" spans="1:1">
      <c r="A1040" s="46"/>
    </row>
    <row r="1041" spans="1:1">
      <c r="A1041" s="46"/>
    </row>
    <row r="1042" spans="1:1">
      <c r="A1042" s="46"/>
    </row>
    <row r="1043" spans="1:1">
      <c r="A1043" s="46"/>
    </row>
    <row r="1044" spans="1:1">
      <c r="A1044" s="46"/>
    </row>
    <row r="1045" spans="1:1">
      <c r="A1045" s="46"/>
    </row>
    <row r="1046" spans="1:1">
      <c r="A1046" s="46"/>
    </row>
    <row r="1047" spans="1:1">
      <c r="A1047" s="46"/>
    </row>
    <row r="1048" spans="1:1">
      <c r="A1048" s="46"/>
    </row>
    <row r="1049" spans="1:1">
      <c r="A1049" s="46"/>
    </row>
    <row r="1050" spans="1:1">
      <c r="A1050" s="46"/>
    </row>
    <row r="1051" spans="1:1">
      <c r="A1051" s="46"/>
    </row>
    <row r="1052" spans="1:1">
      <c r="A1052" s="46"/>
    </row>
    <row r="1053" spans="1:1">
      <c r="A1053" s="46"/>
    </row>
    <row r="1054" spans="1:1">
      <c r="A1054" s="46"/>
    </row>
    <row r="1055" spans="1:1">
      <c r="A1055" s="46"/>
    </row>
    <row r="1056" spans="1:1">
      <c r="A1056" s="46"/>
    </row>
    <row r="1057" spans="1:1">
      <c r="A1057" s="46"/>
    </row>
    <row r="1058" spans="1:1">
      <c r="A1058" s="46"/>
    </row>
    <row r="1059" spans="1:1">
      <c r="A1059" s="46"/>
    </row>
    <row r="1060" spans="1:1">
      <c r="A1060" s="46"/>
    </row>
    <row r="1061" spans="1:1">
      <c r="A1061" s="46"/>
    </row>
    <row r="1062" spans="1:1">
      <c r="A1062" s="46"/>
    </row>
    <row r="1063" spans="1:1">
      <c r="A1063" s="46"/>
    </row>
    <row r="1064" spans="1:1">
      <c r="A1064" s="46"/>
    </row>
    <row r="1065" spans="1:1">
      <c r="A1065" s="46"/>
    </row>
    <row r="1066" spans="1:1">
      <c r="A1066" s="46"/>
    </row>
    <row r="1067" spans="1:1">
      <c r="A1067" s="46"/>
    </row>
    <row r="1068" spans="1:1">
      <c r="A1068" s="46"/>
    </row>
    <row r="1069" spans="1:1">
      <c r="A1069" s="46"/>
    </row>
    <row r="1070" spans="1:1">
      <c r="A1070" s="46"/>
    </row>
    <row r="1071" spans="1:1">
      <c r="A1071" s="46"/>
    </row>
    <row r="1072" spans="1:1">
      <c r="A1072" s="46"/>
    </row>
    <row r="1073" spans="1:1">
      <c r="A1073" s="46"/>
    </row>
    <row r="1074" spans="1:1">
      <c r="A1074" s="46"/>
    </row>
    <row r="1075" spans="1:1">
      <c r="A1075" s="46"/>
    </row>
    <row r="1076" spans="1:1">
      <c r="A1076" s="46"/>
    </row>
    <row r="1077" spans="1:1">
      <c r="A1077" s="46"/>
    </row>
    <row r="1078" spans="1:1">
      <c r="A1078" s="46"/>
    </row>
    <row r="1079" spans="1:1">
      <c r="A1079" s="46"/>
    </row>
    <row r="1080" spans="1:1">
      <c r="A1080" s="46"/>
    </row>
    <row r="1081" spans="1:1">
      <c r="A1081" s="46"/>
    </row>
    <row r="1082" spans="1:1">
      <c r="A1082" s="46"/>
    </row>
    <row r="1083" spans="1:1">
      <c r="A1083" s="46"/>
    </row>
    <row r="1084" spans="1:1">
      <c r="A1084" s="46"/>
    </row>
    <row r="1085" spans="1:1">
      <c r="A1085" s="46"/>
    </row>
    <row r="1086" spans="1:1">
      <c r="A1086" s="46"/>
    </row>
    <row r="1087" spans="1:1">
      <c r="A1087" s="46"/>
    </row>
    <row r="1088" spans="1:1">
      <c r="A1088" s="46"/>
    </row>
    <row r="1089" spans="1:1">
      <c r="A1089" s="46"/>
    </row>
    <row r="1090" spans="1:1">
      <c r="A1090" s="46"/>
    </row>
    <row r="1091" spans="1:1">
      <c r="A1091" s="46"/>
    </row>
    <row r="1092" spans="1:1">
      <c r="A1092" s="46"/>
    </row>
    <row r="1093" spans="1:1">
      <c r="A1093" s="46"/>
    </row>
    <row r="1094" spans="1:1">
      <c r="A1094" s="46"/>
    </row>
    <row r="1095" spans="1:1">
      <c r="A1095" s="46"/>
    </row>
    <row r="1096" spans="1:1">
      <c r="A1096" s="46"/>
    </row>
    <row r="1097" spans="1:1">
      <c r="A1097" s="46"/>
    </row>
    <row r="1098" spans="1:1">
      <c r="A1098" s="46"/>
    </row>
    <row r="1099" spans="1:1">
      <c r="A1099" s="46"/>
    </row>
    <row r="1100" spans="1:1">
      <c r="A1100" s="46"/>
    </row>
    <row r="1101" spans="1:1">
      <c r="A1101" s="46"/>
    </row>
    <row r="1102" spans="1:1">
      <c r="A1102" s="46"/>
    </row>
    <row r="1103" spans="1:1">
      <c r="A1103" s="46"/>
    </row>
    <row r="1104" spans="1:1">
      <c r="A1104" s="46"/>
    </row>
    <row r="1105" spans="1:1">
      <c r="A1105" s="46"/>
    </row>
    <row r="1106" spans="1:1">
      <c r="A1106" s="46"/>
    </row>
    <row r="1107" spans="1:1">
      <c r="A1107" s="46"/>
    </row>
    <row r="1108" spans="1:1">
      <c r="A1108" s="46"/>
    </row>
    <row r="1109" spans="1:1">
      <c r="A1109" s="46"/>
    </row>
    <row r="1110" spans="1:1">
      <c r="A1110" s="46"/>
    </row>
    <row r="1111" spans="1:1">
      <c r="A1111" s="46"/>
    </row>
    <row r="1112" spans="1:1">
      <c r="A1112" s="46"/>
    </row>
    <row r="1113" spans="1:1">
      <c r="A1113" s="46"/>
    </row>
    <row r="1114" spans="1:1">
      <c r="A1114" s="46"/>
    </row>
    <row r="1115" spans="1:1">
      <c r="A1115" s="46"/>
    </row>
    <row r="1116" spans="1:1">
      <c r="A1116" s="46"/>
    </row>
    <row r="1117" spans="1:1">
      <c r="A1117" s="46"/>
    </row>
    <row r="1118" spans="1:1">
      <c r="A1118" s="46"/>
    </row>
    <row r="1119" spans="1:1">
      <c r="A1119" s="46"/>
    </row>
    <row r="1120" spans="1:1">
      <c r="A1120" s="46"/>
    </row>
    <row r="1121" spans="1:1">
      <c r="A1121" s="46"/>
    </row>
    <row r="1122" spans="1:1">
      <c r="A1122" s="46"/>
    </row>
    <row r="1123" spans="1:1">
      <c r="A1123" s="46"/>
    </row>
    <row r="1124" spans="1:1">
      <c r="A1124" s="46"/>
    </row>
    <row r="1125" spans="1:1">
      <c r="A1125" s="46"/>
    </row>
    <row r="1126" spans="1:1">
      <c r="A1126" s="46"/>
    </row>
    <row r="1127" spans="1:1">
      <c r="A1127" s="46"/>
    </row>
    <row r="1128" spans="1:1">
      <c r="A1128" s="46"/>
    </row>
    <row r="1129" spans="1:1">
      <c r="A1129" s="46"/>
    </row>
    <row r="1130" spans="1:1">
      <c r="A1130" s="46"/>
    </row>
    <row r="1131" spans="1:1">
      <c r="A1131" s="46"/>
    </row>
    <row r="1132" spans="1:1">
      <c r="A1132" s="46"/>
    </row>
    <row r="1133" spans="1:1">
      <c r="A1133" s="46"/>
    </row>
    <row r="1134" spans="1:1">
      <c r="A1134" s="46"/>
    </row>
    <row r="1135" spans="1:1">
      <c r="A1135" s="46"/>
    </row>
    <row r="1136" spans="1:1">
      <c r="A1136" s="46"/>
    </row>
    <row r="1137" spans="1:1">
      <c r="A1137" s="46"/>
    </row>
    <row r="1138" spans="1:1">
      <c r="A1138" s="46"/>
    </row>
    <row r="1139" spans="1:1">
      <c r="A1139" s="46"/>
    </row>
    <row r="1140" spans="1:1">
      <c r="A1140" s="46"/>
    </row>
    <row r="1141" spans="1:1">
      <c r="A1141" s="46"/>
    </row>
    <row r="1142" spans="1:1">
      <c r="A1142" s="46"/>
    </row>
    <row r="1143" spans="1:1">
      <c r="A1143" s="46"/>
    </row>
    <row r="1144" spans="1:1">
      <c r="A1144" s="46"/>
    </row>
    <row r="1145" spans="1:1">
      <c r="A1145" s="46"/>
    </row>
    <row r="1146" spans="1:1">
      <c r="A1146" s="46"/>
    </row>
    <row r="1147" spans="1:1">
      <c r="A1147" s="46"/>
    </row>
    <row r="1148" spans="1:1">
      <c r="A1148" s="46"/>
    </row>
    <row r="1149" spans="1:1">
      <c r="A1149" s="46"/>
    </row>
    <row r="1150" spans="1:1">
      <c r="A1150" s="46"/>
    </row>
    <row r="1151" spans="1:1">
      <c r="A1151" s="46"/>
    </row>
    <row r="1152" spans="1:1">
      <c r="A1152" s="46"/>
    </row>
    <row r="1153" spans="1:1">
      <c r="A1153" s="46"/>
    </row>
    <row r="1154" spans="1:1">
      <c r="A1154" s="46"/>
    </row>
    <row r="1155" spans="1:1">
      <c r="A1155" s="46"/>
    </row>
    <row r="1156" spans="1:1">
      <c r="A1156" s="46"/>
    </row>
    <row r="1157" spans="1:1">
      <c r="A1157" s="46"/>
    </row>
    <row r="1158" spans="1:1">
      <c r="A1158" s="46"/>
    </row>
    <row r="1159" spans="1:1">
      <c r="A1159" s="46"/>
    </row>
    <row r="1160" spans="1:1">
      <c r="A1160" s="46"/>
    </row>
    <row r="1161" spans="1:1">
      <c r="A1161" s="46"/>
    </row>
    <row r="1162" spans="1:1">
      <c r="A1162" s="46"/>
    </row>
    <row r="1163" spans="1:1">
      <c r="A1163" s="46"/>
    </row>
    <row r="1164" spans="1:1">
      <c r="A1164" s="46"/>
    </row>
    <row r="1165" spans="1:1">
      <c r="A1165" s="46"/>
    </row>
    <row r="1166" spans="1:1">
      <c r="A1166" s="46"/>
    </row>
    <row r="1167" spans="1:1">
      <c r="A1167" s="46"/>
    </row>
    <row r="1168" spans="1:1">
      <c r="A1168" s="46"/>
    </row>
    <row r="1169" spans="1:1">
      <c r="A1169" s="46"/>
    </row>
    <row r="1170" spans="1:1">
      <c r="A1170" s="46"/>
    </row>
    <row r="1171" spans="1:1">
      <c r="A1171" s="46"/>
    </row>
    <row r="1172" spans="1:1">
      <c r="A1172" s="46"/>
    </row>
    <row r="1173" spans="1:1">
      <c r="A1173" s="46"/>
    </row>
    <row r="1174" spans="1:1">
      <c r="A1174" s="46"/>
    </row>
    <row r="1175" spans="1:1">
      <c r="A1175" s="46"/>
    </row>
    <row r="1176" spans="1:1">
      <c r="A1176" s="46"/>
    </row>
    <row r="1177" spans="1:1">
      <c r="A1177" s="46"/>
    </row>
    <row r="1178" spans="1:1">
      <c r="A1178" s="46"/>
    </row>
    <row r="1179" spans="1:1">
      <c r="A1179" s="46"/>
    </row>
    <row r="1180" spans="1:1">
      <c r="A1180" s="46"/>
    </row>
    <row r="1181" spans="1:1">
      <c r="A1181" s="46"/>
    </row>
    <row r="1182" spans="1:1">
      <c r="A1182" s="46"/>
    </row>
    <row r="1183" spans="1:1">
      <c r="A1183" s="46"/>
    </row>
    <row r="1184" spans="1:1">
      <c r="A1184" s="46"/>
    </row>
    <row r="1185" spans="1:1">
      <c r="A1185" s="46"/>
    </row>
    <row r="1186" spans="1:1">
      <c r="A1186" s="46"/>
    </row>
    <row r="1187" spans="1:1">
      <c r="A1187" s="46"/>
    </row>
    <row r="1188" spans="1:1">
      <c r="A1188" s="46"/>
    </row>
    <row r="1189" spans="1:1">
      <c r="A1189" s="46"/>
    </row>
    <row r="1190" spans="1:1">
      <c r="A1190" s="46"/>
    </row>
    <row r="1191" spans="1:1">
      <c r="A1191" s="46"/>
    </row>
    <row r="1192" spans="1:1">
      <c r="A1192" s="46"/>
    </row>
    <row r="1193" spans="1:1">
      <c r="A1193" s="46"/>
    </row>
    <row r="1194" spans="1:1">
      <c r="A1194" s="46"/>
    </row>
    <row r="1195" spans="1:1">
      <c r="A1195" s="46"/>
    </row>
    <row r="1196" spans="1:1">
      <c r="A1196" s="46"/>
    </row>
    <row r="1197" spans="1:1">
      <c r="A1197" s="46"/>
    </row>
    <row r="1198" spans="1:1">
      <c r="A1198" s="46"/>
    </row>
    <row r="1199" spans="1:1">
      <c r="A1199" s="46"/>
    </row>
    <row r="1200" spans="1:1">
      <c r="A1200" s="46"/>
    </row>
    <row r="1201" spans="1:1">
      <c r="A1201" s="46"/>
    </row>
    <row r="1202" spans="1:1">
      <c r="A1202" s="46"/>
    </row>
    <row r="1203" spans="1:1">
      <c r="A1203" s="46"/>
    </row>
    <row r="1204" spans="1:1">
      <c r="A1204" s="46"/>
    </row>
    <row r="1205" spans="1:1">
      <c r="A1205" s="46"/>
    </row>
    <row r="1206" spans="1:1">
      <c r="A1206" s="46"/>
    </row>
    <row r="1207" spans="1:1">
      <c r="A1207" s="46"/>
    </row>
    <row r="1208" spans="1:1">
      <c r="A1208" s="46"/>
    </row>
    <row r="1209" spans="1:1">
      <c r="A1209" s="46"/>
    </row>
    <row r="1210" spans="1:1">
      <c r="A1210" s="46"/>
    </row>
    <row r="1211" spans="1:1">
      <c r="A1211" s="46"/>
    </row>
    <row r="1212" spans="1:1">
      <c r="A1212" s="46"/>
    </row>
    <row r="1213" spans="1:1">
      <c r="A1213" s="46"/>
    </row>
    <row r="1214" spans="1:1">
      <c r="A1214" s="46"/>
    </row>
    <row r="1215" spans="1:1">
      <c r="A1215" s="46"/>
    </row>
    <row r="1216" spans="1:1">
      <c r="A1216" s="46"/>
    </row>
    <row r="1217" spans="1:1">
      <c r="A1217" s="46"/>
    </row>
    <row r="1218" spans="1:1">
      <c r="A1218" s="46"/>
    </row>
    <row r="1219" spans="1:1">
      <c r="A1219" s="46"/>
    </row>
    <row r="1220" spans="1:1">
      <c r="A1220" s="46"/>
    </row>
    <row r="1221" spans="1:1">
      <c r="A1221" s="46"/>
    </row>
    <row r="1222" spans="1:1">
      <c r="A1222" s="46"/>
    </row>
    <row r="1223" spans="1:1">
      <c r="A1223" s="46"/>
    </row>
    <row r="1224" spans="1:1">
      <c r="A1224" s="46"/>
    </row>
    <row r="1225" spans="1:1">
      <c r="A1225" s="46"/>
    </row>
    <row r="1226" spans="1:1">
      <c r="A1226" s="46"/>
    </row>
    <row r="1227" spans="1:1">
      <c r="A1227" s="46"/>
    </row>
    <row r="1228" spans="1:1">
      <c r="A1228" s="46"/>
    </row>
    <row r="1229" spans="1:1">
      <c r="A1229" s="46"/>
    </row>
    <row r="1230" spans="1:1">
      <c r="A1230" s="46"/>
    </row>
    <row r="1231" spans="1:1">
      <c r="A1231" s="46"/>
    </row>
    <row r="1232" spans="1:1">
      <c r="A1232" s="46"/>
    </row>
    <row r="1233" spans="1:1">
      <c r="A1233" s="46"/>
    </row>
    <row r="1234" spans="1:1">
      <c r="A1234" s="46"/>
    </row>
    <row r="1235" spans="1:1">
      <c r="A1235" s="46"/>
    </row>
    <row r="1236" spans="1:1">
      <c r="A1236" s="46"/>
    </row>
    <row r="1237" spans="1:1">
      <c r="A1237" s="46"/>
    </row>
    <row r="1238" spans="1:1">
      <c r="A1238" s="46"/>
    </row>
    <row r="1239" spans="1:1">
      <c r="A1239" s="46"/>
    </row>
    <row r="1240" spans="1:1">
      <c r="A1240" s="46"/>
    </row>
    <row r="1241" spans="1:1">
      <c r="A1241" s="46"/>
    </row>
    <row r="1242" spans="1:1">
      <c r="A1242" s="46"/>
    </row>
    <row r="1243" spans="1:1">
      <c r="A1243" s="46"/>
    </row>
    <row r="1244" spans="1:1">
      <c r="A1244" s="46"/>
    </row>
    <row r="1245" spans="1:1">
      <c r="A1245" s="46"/>
    </row>
    <row r="1246" spans="1:1">
      <c r="A1246" s="46"/>
    </row>
    <row r="1247" spans="1:1">
      <c r="A1247" s="46"/>
    </row>
    <row r="1248" spans="1:1">
      <c r="A1248" s="46"/>
    </row>
    <row r="1249" spans="1:1">
      <c r="A1249" s="46"/>
    </row>
    <row r="1250" spans="1:1">
      <c r="A1250" s="46"/>
    </row>
    <row r="1251" spans="1:1">
      <c r="A1251" s="46"/>
    </row>
    <row r="1252" spans="1:1">
      <c r="A1252" s="46"/>
    </row>
    <row r="1253" spans="1:1">
      <c r="A1253" s="46"/>
    </row>
    <row r="1254" spans="1:1">
      <c r="A1254" s="46"/>
    </row>
    <row r="1255" spans="1:1">
      <c r="A1255" s="46"/>
    </row>
    <row r="1256" spans="1:1">
      <c r="A1256" s="46"/>
    </row>
    <row r="1257" spans="1:1">
      <c r="A1257" s="46"/>
    </row>
    <row r="1258" spans="1:1">
      <c r="A1258" s="46"/>
    </row>
    <row r="1259" spans="1:1">
      <c r="A1259" s="46"/>
    </row>
    <row r="1260" spans="1:1">
      <c r="A1260" s="46"/>
    </row>
    <row r="1261" spans="1:1">
      <c r="A1261" s="46"/>
    </row>
    <row r="1262" spans="1:1">
      <c r="A1262" s="46"/>
    </row>
    <row r="1263" spans="1:1">
      <c r="A1263" s="46"/>
    </row>
    <row r="1264" spans="1:1">
      <c r="A1264" s="46"/>
    </row>
    <row r="1265" spans="1:1">
      <c r="A1265" s="46"/>
    </row>
    <row r="1266" spans="1:1">
      <c r="A1266" s="46"/>
    </row>
    <row r="1267" spans="1:1">
      <c r="A1267" s="46"/>
    </row>
    <row r="1268" spans="1:1">
      <c r="A1268" s="46"/>
    </row>
    <row r="1269" spans="1:1">
      <c r="A1269" s="46"/>
    </row>
    <row r="1270" spans="1:1">
      <c r="A1270" s="46"/>
    </row>
    <row r="1271" spans="1:1">
      <c r="A1271" s="46"/>
    </row>
    <row r="1272" spans="1:1">
      <c r="A1272" s="46"/>
    </row>
    <row r="1273" spans="1:1">
      <c r="A1273" s="46"/>
    </row>
    <row r="1274" spans="1:1">
      <c r="A1274" s="46"/>
    </row>
    <row r="1275" spans="1:1">
      <c r="A1275" s="46"/>
    </row>
    <row r="1276" spans="1:1">
      <c r="A1276" s="46"/>
    </row>
    <row r="1277" spans="1:1">
      <c r="A1277" s="46"/>
    </row>
    <row r="1278" spans="1:1">
      <c r="A1278" s="46"/>
    </row>
    <row r="1279" spans="1:1">
      <c r="A1279" s="46"/>
    </row>
    <row r="1280" spans="1:1">
      <c r="A1280" s="46"/>
    </row>
    <row r="1281" spans="1:1">
      <c r="A1281" s="46"/>
    </row>
    <row r="1282" spans="1:1">
      <c r="A1282" s="46"/>
    </row>
    <row r="1283" spans="1:1">
      <c r="A1283" s="46"/>
    </row>
    <row r="1284" spans="1:1">
      <c r="A1284" s="46"/>
    </row>
    <row r="1285" spans="1:1">
      <c r="A1285" s="46"/>
    </row>
    <row r="1286" spans="1:1">
      <c r="A1286" s="46"/>
    </row>
    <row r="1287" spans="1:1">
      <c r="A1287" s="46"/>
    </row>
    <row r="1288" spans="1:1">
      <c r="A1288" s="46"/>
    </row>
    <row r="1289" spans="1:1">
      <c r="A1289" s="46"/>
    </row>
    <row r="1290" spans="1:1">
      <c r="A1290" s="46"/>
    </row>
    <row r="1291" spans="1:1">
      <c r="A1291" s="46"/>
    </row>
    <row r="1292" spans="1:1">
      <c r="A1292" s="46"/>
    </row>
    <row r="1293" spans="1:1">
      <c r="A1293" s="46"/>
    </row>
    <row r="1294" spans="1:1">
      <c r="A1294" s="46"/>
    </row>
    <row r="1295" spans="1:1">
      <c r="A1295" s="46"/>
    </row>
    <row r="1296" spans="1:1">
      <c r="A1296" s="46"/>
    </row>
    <row r="1297" spans="1:1">
      <c r="A1297" s="46"/>
    </row>
    <row r="1298" spans="1:1">
      <c r="A1298" s="46"/>
    </row>
    <row r="1299" spans="1:1">
      <c r="A1299" s="46"/>
    </row>
    <row r="1300" spans="1:1">
      <c r="A1300" s="46"/>
    </row>
    <row r="1301" spans="1:1">
      <c r="A1301" s="46"/>
    </row>
    <row r="1302" spans="1:1">
      <c r="A1302" s="46"/>
    </row>
    <row r="1303" spans="1:1">
      <c r="A1303" s="46"/>
    </row>
    <row r="1304" spans="1:1">
      <c r="A1304" s="46"/>
    </row>
    <row r="1305" spans="1:1">
      <c r="A1305" s="46"/>
    </row>
    <row r="1306" spans="1:1">
      <c r="A1306" s="46"/>
    </row>
    <row r="1307" spans="1:1">
      <c r="A1307" s="46"/>
    </row>
    <row r="1308" spans="1:1">
      <c r="A1308" s="46"/>
    </row>
    <row r="1309" spans="1:1">
      <c r="A1309" s="46"/>
    </row>
    <row r="1310" spans="1:1">
      <c r="A1310" s="46"/>
    </row>
    <row r="1311" spans="1:1">
      <c r="A1311" s="46"/>
    </row>
    <row r="1312" spans="1:1">
      <c r="A1312" s="46"/>
    </row>
    <row r="1313" spans="1:1">
      <c r="A1313" s="46"/>
    </row>
    <row r="1314" spans="1:1">
      <c r="A1314" s="46"/>
    </row>
    <row r="1315" spans="1:1">
      <c r="A1315" s="46"/>
    </row>
    <row r="1316" spans="1:1">
      <c r="A1316" s="46"/>
    </row>
    <row r="1317" spans="1:1">
      <c r="A1317" s="46"/>
    </row>
    <row r="1318" spans="1:1">
      <c r="A1318" s="46"/>
    </row>
    <row r="1319" spans="1:1">
      <c r="A1319" s="46"/>
    </row>
    <row r="1320" spans="1:1">
      <c r="A1320" s="46"/>
    </row>
    <row r="1321" spans="1:1">
      <c r="A1321" s="46"/>
    </row>
    <row r="1322" spans="1:1">
      <c r="A1322" s="46"/>
    </row>
    <row r="1323" spans="1:1">
      <c r="A1323" s="46"/>
    </row>
    <row r="1324" spans="1:1">
      <c r="A1324" s="46"/>
    </row>
    <row r="1325" spans="1:1">
      <c r="A1325" s="46"/>
    </row>
    <row r="1326" spans="1:1">
      <c r="A1326" s="46"/>
    </row>
    <row r="1327" spans="1:1">
      <c r="A1327" s="46"/>
    </row>
    <row r="1328" spans="1:1">
      <c r="A1328" s="46"/>
    </row>
    <row r="1329" spans="1:1">
      <c r="A1329" s="46"/>
    </row>
    <row r="1330" spans="1:1">
      <c r="A1330" s="46"/>
    </row>
    <row r="1331" spans="1:1">
      <c r="A1331" s="46"/>
    </row>
    <row r="1332" spans="1:1">
      <c r="A1332" s="46"/>
    </row>
    <row r="1333" spans="1:1">
      <c r="A1333" s="46"/>
    </row>
    <row r="1334" spans="1:1">
      <c r="A1334" s="46"/>
    </row>
    <row r="1335" spans="1:1">
      <c r="A1335" s="46"/>
    </row>
    <row r="1336" spans="1:1">
      <c r="A1336" s="46"/>
    </row>
    <row r="1337" spans="1:1">
      <c r="A1337" s="46"/>
    </row>
    <row r="1338" spans="1:1">
      <c r="A1338" s="46"/>
    </row>
    <row r="1339" spans="1:1">
      <c r="A1339" s="46"/>
    </row>
    <row r="1340" spans="1:1">
      <c r="A1340" s="46"/>
    </row>
    <row r="1341" spans="1:1">
      <c r="A1341" s="46"/>
    </row>
    <row r="1342" spans="1:1">
      <c r="A1342" s="46"/>
    </row>
    <row r="1343" spans="1:1">
      <c r="A1343" s="46"/>
    </row>
    <row r="1344" spans="1:1">
      <c r="A1344" s="46"/>
    </row>
    <row r="1345" spans="1:1">
      <c r="A1345" s="46"/>
    </row>
    <row r="1346" spans="1:1">
      <c r="A1346" s="46"/>
    </row>
    <row r="1347" spans="1:1">
      <c r="A1347" s="46"/>
    </row>
    <row r="1348" spans="1:1">
      <c r="A1348" s="46"/>
    </row>
    <row r="1349" spans="1:1">
      <c r="A1349" s="46"/>
    </row>
    <row r="1350" spans="1:1">
      <c r="A1350" s="46"/>
    </row>
    <row r="1351" spans="1:1">
      <c r="A1351" s="46"/>
    </row>
    <row r="1352" spans="1:1">
      <c r="A1352" s="46"/>
    </row>
    <row r="1353" spans="1:1">
      <c r="A1353" s="46"/>
    </row>
    <row r="1354" spans="1:1">
      <c r="A1354" s="46"/>
    </row>
    <row r="1355" spans="1:1">
      <c r="A1355" s="46"/>
    </row>
    <row r="1356" spans="1:1">
      <c r="A1356" s="46"/>
    </row>
    <row r="1357" spans="1:1">
      <c r="A1357" s="46"/>
    </row>
    <row r="1358" spans="1:1">
      <c r="A1358" s="46"/>
    </row>
    <row r="1359" spans="1:1">
      <c r="A1359" s="46"/>
    </row>
    <row r="1360" spans="1:1">
      <c r="A1360" s="46"/>
    </row>
    <row r="1361" spans="1:1">
      <c r="A1361" s="46"/>
    </row>
    <row r="1362" spans="1:1">
      <c r="A1362" s="46"/>
    </row>
    <row r="1363" spans="1:1">
      <c r="A1363" s="46"/>
    </row>
    <row r="1364" spans="1:1">
      <c r="A1364" s="46"/>
    </row>
    <row r="1365" spans="1:1">
      <c r="A1365" s="46"/>
    </row>
    <row r="1366" spans="1:1">
      <c r="A1366" s="46"/>
    </row>
    <row r="1367" spans="1:1">
      <c r="A1367" s="46"/>
    </row>
    <row r="1368" spans="1:1">
      <c r="A1368" s="46"/>
    </row>
    <row r="1369" spans="1:1">
      <c r="A1369" s="46"/>
    </row>
    <row r="1370" spans="1:1">
      <c r="A1370" s="46"/>
    </row>
    <row r="1371" spans="1:1">
      <c r="A1371" s="46"/>
    </row>
    <row r="1372" spans="1:1">
      <c r="A1372" s="46"/>
    </row>
    <row r="1373" spans="1:1">
      <c r="A1373" s="46"/>
    </row>
    <row r="1374" spans="1:1">
      <c r="A1374" s="46"/>
    </row>
    <row r="1375" spans="1:1">
      <c r="A1375" s="46"/>
    </row>
    <row r="1376" spans="1:1">
      <c r="A1376" s="46"/>
    </row>
    <row r="1377" spans="1:1">
      <c r="A1377" s="46"/>
    </row>
    <row r="1378" spans="1:1">
      <c r="A1378" s="46"/>
    </row>
    <row r="1379" spans="1:1">
      <c r="A1379" s="46"/>
    </row>
    <row r="1380" spans="1:1">
      <c r="A1380" s="46"/>
    </row>
    <row r="1381" spans="1:1">
      <c r="A1381" s="46"/>
    </row>
    <row r="1382" spans="1:1">
      <c r="A1382" s="46"/>
    </row>
    <row r="1383" spans="1:1">
      <c r="A1383" s="46"/>
    </row>
    <row r="1384" spans="1:1">
      <c r="A1384" s="46"/>
    </row>
    <row r="1385" spans="1:1">
      <c r="A1385" s="46"/>
    </row>
    <row r="1386" spans="1:1">
      <c r="A1386" s="46"/>
    </row>
    <row r="1387" spans="1:1">
      <c r="A1387" s="46"/>
    </row>
    <row r="1388" spans="1:1">
      <c r="A1388" s="46"/>
    </row>
    <row r="1389" spans="1:1">
      <c r="A1389" s="46"/>
    </row>
    <row r="1390" spans="1:1">
      <c r="A1390" s="46"/>
    </row>
    <row r="1391" spans="1:1">
      <c r="A1391" s="46"/>
    </row>
    <row r="1392" spans="1:1">
      <c r="A1392" s="46"/>
    </row>
    <row r="1393" spans="1:1">
      <c r="A1393" s="46"/>
    </row>
    <row r="1394" spans="1:1">
      <c r="A1394" s="46"/>
    </row>
    <row r="1395" spans="1:1">
      <c r="A1395" s="46"/>
    </row>
    <row r="1396" spans="1:1">
      <c r="A1396" s="46"/>
    </row>
    <row r="1397" spans="1:1">
      <c r="A1397" s="46"/>
    </row>
    <row r="1398" spans="1:1">
      <c r="A1398" s="46"/>
    </row>
    <row r="1399" spans="1:1">
      <c r="A1399" s="46"/>
    </row>
    <row r="1400" spans="1:1">
      <c r="A1400" s="46"/>
    </row>
    <row r="1401" spans="1:1">
      <c r="A1401" s="46"/>
    </row>
    <row r="1402" spans="1:1">
      <c r="A1402" s="46"/>
    </row>
    <row r="1403" spans="1:1">
      <c r="A1403" s="46"/>
    </row>
    <row r="1404" spans="1:1">
      <c r="A1404" s="46"/>
    </row>
    <row r="1405" spans="1:1">
      <c r="A1405" s="46"/>
    </row>
    <row r="1406" spans="1:1">
      <c r="A1406" s="46"/>
    </row>
    <row r="1407" spans="1:1">
      <c r="A1407" s="46"/>
    </row>
    <row r="1408" spans="1:1">
      <c r="A1408" s="46"/>
    </row>
    <row r="1409" spans="1:1">
      <c r="A1409" s="46"/>
    </row>
    <row r="1410" spans="1:1">
      <c r="A1410" s="46"/>
    </row>
    <row r="1411" spans="1:1">
      <c r="A1411" s="46"/>
    </row>
    <row r="1412" spans="1:1">
      <c r="A1412" s="46"/>
    </row>
    <row r="1413" spans="1:1">
      <c r="A1413" s="46"/>
    </row>
    <row r="1414" spans="1:1">
      <c r="A1414" s="46"/>
    </row>
    <row r="1415" spans="1:1">
      <c r="A1415" s="46"/>
    </row>
    <row r="1416" spans="1:1">
      <c r="A1416" s="46"/>
    </row>
    <row r="1417" spans="1:1">
      <c r="A1417" s="46"/>
    </row>
    <row r="1418" spans="1:1">
      <c r="A1418" s="46"/>
    </row>
    <row r="1419" spans="1:1">
      <c r="A1419" s="46"/>
    </row>
    <row r="1420" spans="1:1">
      <c r="A1420" s="46"/>
    </row>
    <row r="1421" spans="1:1">
      <c r="A1421" s="46"/>
    </row>
    <row r="1422" spans="1:1">
      <c r="A1422" s="46"/>
    </row>
    <row r="1423" spans="1:1">
      <c r="A1423" s="46"/>
    </row>
    <row r="1424" spans="1:1">
      <c r="A1424" s="46"/>
    </row>
    <row r="1425" spans="1:1">
      <c r="A1425" s="46"/>
    </row>
    <row r="1426" spans="1:1">
      <c r="A1426" s="46"/>
    </row>
    <row r="1427" spans="1:1">
      <c r="A1427" s="46"/>
    </row>
    <row r="1428" spans="1:1">
      <c r="A1428" s="46"/>
    </row>
    <row r="1429" spans="1:1">
      <c r="A1429" s="46"/>
    </row>
    <row r="1430" spans="1:1">
      <c r="A1430" s="46"/>
    </row>
    <row r="1431" spans="1:1">
      <c r="A1431" s="46"/>
    </row>
    <row r="1432" spans="1:1">
      <c r="A1432" s="46"/>
    </row>
    <row r="1433" spans="1:1">
      <c r="A1433" s="46"/>
    </row>
    <row r="1434" spans="1:1">
      <c r="A1434" s="46"/>
    </row>
    <row r="1435" spans="1:1">
      <c r="A1435" s="46"/>
    </row>
    <row r="1436" spans="1:1">
      <c r="A1436" s="46"/>
    </row>
    <row r="1437" spans="1:1">
      <c r="A1437" s="46"/>
    </row>
    <row r="1438" spans="1:1">
      <c r="A1438" s="46"/>
    </row>
    <row r="1439" spans="1:1">
      <c r="A1439" s="46"/>
    </row>
    <row r="1440" spans="1:1">
      <c r="A1440" s="46"/>
    </row>
    <row r="1441" spans="1:1">
      <c r="A1441" s="46"/>
    </row>
    <row r="1442" spans="1:1">
      <c r="A1442" s="46"/>
    </row>
    <row r="1443" spans="1:1">
      <c r="A1443" s="46"/>
    </row>
    <row r="1444" spans="1:1">
      <c r="A1444" s="46"/>
    </row>
    <row r="1445" spans="1:1">
      <c r="A1445" s="46"/>
    </row>
    <row r="1446" spans="1:1">
      <c r="A1446" s="46"/>
    </row>
    <row r="1447" spans="1:1">
      <c r="A1447" s="46"/>
    </row>
    <row r="1448" spans="1:1">
      <c r="A1448" s="46"/>
    </row>
    <row r="1449" spans="1:1">
      <c r="A1449" s="46"/>
    </row>
    <row r="1450" spans="1:1">
      <c r="A1450" s="46"/>
    </row>
    <row r="1451" spans="1:1">
      <c r="A1451" s="46"/>
    </row>
    <row r="1452" spans="1:1">
      <c r="A1452" s="46"/>
    </row>
    <row r="1453" spans="1:1">
      <c r="A1453" s="46"/>
    </row>
    <row r="1454" spans="1:1">
      <c r="A1454" s="46"/>
    </row>
    <row r="1455" spans="1:1">
      <c r="A1455" s="46"/>
    </row>
    <row r="1456" spans="1:1">
      <c r="A1456" s="46"/>
    </row>
    <row r="1457" spans="1:1">
      <c r="A1457" s="46"/>
    </row>
    <row r="1458" spans="1:1">
      <c r="A1458" s="46"/>
    </row>
    <row r="1459" spans="1:1">
      <c r="A1459" s="46"/>
    </row>
    <row r="1460" spans="1:1">
      <c r="A1460" s="46"/>
    </row>
    <row r="1461" spans="1:1">
      <c r="A1461" s="46"/>
    </row>
    <row r="1462" spans="1:1">
      <c r="A1462" s="46"/>
    </row>
    <row r="1463" spans="1:1">
      <c r="A1463" s="46"/>
    </row>
    <row r="1464" spans="1:1">
      <c r="A1464" s="46"/>
    </row>
    <row r="1465" spans="1:1">
      <c r="A1465" s="46"/>
    </row>
    <row r="1466" spans="1:1">
      <c r="A1466" s="46"/>
    </row>
    <row r="1467" spans="1:1">
      <c r="A1467" s="46"/>
    </row>
    <row r="1468" spans="1:1">
      <c r="A1468" s="46"/>
    </row>
    <row r="1469" spans="1:1">
      <c r="A1469" s="46"/>
    </row>
    <row r="1470" spans="1:1">
      <c r="A1470" s="46"/>
    </row>
    <row r="1471" spans="1:1">
      <c r="A1471" s="46"/>
    </row>
    <row r="1472" spans="1:1">
      <c r="A1472" s="46"/>
    </row>
    <row r="1473" spans="1:1">
      <c r="A1473" s="46"/>
    </row>
    <row r="1474" spans="1:1">
      <c r="A1474" s="46"/>
    </row>
    <row r="1475" spans="1:1">
      <c r="A1475" s="46"/>
    </row>
    <row r="1476" spans="1:1">
      <c r="A1476" s="46"/>
    </row>
    <row r="1477" spans="1:1">
      <c r="A1477" s="46"/>
    </row>
    <row r="1478" spans="1:1">
      <c r="A1478" s="46"/>
    </row>
    <row r="1479" spans="1:1">
      <c r="A1479" s="46"/>
    </row>
    <row r="1480" spans="1:1">
      <c r="A1480" s="46"/>
    </row>
    <row r="1481" spans="1:1">
      <c r="A1481" s="46"/>
    </row>
    <row r="1482" spans="1:1">
      <c r="A1482" s="46"/>
    </row>
    <row r="1483" spans="1:1">
      <c r="A1483" s="46"/>
    </row>
    <row r="1484" spans="1:1">
      <c r="A1484" s="46"/>
    </row>
    <row r="1485" spans="1:1">
      <c r="A1485" s="46"/>
    </row>
    <row r="1486" spans="1:1">
      <c r="A1486" s="46"/>
    </row>
    <row r="1487" spans="1:1">
      <c r="A1487" s="46"/>
    </row>
    <row r="1488" spans="1:1">
      <c r="A1488" s="46"/>
    </row>
    <row r="1489" spans="1:1">
      <c r="A1489" s="46"/>
    </row>
    <row r="1490" spans="1:1">
      <c r="A1490" s="46"/>
    </row>
    <row r="1491" spans="1:1">
      <c r="A1491" s="46"/>
    </row>
    <row r="1492" spans="1:1">
      <c r="A1492" s="46"/>
    </row>
    <row r="1493" spans="1:1">
      <c r="A1493" s="46"/>
    </row>
    <row r="1494" spans="1:1">
      <c r="A1494" s="46"/>
    </row>
    <row r="1495" spans="1:1">
      <c r="A1495" s="46"/>
    </row>
    <row r="1496" spans="1:1">
      <c r="A1496" s="46"/>
    </row>
    <row r="1497" spans="1:1">
      <c r="A1497" s="46"/>
    </row>
    <row r="1498" spans="1:1">
      <c r="A1498" s="46"/>
    </row>
    <row r="1499" spans="1:1">
      <c r="A1499" s="46"/>
    </row>
    <row r="1500" spans="1:1">
      <c r="A1500" s="46"/>
    </row>
    <row r="1501" spans="1:1">
      <c r="A1501" s="46"/>
    </row>
    <row r="1502" spans="1:1">
      <c r="A1502" s="46"/>
    </row>
    <row r="1503" spans="1:1">
      <c r="A1503" s="46"/>
    </row>
    <row r="1504" spans="1:1">
      <c r="A1504" s="46"/>
    </row>
    <row r="1505" spans="1:1">
      <c r="A1505" s="46"/>
    </row>
    <row r="1506" spans="1:1">
      <c r="A1506" s="46"/>
    </row>
    <row r="1507" spans="1:1">
      <c r="A1507" s="46"/>
    </row>
    <row r="1508" spans="1:1">
      <c r="A1508" s="46"/>
    </row>
    <row r="1509" spans="1:1">
      <c r="A1509" s="46"/>
    </row>
    <row r="1510" spans="1:1">
      <c r="A1510" s="46"/>
    </row>
    <row r="1511" spans="1:1">
      <c r="A1511" s="46"/>
    </row>
    <row r="1512" spans="1:1">
      <c r="A1512" s="46"/>
    </row>
    <row r="1513" spans="1:1">
      <c r="A1513" s="46"/>
    </row>
    <row r="1514" spans="1:1">
      <c r="A1514" s="46"/>
    </row>
    <row r="1515" spans="1:1">
      <c r="A1515" s="46"/>
    </row>
    <row r="1516" spans="1:1">
      <c r="A1516" s="46"/>
    </row>
    <row r="1517" spans="1:1">
      <c r="A1517" s="46"/>
    </row>
    <row r="1518" spans="1:1">
      <c r="A1518" s="46"/>
    </row>
    <row r="1519" spans="1:1">
      <c r="A1519" s="46"/>
    </row>
    <row r="1520" spans="1:1">
      <c r="A1520" s="46"/>
    </row>
    <row r="1521" spans="1:1">
      <c r="A1521" s="46"/>
    </row>
    <row r="1522" spans="1:1">
      <c r="A1522" s="46"/>
    </row>
    <row r="1523" spans="1:1">
      <c r="A1523" s="46"/>
    </row>
    <row r="1524" spans="1:1">
      <c r="A1524" s="46"/>
    </row>
    <row r="1525" spans="1:1">
      <c r="A1525" s="46"/>
    </row>
    <row r="1526" spans="1:1">
      <c r="A1526" s="46"/>
    </row>
    <row r="1527" spans="1:1">
      <c r="A1527" s="46"/>
    </row>
    <row r="1528" spans="1:1">
      <c r="A1528" s="46"/>
    </row>
    <row r="1529" spans="1:1">
      <c r="A1529" s="46"/>
    </row>
    <row r="1530" spans="1:1">
      <c r="A1530" s="46"/>
    </row>
    <row r="1531" spans="1:1">
      <c r="A1531" s="46"/>
    </row>
    <row r="1532" spans="1:1">
      <c r="A1532" s="46"/>
    </row>
    <row r="1533" spans="1:1">
      <c r="A1533" s="46"/>
    </row>
    <row r="1534" spans="1:1">
      <c r="A1534" s="46"/>
    </row>
    <row r="1535" spans="1:1">
      <c r="A1535" s="46"/>
    </row>
    <row r="1536" spans="1:1">
      <c r="A1536" s="46"/>
    </row>
    <row r="1537" spans="1:1">
      <c r="A1537" s="46"/>
    </row>
    <row r="1538" spans="1:1">
      <c r="A1538" s="46"/>
    </row>
    <row r="1539" spans="1:1">
      <c r="A1539" s="46"/>
    </row>
    <row r="1540" spans="1:1">
      <c r="A1540" s="46"/>
    </row>
    <row r="1541" spans="1:1">
      <c r="A1541" s="46"/>
    </row>
    <row r="1542" spans="1:1">
      <c r="A1542" s="46"/>
    </row>
    <row r="1543" spans="1:1">
      <c r="A1543" s="46"/>
    </row>
    <row r="1544" spans="1:1">
      <c r="A1544" s="46"/>
    </row>
    <row r="1545" spans="1:1">
      <c r="A1545" s="46"/>
    </row>
    <row r="1546" spans="1:1">
      <c r="A1546" s="46"/>
    </row>
    <row r="1547" spans="1:1">
      <c r="A1547" s="46"/>
    </row>
    <row r="1548" spans="1:1">
      <c r="A1548" s="46"/>
    </row>
    <row r="1549" spans="1:1">
      <c r="A1549" s="46"/>
    </row>
    <row r="1550" spans="1:1">
      <c r="A1550" s="46"/>
    </row>
    <row r="1551" spans="1:1">
      <c r="A1551" s="46"/>
    </row>
    <row r="1552" spans="1:1">
      <c r="A1552" s="46"/>
    </row>
    <row r="1553" spans="1:1">
      <c r="A1553" s="46"/>
    </row>
    <row r="1554" spans="1:1">
      <c r="A1554" s="46"/>
    </row>
    <row r="1555" spans="1:1">
      <c r="A1555" s="46"/>
    </row>
    <row r="1556" spans="1:1">
      <c r="A1556" s="46"/>
    </row>
    <row r="1557" spans="1:1">
      <c r="A1557" s="46"/>
    </row>
    <row r="1558" spans="1:1">
      <c r="A1558" s="46"/>
    </row>
    <row r="1559" spans="1:1">
      <c r="A1559" s="46"/>
    </row>
    <row r="1560" spans="1:1">
      <c r="A1560" s="46"/>
    </row>
    <row r="1561" spans="1:1">
      <c r="A1561" s="46"/>
    </row>
    <row r="1562" spans="1:1">
      <c r="A1562" s="46"/>
    </row>
    <row r="1563" spans="1:1">
      <c r="A1563" s="46"/>
    </row>
    <row r="1564" spans="1:1">
      <c r="A1564" s="46"/>
    </row>
    <row r="1565" spans="1:1">
      <c r="A1565" s="46"/>
    </row>
    <row r="1566" spans="1:1">
      <c r="A1566" s="46"/>
    </row>
    <row r="1567" spans="1:1">
      <c r="A1567" s="46"/>
    </row>
    <row r="1568" spans="1:1">
      <c r="A1568" s="46"/>
    </row>
    <row r="1569" spans="1:1">
      <c r="A1569" s="46"/>
    </row>
    <row r="1570" spans="1:1">
      <c r="A1570" s="46"/>
    </row>
    <row r="1571" spans="1:1">
      <c r="A1571" s="46"/>
    </row>
    <row r="1572" spans="1:1">
      <c r="A1572" s="46"/>
    </row>
    <row r="1573" spans="1:1">
      <c r="A1573" s="46"/>
    </row>
    <row r="1574" spans="1:1">
      <c r="A1574" s="46"/>
    </row>
    <row r="1575" spans="1:1">
      <c r="A1575" s="46"/>
    </row>
    <row r="1576" spans="1:1">
      <c r="A1576" s="46"/>
    </row>
    <row r="1577" spans="1:1">
      <c r="A1577" s="46"/>
    </row>
    <row r="1578" spans="1:1">
      <c r="A1578" s="46"/>
    </row>
    <row r="1579" spans="1:1">
      <c r="A1579" s="46"/>
    </row>
    <row r="1580" spans="1:1">
      <c r="A1580" s="46"/>
    </row>
    <row r="1581" spans="1:1">
      <c r="A1581" s="46"/>
    </row>
    <row r="1582" spans="1:1">
      <c r="A1582" s="46"/>
    </row>
    <row r="1583" spans="1:1">
      <c r="A1583" s="46"/>
    </row>
    <row r="1584" spans="1:1">
      <c r="A1584" s="46"/>
    </row>
    <row r="1585" spans="1:1">
      <c r="A1585" s="46"/>
    </row>
    <row r="1586" spans="1:1">
      <c r="A1586" s="46"/>
    </row>
    <row r="1587" spans="1:1">
      <c r="A1587" s="46"/>
    </row>
    <row r="1588" spans="1:1">
      <c r="A1588" s="46"/>
    </row>
    <row r="1589" spans="1:1">
      <c r="A1589" s="46"/>
    </row>
    <row r="1590" spans="1:1">
      <c r="A1590" s="46"/>
    </row>
    <row r="1591" spans="1:1">
      <c r="A1591" s="46"/>
    </row>
    <row r="1592" spans="1:1">
      <c r="A1592" s="46"/>
    </row>
    <row r="1593" spans="1:1">
      <c r="A1593" s="46"/>
    </row>
    <row r="1594" spans="1:1">
      <c r="A1594" s="46"/>
    </row>
    <row r="1595" spans="1:1">
      <c r="A1595" s="46"/>
    </row>
    <row r="1596" spans="1:1">
      <c r="A1596" s="46"/>
    </row>
    <row r="1597" spans="1:1">
      <c r="A1597" s="46"/>
    </row>
    <row r="1598" spans="1:1">
      <c r="A1598" s="46"/>
    </row>
    <row r="1599" spans="1:1">
      <c r="A1599" s="46"/>
    </row>
    <row r="1600" spans="1:1">
      <c r="A1600" s="46"/>
    </row>
    <row r="1601" spans="1:1">
      <c r="A1601" s="46"/>
    </row>
    <row r="1602" spans="1:1">
      <c r="A1602" s="46"/>
    </row>
    <row r="1603" spans="1:1">
      <c r="A1603" s="46"/>
    </row>
    <row r="1604" spans="1:1">
      <c r="A1604" s="46"/>
    </row>
    <row r="1605" spans="1:1">
      <c r="A1605" s="46"/>
    </row>
    <row r="1606" spans="1:1">
      <c r="A1606" s="46"/>
    </row>
    <row r="1607" spans="1:1">
      <c r="A1607" s="46"/>
    </row>
    <row r="1608" spans="1:1">
      <c r="A1608" s="46"/>
    </row>
    <row r="1609" spans="1:1">
      <c r="A1609" s="46"/>
    </row>
    <row r="1610" spans="1:1">
      <c r="A1610" s="46"/>
    </row>
    <row r="1611" spans="1:1">
      <c r="A1611" s="46"/>
    </row>
    <row r="1612" spans="1:1">
      <c r="A1612" s="46"/>
    </row>
    <row r="1613" spans="1:1">
      <c r="A1613" s="46"/>
    </row>
    <row r="1614" spans="1:1">
      <c r="A1614" s="46"/>
    </row>
    <row r="1615" spans="1:1">
      <c r="A1615" s="46"/>
    </row>
    <row r="1616" spans="1:1">
      <c r="A1616" s="46"/>
    </row>
    <row r="1617" spans="1:1">
      <c r="A1617" s="46"/>
    </row>
    <row r="1618" spans="1:1">
      <c r="A1618" s="46"/>
    </row>
    <row r="1619" spans="1:1">
      <c r="A1619" s="46"/>
    </row>
    <row r="1620" spans="1:1">
      <c r="A1620" s="46"/>
    </row>
    <row r="1621" spans="1:1">
      <c r="A1621" s="46"/>
    </row>
    <row r="1622" spans="1:1">
      <c r="A1622" s="46"/>
    </row>
    <row r="1623" spans="1:1">
      <c r="A1623" s="46"/>
    </row>
    <row r="1624" spans="1:1">
      <c r="A1624" s="46"/>
    </row>
    <row r="1625" spans="1:1">
      <c r="A1625" s="46"/>
    </row>
    <row r="1626" spans="1:1">
      <c r="A1626" s="46"/>
    </row>
    <row r="1627" spans="1:1">
      <c r="A1627" s="46"/>
    </row>
    <row r="1628" spans="1:1">
      <c r="A1628" s="46"/>
    </row>
    <row r="1629" spans="1:1">
      <c r="A1629" s="46"/>
    </row>
    <row r="1630" spans="1:1">
      <c r="A1630" s="46"/>
    </row>
    <row r="1631" spans="1:1">
      <c r="A1631" s="46"/>
    </row>
    <row r="1632" spans="1:1">
      <c r="A1632" s="46"/>
    </row>
    <row r="1633" spans="1:1">
      <c r="A1633" s="46"/>
    </row>
    <row r="1634" spans="1:1">
      <c r="A1634" s="46"/>
    </row>
    <row r="1635" spans="1:1">
      <c r="A1635" s="46"/>
    </row>
    <row r="1636" spans="1:1">
      <c r="A1636" s="46"/>
    </row>
    <row r="1637" spans="1:1">
      <c r="A1637" s="46"/>
    </row>
    <row r="1638" spans="1:1">
      <c r="A1638" s="46"/>
    </row>
    <row r="1639" spans="1:1">
      <c r="A1639" s="46"/>
    </row>
    <row r="1640" spans="1:1">
      <c r="A1640" s="46"/>
    </row>
    <row r="1641" spans="1:1">
      <c r="A1641" s="46"/>
    </row>
    <row r="1642" spans="1:1">
      <c r="A1642" s="46"/>
    </row>
    <row r="1643" spans="1:1">
      <c r="A1643" s="46"/>
    </row>
    <row r="1644" spans="1:1">
      <c r="A1644" s="46"/>
    </row>
    <row r="1645" spans="1:1">
      <c r="A1645" s="46"/>
    </row>
    <row r="1646" spans="1:1">
      <c r="A1646" s="46"/>
    </row>
    <row r="1647" spans="1:1">
      <c r="A1647" s="46"/>
    </row>
    <row r="1648" spans="1:1">
      <c r="A1648" s="46"/>
    </row>
    <row r="1649" spans="1:1">
      <c r="A1649" s="46"/>
    </row>
    <row r="1650" spans="1:1">
      <c r="A1650" s="46"/>
    </row>
    <row r="1651" spans="1:1">
      <c r="A1651" s="46"/>
    </row>
    <row r="1652" spans="1:1">
      <c r="A1652" s="46"/>
    </row>
    <row r="1653" spans="1:1">
      <c r="A1653" s="46"/>
    </row>
    <row r="1654" spans="1:1">
      <c r="A1654" s="46"/>
    </row>
    <row r="1655" spans="1:1">
      <c r="A1655" s="46"/>
    </row>
    <row r="1656" spans="1:1">
      <c r="A1656" s="46"/>
    </row>
    <row r="1657" spans="1:1">
      <c r="A1657" s="46"/>
    </row>
    <row r="1658" spans="1:1">
      <c r="A1658" s="46"/>
    </row>
    <row r="1659" spans="1:1">
      <c r="A1659" s="46"/>
    </row>
    <row r="1660" spans="1:1">
      <c r="A1660" s="46"/>
    </row>
    <row r="1661" spans="1:1">
      <c r="A1661" s="46"/>
    </row>
    <row r="1662" spans="1:1">
      <c r="A1662" s="46"/>
    </row>
    <row r="1663" spans="1:1">
      <c r="A1663" s="46"/>
    </row>
    <row r="1664" spans="1:1">
      <c r="A1664" s="46"/>
    </row>
    <row r="1665" spans="1:1">
      <c r="A1665" s="46"/>
    </row>
    <row r="1666" spans="1:1">
      <c r="A1666" s="46"/>
    </row>
    <row r="1667" spans="1:1">
      <c r="A1667" s="46"/>
    </row>
    <row r="1668" spans="1:1">
      <c r="A1668" s="46"/>
    </row>
    <row r="1669" spans="1:1">
      <c r="A1669" s="46"/>
    </row>
    <row r="1670" spans="1:1">
      <c r="A1670" s="46"/>
    </row>
    <row r="1671" spans="1:1">
      <c r="A1671" s="46"/>
    </row>
    <row r="1672" spans="1:1">
      <c r="A1672" s="46"/>
    </row>
    <row r="1673" spans="1:1">
      <c r="A1673" s="46"/>
    </row>
    <row r="1674" spans="1:1">
      <c r="A1674" s="46"/>
    </row>
    <row r="1675" spans="1:1">
      <c r="A1675" s="46"/>
    </row>
    <row r="1676" spans="1:1">
      <c r="A1676" s="46"/>
    </row>
    <row r="1677" spans="1:1">
      <c r="A1677" s="46"/>
    </row>
    <row r="1678" spans="1:1">
      <c r="A1678" s="46"/>
    </row>
    <row r="1679" spans="1:1">
      <c r="A1679" s="46"/>
    </row>
    <row r="1680" spans="1:1">
      <c r="A1680" s="46"/>
    </row>
    <row r="1681" spans="1:1">
      <c r="A1681" s="46"/>
    </row>
    <row r="1682" spans="1:1">
      <c r="A1682" s="46"/>
    </row>
    <row r="1683" spans="1:1">
      <c r="A1683" s="46"/>
    </row>
    <row r="1684" spans="1:1">
      <c r="A1684" s="46"/>
    </row>
    <row r="1685" spans="1:1">
      <c r="A1685" s="46"/>
    </row>
    <row r="1686" spans="1:1">
      <c r="A1686" s="46"/>
    </row>
    <row r="1687" spans="1:1">
      <c r="A1687" s="46"/>
    </row>
    <row r="1688" spans="1:1">
      <c r="A1688" s="46"/>
    </row>
    <row r="1689" spans="1:1">
      <c r="A1689" s="46"/>
    </row>
    <row r="1690" spans="1:1">
      <c r="A1690" s="46"/>
    </row>
    <row r="1691" spans="1:1">
      <c r="A1691" s="46"/>
    </row>
    <row r="1692" spans="1:1">
      <c r="A1692" s="46"/>
    </row>
    <row r="1693" spans="1:1">
      <c r="A1693" s="46"/>
    </row>
    <row r="1694" spans="1:1">
      <c r="A1694" s="46"/>
    </row>
    <row r="1695" spans="1:1">
      <c r="A1695" s="46"/>
    </row>
    <row r="1696" spans="1:1">
      <c r="A1696" s="46"/>
    </row>
    <row r="1697" spans="1:1">
      <c r="A1697" s="46"/>
    </row>
    <row r="1698" spans="1:1">
      <c r="A1698" s="46"/>
    </row>
    <row r="1699" spans="1:1">
      <c r="A1699" s="46"/>
    </row>
    <row r="1700" spans="1:1">
      <c r="A1700" s="46"/>
    </row>
    <row r="1701" spans="1:1">
      <c r="A1701" s="46"/>
    </row>
    <row r="1702" spans="1:1">
      <c r="A1702" s="46"/>
    </row>
    <row r="1703" spans="1:1">
      <c r="A1703" s="46"/>
    </row>
    <row r="1704" spans="1:1">
      <c r="A1704" s="46"/>
    </row>
    <row r="1705" spans="1:1">
      <c r="A1705" s="46"/>
    </row>
    <row r="1706" spans="1:1">
      <c r="A1706" s="46"/>
    </row>
    <row r="1707" spans="1:1">
      <c r="A1707" s="46"/>
    </row>
    <row r="1708" spans="1:1">
      <c r="A1708" s="46"/>
    </row>
    <row r="1709" spans="1:1">
      <c r="A1709" s="46"/>
    </row>
    <row r="1710" spans="1:1">
      <c r="A1710" s="46"/>
    </row>
    <row r="1711" spans="1:1">
      <c r="A1711" s="46"/>
    </row>
    <row r="1712" spans="1:1">
      <c r="A1712" s="46"/>
    </row>
    <row r="1713" spans="1:1">
      <c r="A1713" s="46"/>
    </row>
    <row r="1714" spans="1:1">
      <c r="A1714" s="46"/>
    </row>
    <row r="1715" spans="1:1">
      <c r="A1715" s="46"/>
    </row>
    <row r="1716" spans="1:1">
      <c r="A1716" s="46"/>
    </row>
    <row r="1717" spans="1:1">
      <c r="A1717" s="46"/>
    </row>
    <row r="1718" spans="1:1">
      <c r="A1718" s="46"/>
    </row>
    <row r="1719" spans="1:1">
      <c r="A1719" s="46"/>
    </row>
    <row r="1720" spans="1:1">
      <c r="A1720" s="46"/>
    </row>
    <row r="1721" spans="1:1">
      <c r="A1721" s="46"/>
    </row>
    <row r="1722" spans="1:1">
      <c r="A1722" s="46"/>
    </row>
    <row r="1723" spans="1:1">
      <c r="A1723" s="46"/>
    </row>
    <row r="1724" spans="1:1">
      <c r="A1724" s="46"/>
    </row>
    <row r="1725" spans="1:1">
      <c r="A1725" s="46"/>
    </row>
    <row r="1726" spans="1:1">
      <c r="A1726" s="46"/>
    </row>
    <row r="1727" spans="1:1">
      <c r="A1727" s="46"/>
    </row>
    <row r="1728" spans="1:1">
      <c r="A1728" s="46"/>
    </row>
    <row r="1729" spans="1:1">
      <c r="A1729" s="46"/>
    </row>
    <row r="1730" spans="1:1">
      <c r="A1730" s="46"/>
    </row>
    <row r="1731" spans="1:1">
      <c r="A1731" s="46"/>
    </row>
    <row r="1732" spans="1:1">
      <c r="A1732" s="46"/>
    </row>
    <row r="1733" spans="1:1">
      <c r="A1733" s="46"/>
    </row>
    <row r="1734" spans="1:1">
      <c r="A1734" s="46"/>
    </row>
    <row r="1735" spans="1:1">
      <c r="A1735" s="46"/>
    </row>
    <row r="1736" spans="1:1">
      <c r="A1736" s="46"/>
    </row>
    <row r="1737" spans="1:1">
      <c r="A1737" s="46"/>
    </row>
    <row r="1738" spans="1:1">
      <c r="A1738" s="46"/>
    </row>
    <row r="1739" spans="1:1">
      <c r="A1739" s="46"/>
    </row>
    <row r="1740" spans="1:1">
      <c r="A1740" s="46"/>
    </row>
    <row r="1741" spans="1:1">
      <c r="A1741" s="46"/>
    </row>
    <row r="1742" spans="1:1">
      <c r="A1742" s="46"/>
    </row>
    <row r="1743" spans="1:1">
      <c r="A1743" s="46"/>
    </row>
    <row r="1744" spans="1:1">
      <c r="A1744" s="46"/>
    </row>
    <row r="1745" spans="1:1">
      <c r="A1745" s="46"/>
    </row>
    <row r="1746" spans="1:1">
      <c r="A1746" s="46"/>
    </row>
    <row r="1747" spans="1:1">
      <c r="A1747" s="46"/>
    </row>
    <row r="1748" spans="1:1">
      <c r="A1748" s="46"/>
    </row>
    <row r="1749" spans="1:1">
      <c r="A1749" s="46"/>
    </row>
    <row r="1750" spans="1:1">
      <c r="A1750" s="46"/>
    </row>
    <row r="1751" spans="1:1">
      <c r="A1751" s="46"/>
    </row>
    <row r="1752" spans="1:1">
      <c r="A1752" s="46"/>
    </row>
    <row r="1753" spans="1:1">
      <c r="A1753" s="46"/>
    </row>
    <row r="1754" spans="1:1">
      <c r="A1754" s="46"/>
    </row>
    <row r="1755" spans="1:1">
      <c r="A1755" s="46"/>
    </row>
    <row r="1756" spans="1:1">
      <c r="A1756" s="46"/>
    </row>
    <row r="1757" spans="1:1">
      <c r="A1757" s="46"/>
    </row>
    <row r="1758" spans="1:1">
      <c r="A1758" s="46"/>
    </row>
    <row r="1759" spans="1:1">
      <c r="A1759" s="46"/>
    </row>
    <row r="1760" spans="1:1">
      <c r="A1760" s="46"/>
    </row>
    <row r="1761" spans="1:1">
      <c r="A1761" s="46"/>
    </row>
    <row r="1762" spans="1:1">
      <c r="A1762" s="46"/>
    </row>
    <row r="1763" spans="1:1">
      <c r="A1763" s="46"/>
    </row>
    <row r="1764" spans="1:1">
      <c r="A1764" s="46"/>
    </row>
    <row r="1765" spans="1:1">
      <c r="A1765" s="46"/>
    </row>
    <row r="1766" spans="1:1">
      <c r="A1766" s="46"/>
    </row>
    <row r="1767" spans="1:1">
      <c r="A1767" s="46"/>
    </row>
    <row r="1768" spans="1:1">
      <c r="A1768" s="46"/>
    </row>
    <row r="1769" spans="1:1">
      <c r="A1769" s="46"/>
    </row>
    <row r="1770" spans="1:1">
      <c r="A1770" s="46"/>
    </row>
    <row r="1771" spans="1:1">
      <c r="A1771" s="46"/>
    </row>
    <row r="1772" spans="1:1">
      <c r="A1772" s="46"/>
    </row>
    <row r="1773" spans="1:1">
      <c r="A1773" s="46"/>
    </row>
    <row r="1774" spans="1:1">
      <c r="A1774" s="46"/>
    </row>
    <row r="1775" spans="1:1">
      <c r="A1775" s="46"/>
    </row>
    <row r="1776" spans="1:1">
      <c r="A1776" s="46"/>
    </row>
    <row r="1777" spans="1:1">
      <c r="A1777" s="46"/>
    </row>
    <row r="1778" spans="1:1">
      <c r="A1778" s="46"/>
    </row>
    <row r="1779" spans="1:1">
      <c r="A1779" s="46"/>
    </row>
    <row r="1780" spans="1:1">
      <c r="A1780" s="46"/>
    </row>
    <row r="1781" spans="1:1">
      <c r="A1781" s="46"/>
    </row>
    <row r="1782" spans="1:1">
      <c r="A1782" s="46"/>
    </row>
    <row r="1783" spans="1:1">
      <c r="A1783" s="46"/>
    </row>
    <row r="1784" spans="1:1">
      <c r="A1784" s="46"/>
    </row>
    <row r="1785" spans="1:1">
      <c r="A1785" s="46"/>
    </row>
    <row r="1786" spans="1:1">
      <c r="A1786" s="46"/>
    </row>
    <row r="1787" spans="1:1">
      <c r="A1787" s="46"/>
    </row>
    <row r="1788" spans="1:1">
      <c r="A1788" s="46"/>
    </row>
    <row r="1789" spans="1:1">
      <c r="A1789" s="46"/>
    </row>
    <row r="1790" spans="1:1">
      <c r="A1790" s="46"/>
    </row>
    <row r="1791" spans="1:1">
      <c r="A1791" s="46"/>
    </row>
    <row r="1792" spans="1:1">
      <c r="A1792" s="46"/>
    </row>
    <row r="1793" spans="1:1">
      <c r="A1793" s="46"/>
    </row>
    <row r="1794" spans="1:1">
      <c r="A1794" s="46"/>
    </row>
    <row r="1795" spans="1:1">
      <c r="A1795" s="46"/>
    </row>
    <row r="1796" spans="1:1">
      <c r="A1796" s="46"/>
    </row>
    <row r="1797" spans="1:1">
      <c r="A1797" s="46"/>
    </row>
    <row r="1798" spans="1:1">
      <c r="A1798" s="46"/>
    </row>
    <row r="1799" spans="1:1">
      <c r="A1799" s="46"/>
    </row>
    <row r="1800" spans="1:1">
      <c r="A1800" s="46"/>
    </row>
    <row r="1801" spans="1:1">
      <c r="A1801" s="46"/>
    </row>
    <row r="1802" spans="1:1">
      <c r="A1802" s="46"/>
    </row>
    <row r="1803" spans="1:1">
      <c r="A1803" s="46"/>
    </row>
    <row r="1804" spans="1:1">
      <c r="A1804" s="46"/>
    </row>
    <row r="1805" spans="1:1">
      <c r="A1805" s="46"/>
    </row>
    <row r="1806" spans="1:1">
      <c r="A1806" s="46"/>
    </row>
    <row r="1807" spans="1:1">
      <c r="A1807" s="46"/>
    </row>
    <row r="1808" spans="1:1">
      <c r="A1808" s="46"/>
    </row>
    <row r="1809" spans="1:1">
      <c r="A1809" s="46"/>
    </row>
    <row r="1810" spans="1:1">
      <c r="A1810" s="46"/>
    </row>
    <row r="1811" spans="1:1">
      <c r="A1811" s="46"/>
    </row>
    <row r="1812" spans="1:1">
      <c r="A1812" s="46"/>
    </row>
    <row r="1813" spans="1:1">
      <c r="A1813" s="46"/>
    </row>
    <row r="1814" spans="1:1">
      <c r="A1814" s="46"/>
    </row>
    <row r="1815" spans="1:1">
      <c r="A1815" s="46"/>
    </row>
    <row r="1816" spans="1:1">
      <c r="A1816" s="46"/>
    </row>
    <row r="1817" spans="1:1">
      <c r="A1817" s="46"/>
    </row>
    <row r="1818" spans="1:1">
      <c r="A1818" s="46"/>
    </row>
    <row r="1819" spans="1:1">
      <c r="A1819" s="46"/>
    </row>
    <row r="1820" spans="1:1">
      <c r="A1820" s="46"/>
    </row>
    <row r="1821" spans="1:1">
      <c r="A1821" s="46"/>
    </row>
    <row r="1822" spans="1:1">
      <c r="A1822" s="46"/>
    </row>
    <row r="1823" spans="1:1">
      <c r="A1823" s="46"/>
    </row>
    <row r="1824" spans="1:1">
      <c r="A1824" s="46"/>
    </row>
    <row r="1825" spans="1:1">
      <c r="A1825" s="46"/>
    </row>
    <row r="1826" spans="1:1">
      <c r="A1826" s="46"/>
    </row>
    <row r="1827" spans="1:1">
      <c r="A1827" s="46"/>
    </row>
    <row r="1828" spans="1:1">
      <c r="A1828" s="46"/>
    </row>
    <row r="1829" spans="1:1">
      <c r="A1829" s="46"/>
    </row>
    <row r="1830" spans="1:1">
      <c r="A1830" s="46"/>
    </row>
    <row r="1831" spans="1:1">
      <c r="A1831" s="46"/>
    </row>
    <row r="1832" spans="1:1">
      <c r="A1832" s="46"/>
    </row>
    <row r="1833" spans="1:1">
      <c r="A1833" s="46"/>
    </row>
    <row r="1834" spans="1:1">
      <c r="A1834" s="46"/>
    </row>
    <row r="1835" spans="1:1">
      <c r="A1835" s="46"/>
    </row>
    <row r="1836" spans="1:1">
      <c r="A1836" s="46"/>
    </row>
    <row r="1837" spans="1:1">
      <c r="A1837" s="46"/>
    </row>
    <row r="1838" spans="1:1">
      <c r="A1838" s="46"/>
    </row>
    <row r="1839" spans="1:1">
      <c r="A1839" s="46"/>
    </row>
    <row r="1840" spans="1:1">
      <c r="A1840" s="46"/>
    </row>
    <row r="1841" spans="1:1">
      <c r="A1841" s="46"/>
    </row>
    <row r="1842" spans="1:1">
      <c r="A1842" s="46"/>
    </row>
    <row r="1843" spans="1:1">
      <c r="A1843" s="46"/>
    </row>
    <row r="1844" spans="1:1">
      <c r="A1844" s="46"/>
    </row>
    <row r="1845" spans="1:1">
      <c r="A1845" s="46"/>
    </row>
    <row r="1846" spans="1:1">
      <c r="A1846" s="46"/>
    </row>
    <row r="1847" spans="1:1">
      <c r="A1847" s="46"/>
    </row>
    <row r="1848" spans="1:1">
      <c r="A1848" s="46"/>
    </row>
    <row r="1849" spans="1:1">
      <c r="A1849" s="46"/>
    </row>
    <row r="1850" spans="1:1">
      <c r="A1850" s="46"/>
    </row>
    <row r="1851" spans="1:1">
      <c r="A1851" s="46"/>
    </row>
    <row r="1852" spans="1:1">
      <c r="A1852" s="46"/>
    </row>
    <row r="1853" spans="1:1">
      <c r="A1853" s="46"/>
    </row>
    <row r="1854" spans="1:1">
      <c r="A1854" s="46"/>
    </row>
    <row r="1855" spans="1:1">
      <c r="A1855" s="46"/>
    </row>
    <row r="1856" spans="1:1">
      <c r="A1856" s="46"/>
    </row>
    <row r="1857" spans="1:1">
      <c r="A1857" s="46"/>
    </row>
    <row r="1858" spans="1:1">
      <c r="A1858" s="46"/>
    </row>
    <row r="1859" spans="1:1">
      <c r="A1859" s="46"/>
    </row>
    <row r="1860" spans="1:1">
      <c r="A1860" s="46"/>
    </row>
    <row r="1861" spans="1:1">
      <c r="A1861" s="46"/>
    </row>
    <row r="1862" spans="1:1">
      <c r="A1862" s="46"/>
    </row>
    <row r="1863" spans="1:1">
      <c r="A1863" s="46"/>
    </row>
    <row r="1864" spans="1:1">
      <c r="A1864" s="46"/>
    </row>
    <row r="1865" spans="1:1">
      <c r="A1865" s="46"/>
    </row>
    <row r="1866" spans="1:1">
      <c r="A1866" s="46"/>
    </row>
    <row r="1867" spans="1:1">
      <c r="A1867" s="46"/>
    </row>
    <row r="1868" spans="1:1">
      <c r="A1868" s="46"/>
    </row>
    <row r="1869" spans="1:1">
      <c r="A1869" s="46"/>
    </row>
    <row r="1870" spans="1:1">
      <c r="A1870" s="46"/>
    </row>
    <row r="1871" spans="1:1">
      <c r="A1871" s="46"/>
    </row>
    <row r="1872" spans="1:1">
      <c r="A1872" s="46"/>
    </row>
    <row r="1873" spans="1:1">
      <c r="A1873" s="46"/>
    </row>
    <row r="1874" spans="1:1">
      <c r="A1874" s="46"/>
    </row>
    <row r="1875" spans="1:1">
      <c r="A1875" s="46"/>
    </row>
    <row r="1876" spans="1:1">
      <c r="A1876" s="46"/>
    </row>
    <row r="1877" spans="1:1">
      <c r="A1877" s="46"/>
    </row>
    <row r="1878" spans="1:1">
      <c r="A1878" s="46"/>
    </row>
    <row r="1879" spans="1:1">
      <c r="A1879" s="46"/>
    </row>
    <row r="1880" spans="1:1">
      <c r="A1880" s="46"/>
    </row>
    <row r="1881" spans="1:1">
      <c r="A1881" s="46"/>
    </row>
    <row r="1882" spans="1:1">
      <c r="A1882" s="46"/>
    </row>
    <row r="1883" spans="1:1">
      <c r="A1883" s="46"/>
    </row>
    <row r="1884" spans="1:1">
      <c r="A1884" s="46"/>
    </row>
    <row r="1885" spans="1:1">
      <c r="A1885" s="46"/>
    </row>
    <row r="1886" spans="1:1">
      <c r="A1886" s="46"/>
    </row>
    <row r="1887" spans="1:1">
      <c r="A1887" s="46"/>
    </row>
    <row r="1888" spans="1:1">
      <c r="A1888" s="46"/>
    </row>
    <row r="1889" spans="1:1">
      <c r="A1889" s="46"/>
    </row>
    <row r="1890" spans="1:1">
      <c r="A1890" s="46"/>
    </row>
    <row r="1891" spans="1:1">
      <c r="A1891" s="46"/>
    </row>
    <row r="1892" spans="1:1">
      <c r="A1892" s="46"/>
    </row>
    <row r="1893" spans="1:1">
      <c r="A1893" s="46"/>
    </row>
    <row r="1894" spans="1:1">
      <c r="A1894" s="46"/>
    </row>
    <row r="1895" spans="1:1">
      <c r="A1895" s="46"/>
    </row>
    <row r="1896" spans="1:1">
      <c r="A1896" s="46"/>
    </row>
    <row r="1897" spans="1:1">
      <c r="A1897" s="46"/>
    </row>
    <row r="1898" spans="1:1">
      <c r="A1898" s="46"/>
    </row>
    <row r="1899" spans="1:1">
      <c r="A1899" s="46"/>
    </row>
    <row r="1900" spans="1:1">
      <c r="A1900" s="46"/>
    </row>
    <row r="1901" spans="1:1">
      <c r="A1901" s="46"/>
    </row>
    <row r="1902" spans="1:1">
      <c r="A1902" s="46"/>
    </row>
    <row r="1903" spans="1:1">
      <c r="A1903" s="46"/>
    </row>
    <row r="1904" spans="1:1">
      <c r="A1904" s="46"/>
    </row>
    <row r="1905" spans="1:1">
      <c r="A1905" s="46"/>
    </row>
    <row r="1906" spans="1:1">
      <c r="A1906" s="46"/>
    </row>
    <row r="1907" spans="1:1">
      <c r="A1907" s="46"/>
    </row>
    <row r="1908" spans="1:1">
      <c r="A1908" s="46"/>
    </row>
    <row r="1909" spans="1:1">
      <c r="A1909" s="46"/>
    </row>
    <row r="1910" spans="1:1">
      <c r="A1910" s="46"/>
    </row>
    <row r="1911" spans="1:1">
      <c r="A1911" s="46"/>
    </row>
    <row r="1912" spans="1:1">
      <c r="A1912" s="46"/>
    </row>
    <row r="1913" spans="1:1">
      <c r="A1913" s="46"/>
    </row>
    <row r="1914" spans="1:1">
      <c r="A1914" s="46"/>
    </row>
    <row r="1915" spans="1:1">
      <c r="A1915" s="46"/>
    </row>
    <row r="1916" spans="1:1">
      <c r="A1916" s="46"/>
    </row>
    <row r="1917" spans="1:1">
      <c r="A1917" s="46"/>
    </row>
    <row r="1918" spans="1:1">
      <c r="A1918" s="46"/>
    </row>
    <row r="1919" spans="1:1">
      <c r="A1919" s="46"/>
    </row>
    <row r="1920" spans="1:1">
      <c r="A1920" s="46"/>
    </row>
    <row r="1921" spans="1:1">
      <c r="A1921" s="46"/>
    </row>
    <row r="1922" spans="1:1">
      <c r="A1922" s="46"/>
    </row>
    <row r="1923" spans="1:1">
      <c r="A1923" s="46"/>
    </row>
    <row r="1924" spans="1:1">
      <c r="A1924" s="46"/>
    </row>
    <row r="1925" spans="1:1">
      <c r="A1925" s="46"/>
    </row>
    <row r="1926" spans="1:1">
      <c r="A1926" s="46"/>
    </row>
    <row r="1927" spans="1:1">
      <c r="A1927" s="46"/>
    </row>
    <row r="1928" spans="1:1">
      <c r="A1928" s="46"/>
    </row>
    <row r="1929" spans="1:1">
      <c r="A1929" s="46"/>
    </row>
    <row r="1930" spans="1:1">
      <c r="A1930" s="46"/>
    </row>
  </sheetData>
  <sheetProtection password="CA9F" sheet="1"/>
  <mergeCells count="3">
    <mergeCell ref="B1:D1"/>
    <mergeCell ref="A3:D3"/>
    <mergeCell ref="C5:D5"/>
  </mergeCells>
  <dataValidations count="2">
    <dataValidation type="whole" allowBlank="1" showInputMessage="1" showErrorMessage="1" sqref="A6 C6:D6 B9:B158 B6:B7">
      <formula1>1</formula1>
      <formula2>100000000000</formula2>
    </dataValidation>
    <dataValidation type="decimal" allowBlank="1" showInputMessage="1" showErrorMessage="1" sqref="C9:D156">
      <formula1>0</formula1>
      <formula2>1E+39</formula2>
    </dataValidation>
  </dataValidations>
  <pageMargins left="0.7" right="0.7" top="0.26" bottom="0.32" header="0.3" footer="0.22"/>
  <pageSetup scale="9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Y968"/>
  <sheetViews>
    <sheetView topLeftCell="A28" workbookViewId="0">
      <selection activeCell="C32" sqref="C32:F41"/>
    </sheetView>
  </sheetViews>
  <sheetFormatPr defaultColWidth="15.1796875" defaultRowHeight="10.5"/>
  <cols>
    <col min="1" max="1" width="6.81640625" style="135" customWidth="1"/>
    <col min="2" max="2" width="4.81640625" style="777" customWidth="1"/>
    <col min="3" max="3" width="26.1796875" style="153" customWidth="1"/>
    <col min="4" max="4" width="7.26953125" style="139" customWidth="1"/>
    <col min="5" max="8" width="15.453125" style="135" customWidth="1"/>
    <col min="9" max="9" width="11.7265625" style="135" bestFit="1" customWidth="1"/>
    <col min="10" max="25" width="7.453125" style="135" customWidth="1"/>
    <col min="26" max="16384" width="15.1796875" style="135"/>
  </cols>
  <sheetData>
    <row r="1" spans="1:25">
      <c r="C1" s="783"/>
    </row>
    <row r="2" spans="1:25">
      <c r="A2" s="133"/>
      <c r="B2" s="771"/>
      <c r="C2" s="134"/>
      <c r="D2" s="1059" t="s">
        <v>1003</v>
      </c>
      <c r="E2" s="1059"/>
      <c r="F2" s="1059"/>
      <c r="G2" s="1059"/>
      <c r="H2" s="1059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>
      <c r="A3" s="133"/>
      <c r="B3" s="771"/>
      <c r="C3" s="134"/>
      <c r="D3" s="1059"/>
      <c r="E3" s="1059"/>
      <c r="F3" s="1059"/>
      <c r="G3" s="1059"/>
      <c r="H3" s="1059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4" spans="1:25">
      <c r="A4" s="133"/>
      <c r="B4" s="771"/>
      <c r="C4" s="134"/>
      <c r="D4" s="136"/>
      <c r="E4" s="136"/>
      <c r="F4" s="136"/>
      <c r="G4" s="136"/>
      <c r="H4" s="136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25.5" customHeight="1">
      <c r="A5" s="1099" t="s">
        <v>641</v>
      </c>
      <c r="B5" s="1100"/>
      <c r="C5" s="1100"/>
      <c r="D5" s="1100"/>
      <c r="E5" s="1100"/>
      <c r="F5" s="1100"/>
      <c r="G5" s="1100"/>
      <c r="H5" s="1100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>
      <c r="A6" s="134"/>
      <c r="B6" s="772"/>
      <c r="C6" s="137"/>
      <c r="D6" s="138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</row>
    <row r="7" spans="1:25">
      <c r="A7" s="1101" t="s">
        <v>1022</v>
      </c>
      <c r="B7" s="1101"/>
      <c r="C7" s="1101"/>
      <c r="E7" s="140"/>
      <c r="F7" s="1103" t="s">
        <v>1023</v>
      </c>
      <c r="G7" s="1103"/>
      <c r="H7" s="1103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>
      <c r="A8" s="134"/>
      <c r="B8" s="773"/>
      <c r="C8" s="137"/>
      <c r="D8" s="138"/>
      <c r="E8" s="134"/>
      <c r="F8" s="142"/>
      <c r="G8" s="134"/>
      <c r="H8" s="143" t="s">
        <v>1</v>
      </c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ht="21">
      <c r="A9" s="129" t="s">
        <v>661</v>
      </c>
      <c r="B9" s="1097" t="s">
        <v>642</v>
      </c>
      <c r="C9" s="1098"/>
      <c r="D9" s="144" t="s">
        <v>4</v>
      </c>
      <c r="E9" s="128" t="s">
        <v>631</v>
      </c>
      <c r="F9" s="128" t="s">
        <v>632</v>
      </c>
      <c r="G9" s="128" t="s">
        <v>633</v>
      </c>
      <c r="H9" s="128" t="s">
        <v>634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>
      <c r="A10" s="146" t="s">
        <v>6</v>
      </c>
      <c r="B10" s="774" t="s">
        <v>7</v>
      </c>
      <c r="C10" s="147" t="s">
        <v>8</v>
      </c>
      <c r="D10" s="147" t="s">
        <v>9</v>
      </c>
      <c r="E10" s="146">
        <v>1</v>
      </c>
      <c r="F10" s="146">
        <v>2</v>
      </c>
      <c r="G10" s="146">
        <v>3</v>
      </c>
      <c r="H10" s="146">
        <v>4</v>
      </c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</row>
    <row r="11" spans="1:25">
      <c r="A11" s="1096" t="s">
        <v>635</v>
      </c>
      <c r="B11" s="775" t="s">
        <v>11</v>
      </c>
      <c r="C11" s="148" t="s">
        <v>643</v>
      </c>
      <c r="D11" s="149">
        <v>1</v>
      </c>
      <c r="E11" s="948"/>
      <c r="F11" s="948"/>
      <c r="G11" s="948"/>
      <c r="H11" s="228">
        <f>+E11+F11-G11</f>
        <v>0</v>
      </c>
      <c r="I11" s="949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>
      <c r="A12" s="1096"/>
      <c r="B12" s="782">
        <f>+B11+0.1</f>
        <v>1.2000000000000002</v>
      </c>
      <c r="C12" s="148" t="s">
        <v>962</v>
      </c>
      <c r="D12" s="149">
        <f>+D11+1</f>
        <v>2</v>
      </c>
      <c r="E12" s="948"/>
      <c r="F12" s="948"/>
      <c r="G12" s="948"/>
      <c r="H12" s="228">
        <f>+E12+F12-G12</f>
        <v>0</v>
      </c>
      <c r="I12" s="949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>
      <c r="A13" s="1096"/>
      <c r="B13" s="782">
        <f t="shared" ref="B13:B19" si="0">+B12+0.1</f>
        <v>1.3000000000000003</v>
      </c>
      <c r="C13" s="150" t="s">
        <v>644</v>
      </c>
      <c r="D13" s="149">
        <f>+D12+1</f>
        <v>3</v>
      </c>
      <c r="E13" s="948"/>
      <c r="F13" s="948"/>
      <c r="G13" s="948"/>
      <c r="H13" s="228">
        <f>+E13+F13-G13</f>
        <v>0</v>
      </c>
      <c r="I13" s="949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>
      <c r="A14" s="1096"/>
      <c r="B14" s="782">
        <f t="shared" si="0"/>
        <v>1.4000000000000004</v>
      </c>
      <c r="C14" s="148" t="s">
        <v>962</v>
      </c>
      <c r="D14" s="149">
        <f>+D13+1</f>
        <v>4</v>
      </c>
      <c r="E14" s="948"/>
      <c r="F14" s="948"/>
      <c r="G14" s="948"/>
      <c r="H14" s="228">
        <f>+E14+F14-G14</f>
        <v>0</v>
      </c>
      <c r="I14" s="949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>
      <c r="A15" s="1096"/>
      <c r="B15" s="782">
        <f t="shared" si="0"/>
        <v>1.5000000000000004</v>
      </c>
      <c r="C15" s="150" t="s">
        <v>645</v>
      </c>
      <c r="D15" s="149">
        <f t="shared" ref="D15:D29" si="1">+D14+1</f>
        <v>5</v>
      </c>
      <c r="E15" s="948"/>
      <c r="F15" s="948"/>
      <c r="G15" s="948"/>
      <c r="H15" s="228">
        <f t="shared" ref="H15:H27" si="2">+E15+F15-G15</f>
        <v>0</v>
      </c>
      <c r="I15" s="949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>
      <c r="A16" s="1096"/>
      <c r="B16" s="782">
        <f t="shared" si="0"/>
        <v>1.6000000000000005</v>
      </c>
      <c r="C16" s="150" t="s">
        <v>646</v>
      </c>
      <c r="D16" s="149">
        <f t="shared" si="1"/>
        <v>6</v>
      </c>
      <c r="E16" s="948"/>
      <c r="F16" s="948"/>
      <c r="G16" s="948"/>
      <c r="H16" s="228">
        <f t="shared" si="2"/>
        <v>0</v>
      </c>
      <c r="I16" s="949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>
      <c r="A17" s="1096"/>
      <c r="B17" s="782">
        <f t="shared" si="0"/>
        <v>1.7000000000000006</v>
      </c>
      <c r="C17" s="150" t="s">
        <v>647</v>
      </c>
      <c r="D17" s="149">
        <f t="shared" si="1"/>
        <v>7</v>
      </c>
      <c r="E17" s="948"/>
      <c r="F17" s="948"/>
      <c r="G17" s="948"/>
      <c r="H17" s="228">
        <f t="shared" si="2"/>
        <v>0</v>
      </c>
      <c r="I17" s="949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>
      <c r="A18" s="1096"/>
      <c r="B18" s="782">
        <f t="shared" si="0"/>
        <v>1.8000000000000007</v>
      </c>
      <c r="C18" s="150" t="s">
        <v>648</v>
      </c>
      <c r="D18" s="149">
        <f t="shared" si="1"/>
        <v>8</v>
      </c>
      <c r="E18" s="948"/>
      <c r="F18" s="948"/>
      <c r="G18" s="948"/>
      <c r="H18" s="228">
        <f t="shared" si="2"/>
        <v>0</v>
      </c>
      <c r="I18" s="949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>
      <c r="A19" s="1096"/>
      <c r="B19" s="782">
        <f t="shared" si="0"/>
        <v>1.9000000000000008</v>
      </c>
      <c r="C19" s="150" t="s">
        <v>649</v>
      </c>
      <c r="D19" s="149">
        <f t="shared" si="1"/>
        <v>9</v>
      </c>
      <c r="E19" s="948"/>
      <c r="F19" s="948"/>
      <c r="G19" s="948"/>
      <c r="H19" s="228">
        <f t="shared" si="2"/>
        <v>0</v>
      </c>
      <c r="I19" s="949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>
      <c r="A20" s="1096"/>
      <c r="B20" s="776">
        <v>1.1000000000000001</v>
      </c>
      <c r="C20" s="150" t="s">
        <v>650</v>
      </c>
      <c r="D20" s="149">
        <f t="shared" si="1"/>
        <v>10</v>
      </c>
      <c r="E20" s="948"/>
      <c r="F20" s="948"/>
      <c r="G20" s="948"/>
      <c r="H20" s="228">
        <f t="shared" si="2"/>
        <v>0</v>
      </c>
      <c r="I20" s="949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ht="21">
      <c r="A21" s="1096"/>
      <c r="B21" s="776">
        <f>+B20+0.01</f>
        <v>1.1100000000000001</v>
      </c>
      <c r="C21" s="150" t="s">
        <v>651</v>
      </c>
      <c r="D21" s="149">
        <f t="shared" si="1"/>
        <v>11</v>
      </c>
      <c r="E21" s="948"/>
      <c r="F21" s="948"/>
      <c r="G21" s="948"/>
      <c r="H21" s="228">
        <f t="shared" si="2"/>
        <v>0</v>
      </c>
      <c r="I21" s="949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>
      <c r="A22" s="1096"/>
      <c r="B22" s="776">
        <f t="shared" ref="B22:B28" si="3">+B21+0.01</f>
        <v>1.1200000000000001</v>
      </c>
      <c r="C22" s="150" t="s">
        <v>652</v>
      </c>
      <c r="D22" s="149">
        <f t="shared" si="1"/>
        <v>12</v>
      </c>
      <c r="E22" s="948"/>
      <c r="F22" s="948"/>
      <c r="G22" s="948"/>
      <c r="H22" s="228">
        <f t="shared" si="2"/>
        <v>0</v>
      </c>
      <c r="I22" s="949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>
      <c r="A23" s="1096"/>
      <c r="B23" s="776">
        <f t="shared" si="3"/>
        <v>1.1300000000000001</v>
      </c>
      <c r="C23" s="150" t="s">
        <v>653</v>
      </c>
      <c r="D23" s="149">
        <f t="shared" si="1"/>
        <v>13</v>
      </c>
      <c r="E23" s="948"/>
      <c r="F23" s="948"/>
      <c r="G23" s="948"/>
      <c r="H23" s="228">
        <f t="shared" si="2"/>
        <v>0</v>
      </c>
      <c r="I23" s="949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>
      <c r="A24" s="1096"/>
      <c r="B24" s="776">
        <f t="shared" si="3"/>
        <v>1.1400000000000001</v>
      </c>
      <c r="C24" s="150" t="s">
        <v>654</v>
      </c>
      <c r="D24" s="149">
        <f t="shared" si="1"/>
        <v>14</v>
      </c>
      <c r="E24" s="948"/>
      <c r="F24" s="948"/>
      <c r="G24" s="948"/>
      <c r="H24" s="228">
        <f t="shared" si="2"/>
        <v>0</v>
      </c>
      <c r="I24" s="949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>
      <c r="A25" s="1096"/>
      <c r="B25" s="776">
        <f t="shared" si="3"/>
        <v>1.1500000000000001</v>
      </c>
      <c r="C25" s="150" t="s">
        <v>655</v>
      </c>
      <c r="D25" s="149">
        <f t="shared" si="1"/>
        <v>15</v>
      </c>
      <c r="E25" s="948"/>
      <c r="F25" s="948"/>
      <c r="G25" s="948"/>
      <c r="H25" s="228">
        <f t="shared" si="2"/>
        <v>0</v>
      </c>
      <c r="I25" s="949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ht="21">
      <c r="A26" s="1096"/>
      <c r="B26" s="776">
        <f t="shared" si="3"/>
        <v>1.1600000000000001</v>
      </c>
      <c r="C26" s="150" t="s">
        <v>656</v>
      </c>
      <c r="D26" s="149">
        <f t="shared" si="1"/>
        <v>16</v>
      </c>
      <c r="E26" s="948"/>
      <c r="F26" s="948"/>
      <c r="G26" s="948"/>
      <c r="H26" s="228">
        <f t="shared" si="2"/>
        <v>0</v>
      </c>
      <c r="I26" s="949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ht="42">
      <c r="A27" s="1096"/>
      <c r="B27" s="776">
        <f t="shared" si="3"/>
        <v>1.1700000000000002</v>
      </c>
      <c r="C27" s="150" t="s">
        <v>657</v>
      </c>
      <c r="D27" s="149">
        <f>+D26+1</f>
        <v>17</v>
      </c>
      <c r="E27" s="948"/>
      <c r="F27" s="948"/>
      <c r="G27" s="948"/>
      <c r="H27" s="228">
        <f t="shared" si="2"/>
        <v>0</v>
      </c>
      <c r="I27" s="949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1:25" ht="31.5">
      <c r="A28" s="770"/>
      <c r="B28" s="776">
        <f t="shared" si="3"/>
        <v>1.1800000000000002</v>
      </c>
      <c r="C28" s="157" t="s">
        <v>658</v>
      </c>
      <c r="D28" s="149">
        <f t="shared" si="1"/>
        <v>18</v>
      </c>
      <c r="E28" s="948"/>
      <c r="F28" s="948"/>
      <c r="G28" s="948"/>
      <c r="H28" s="228">
        <f>+E28+F28-G28</f>
        <v>0</v>
      </c>
      <c r="I28" s="949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1:25" ht="31.5">
      <c r="A29" s="151" t="s">
        <v>639</v>
      </c>
      <c r="B29" s="778" t="s">
        <v>87</v>
      </c>
      <c r="C29" s="152" t="s">
        <v>659</v>
      </c>
      <c r="D29" s="149">
        <f t="shared" si="1"/>
        <v>19</v>
      </c>
      <c r="E29" s="214"/>
      <c r="F29" s="214"/>
      <c r="G29" s="214"/>
      <c r="H29" s="228">
        <f>+E29+F29-G29</f>
        <v>0</v>
      </c>
      <c r="I29" s="949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1:25">
      <c r="A30" s="1094" t="s">
        <v>626</v>
      </c>
      <c r="B30" s="1095"/>
      <c r="C30" s="1095"/>
      <c r="D30" s="146">
        <f>+D29+1</f>
        <v>20</v>
      </c>
      <c r="E30" s="216">
        <f>SUM(E11:E29)-E12-E14</f>
        <v>0</v>
      </c>
      <c r="F30" s="216">
        <f>SUM(F11:F29)-F12-F14</f>
        <v>0</v>
      </c>
      <c r="G30" s="216">
        <f>SUM(G11:G29)-G12-G14</f>
        <v>0</v>
      </c>
      <c r="H30" s="217">
        <f>E30+F30-G30</f>
        <v>0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</row>
    <row r="31" spans="1:25" s="208" customFormat="1" ht="13">
      <c r="A31" s="242"/>
      <c r="B31" s="779"/>
      <c r="C31" s="227"/>
      <c r="D31" s="251"/>
      <c r="E31" s="1012"/>
      <c r="F31" s="1012"/>
      <c r="G31" s="1012"/>
      <c r="H31" s="101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spans="1:25" s="208" customFormat="1" ht="13">
      <c r="A32" s="242"/>
      <c r="B32" s="779"/>
      <c r="C32" s="222" t="s">
        <v>910</v>
      </c>
      <c r="D32" s="251"/>
      <c r="E32" s="242"/>
      <c r="F32" s="242"/>
      <c r="G32" s="242"/>
      <c r="H32" s="24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spans="1:25" s="208" customFormat="1" ht="13">
      <c r="A33" s="242"/>
      <c r="B33" s="779"/>
      <c r="C33" s="227"/>
      <c r="D33" s="251"/>
      <c r="E33" s="242"/>
      <c r="F33" s="242"/>
      <c r="G33" s="242"/>
      <c r="H33" s="24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spans="1:25" ht="13">
      <c r="A34" s="230"/>
      <c r="B34" s="780"/>
      <c r="C34" s="227" t="s">
        <v>914</v>
      </c>
      <c r="D34" s="251"/>
      <c r="E34" s="242"/>
      <c r="F34" s="242"/>
      <c r="G34" s="230"/>
      <c r="H34" s="230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</row>
    <row r="35" spans="1:25" ht="13">
      <c r="A35" s="230"/>
      <c r="B35" s="780"/>
      <c r="C35" s="227"/>
      <c r="D35" s="251"/>
      <c r="E35" s="242"/>
      <c r="F35" s="242"/>
      <c r="G35" s="230"/>
      <c r="H35" s="230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</row>
    <row r="36" spans="1:25" ht="13">
      <c r="A36" s="230"/>
      <c r="B36" s="780"/>
      <c r="C36" s="252" t="s">
        <v>915</v>
      </c>
      <c r="D36" s="1104" t="s">
        <v>1017</v>
      </c>
      <c r="E36" s="1104"/>
      <c r="F36" s="31" t="s">
        <v>1018</v>
      </c>
      <c r="G36" s="230"/>
      <c r="H36" s="230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</row>
    <row r="37" spans="1:25" ht="13">
      <c r="A37" s="230"/>
      <c r="B37" s="780"/>
      <c r="C37" s="227"/>
      <c r="D37" s="1104"/>
      <c r="E37" s="1104"/>
      <c r="F37" s="242"/>
      <c r="G37" s="230"/>
      <c r="H37" s="230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</row>
    <row r="38" spans="1:25" ht="13">
      <c r="A38" s="230"/>
      <c r="B38" s="780"/>
      <c r="C38" s="252" t="s">
        <v>916</v>
      </c>
      <c r="D38" s="1104" t="s">
        <v>1019</v>
      </c>
      <c r="E38" s="1104"/>
      <c r="F38" s="31" t="s">
        <v>1020</v>
      </c>
      <c r="G38" s="230"/>
      <c r="H38" s="230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</row>
    <row r="39" spans="1:25" ht="13">
      <c r="A39" s="230"/>
      <c r="B39" s="780"/>
      <c r="C39" s="227"/>
      <c r="D39" s="1104"/>
      <c r="E39" s="1104"/>
      <c r="F39" s="242"/>
      <c r="G39" s="230"/>
      <c r="H39" s="230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</row>
    <row r="40" spans="1:25" ht="13">
      <c r="A40" s="230"/>
      <c r="B40" s="780"/>
      <c r="C40" s="250" t="s">
        <v>1021</v>
      </c>
      <c r="D40" s="1104" t="s">
        <v>1017</v>
      </c>
      <c r="E40" s="1104"/>
      <c r="F40" s="31" t="s">
        <v>1020</v>
      </c>
      <c r="G40" s="230"/>
      <c r="H40" s="230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</row>
    <row r="41" spans="1:25">
      <c r="A41" s="230"/>
      <c r="B41" s="780"/>
      <c r="C41" s="229"/>
      <c r="D41" s="1102"/>
      <c r="E41" s="1102"/>
      <c r="F41" s="230"/>
      <c r="G41" s="230"/>
      <c r="H41" s="230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</row>
    <row r="42" spans="1:25">
      <c r="A42" s="230"/>
      <c r="B42" s="780"/>
      <c r="C42" s="229"/>
      <c r="D42" s="253"/>
      <c r="E42" s="230"/>
      <c r="F42" s="230"/>
      <c r="G42" s="230"/>
      <c r="H42" s="230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</row>
    <row r="43" spans="1:25">
      <c r="A43" s="230"/>
      <c r="B43" s="780"/>
      <c r="C43" s="229"/>
      <c r="D43" s="253"/>
      <c r="E43" s="230"/>
      <c r="F43" s="230"/>
      <c r="G43" s="230"/>
      <c r="H43" s="230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</row>
    <row r="44" spans="1:25">
      <c r="A44" s="230"/>
      <c r="B44" s="780"/>
      <c r="C44" s="229"/>
      <c r="D44" s="253"/>
      <c r="E44" s="230"/>
      <c r="F44" s="230"/>
      <c r="G44" s="230"/>
      <c r="H44" s="230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</row>
    <row r="45" spans="1:25">
      <c r="A45" s="230"/>
      <c r="B45" s="780"/>
      <c r="C45" s="229"/>
      <c r="D45" s="253"/>
      <c r="E45" s="230"/>
      <c r="F45" s="230"/>
      <c r="G45" s="230"/>
      <c r="H45" s="230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</row>
    <row r="46" spans="1:25">
      <c r="A46" s="230"/>
      <c r="B46" s="780"/>
      <c r="C46" s="229"/>
      <c r="D46" s="253"/>
      <c r="E46" s="230"/>
      <c r="F46" s="230"/>
      <c r="G46" s="230"/>
      <c r="H46" s="230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</row>
    <row r="47" spans="1:25">
      <c r="A47" s="230"/>
      <c r="B47" s="780"/>
      <c r="C47" s="229"/>
      <c r="D47" s="253"/>
      <c r="E47" s="230"/>
      <c r="F47" s="230"/>
      <c r="G47" s="230"/>
      <c r="H47" s="230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</row>
    <row r="48" spans="1:25">
      <c r="A48" s="230"/>
      <c r="B48" s="780"/>
      <c r="C48" s="229"/>
      <c r="D48" s="253"/>
      <c r="E48" s="230"/>
      <c r="F48" s="230"/>
      <c r="G48" s="230"/>
      <c r="H48" s="230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</row>
    <row r="49" spans="1:25">
      <c r="A49" s="230"/>
      <c r="B49" s="780"/>
      <c r="C49" s="229"/>
      <c r="D49" s="253"/>
      <c r="E49" s="230"/>
      <c r="F49" s="230"/>
      <c r="G49" s="230"/>
      <c r="H49" s="230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</row>
    <row r="50" spans="1:25">
      <c r="A50" s="230"/>
      <c r="B50" s="780"/>
      <c r="C50" s="229"/>
      <c r="D50" s="253"/>
      <c r="E50" s="230"/>
      <c r="F50" s="230"/>
      <c r="G50" s="230"/>
      <c r="H50" s="230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</row>
    <row r="51" spans="1:25">
      <c r="A51" s="230"/>
      <c r="B51" s="780"/>
      <c r="C51" s="229"/>
      <c r="D51" s="253"/>
      <c r="E51" s="230"/>
      <c r="F51" s="230"/>
      <c r="G51" s="230"/>
      <c r="H51" s="230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</row>
    <row r="52" spans="1:25">
      <c r="A52" s="230"/>
      <c r="B52" s="780"/>
      <c r="C52" s="229"/>
      <c r="D52" s="253"/>
      <c r="E52" s="230"/>
      <c r="F52" s="230"/>
      <c r="G52" s="230"/>
      <c r="H52" s="230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</row>
    <row r="53" spans="1:25">
      <c r="A53" s="230"/>
      <c r="B53" s="780"/>
      <c r="C53" s="229"/>
      <c r="D53" s="253"/>
      <c r="E53" s="230"/>
      <c r="F53" s="230"/>
      <c r="G53" s="230"/>
      <c r="H53" s="230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</row>
    <row r="54" spans="1:25">
      <c r="A54" s="230"/>
      <c r="B54" s="780"/>
      <c r="C54" s="229"/>
      <c r="D54" s="253"/>
      <c r="E54" s="230"/>
      <c r="F54" s="230"/>
      <c r="G54" s="230"/>
      <c r="H54" s="230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</row>
    <row r="55" spans="1:25">
      <c r="A55" s="230"/>
      <c r="B55" s="780"/>
      <c r="C55" s="229"/>
      <c r="D55" s="253"/>
      <c r="E55" s="230"/>
      <c r="F55" s="230"/>
      <c r="G55" s="230"/>
      <c r="H55" s="230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</row>
    <row r="56" spans="1:25">
      <c r="A56" s="230"/>
      <c r="B56" s="780"/>
      <c r="C56" s="229"/>
      <c r="D56" s="253"/>
      <c r="E56" s="230"/>
      <c r="F56" s="230"/>
      <c r="G56" s="230"/>
      <c r="H56" s="230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</row>
    <row r="57" spans="1:25">
      <c r="A57" s="230"/>
      <c r="B57" s="780"/>
      <c r="C57" s="229"/>
      <c r="D57" s="253"/>
      <c r="E57" s="230"/>
      <c r="F57" s="230"/>
      <c r="G57" s="230"/>
      <c r="H57" s="230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</row>
    <row r="58" spans="1:25">
      <c r="A58" s="230"/>
      <c r="B58" s="780"/>
      <c r="C58" s="229"/>
      <c r="D58" s="253"/>
      <c r="E58" s="230"/>
      <c r="F58" s="230"/>
      <c r="G58" s="230"/>
      <c r="H58" s="230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</row>
    <row r="59" spans="1:25">
      <c r="A59" s="230"/>
      <c r="B59" s="780"/>
      <c r="C59" s="229"/>
      <c r="D59" s="253"/>
      <c r="E59" s="230"/>
      <c r="F59" s="230"/>
      <c r="G59" s="230"/>
      <c r="H59" s="230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</row>
    <row r="60" spans="1:25">
      <c r="A60" s="230"/>
      <c r="B60" s="780"/>
      <c r="C60" s="229"/>
      <c r="D60" s="253"/>
      <c r="E60" s="230"/>
      <c r="F60" s="230"/>
      <c r="G60" s="230"/>
      <c r="H60" s="230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</row>
    <row r="61" spans="1:25">
      <c r="A61" s="230"/>
      <c r="B61" s="780"/>
      <c r="C61" s="229"/>
      <c r="D61" s="253"/>
      <c r="E61" s="230"/>
      <c r="F61" s="230"/>
      <c r="G61" s="230"/>
      <c r="H61" s="230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</row>
    <row r="62" spans="1:25">
      <c r="A62" s="230"/>
      <c r="B62" s="780"/>
      <c r="C62" s="229"/>
      <c r="D62" s="253"/>
      <c r="E62" s="230"/>
      <c r="F62" s="230"/>
      <c r="G62" s="230"/>
      <c r="H62" s="230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</row>
    <row r="63" spans="1:25">
      <c r="A63" s="230"/>
      <c r="B63" s="780"/>
      <c r="C63" s="229"/>
      <c r="D63" s="253"/>
      <c r="E63" s="230"/>
      <c r="F63" s="230"/>
      <c r="G63" s="230"/>
      <c r="H63" s="230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</row>
    <row r="64" spans="1:25">
      <c r="A64" s="230"/>
      <c r="B64" s="780"/>
      <c r="C64" s="229"/>
      <c r="D64" s="253"/>
      <c r="E64" s="230"/>
      <c r="F64" s="230"/>
      <c r="G64" s="230"/>
      <c r="H64" s="230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</row>
    <row r="65" spans="1:25">
      <c r="A65" s="134"/>
      <c r="B65" s="781"/>
      <c r="C65" s="137"/>
      <c r="D65" s="138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</row>
    <row r="66" spans="1:25">
      <c r="A66" s="134"/>
      <c r="B66" s="781"/>
      <c r="C66" s="137"/>
      <c r="D66" s="138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</row>
    <row r="67" spans="1:25">
      <c r="A67" s="134"/>
      <c r="B67" s="781"/>
      <c r="C67" s="137"/>
      <c r="D67" s="138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</row>
    <row r="68" spans="1:25">
      <c r="A68" s="134"/>
      <c r="B68" s="781"/>
      <c r="C68" s="137"/>
      <c r="D68" s="138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</row>
    <row r="69" spans="1:25">
      <c r="A69" s="134"/>
      <c r="B69" s="781"/>
      <c r="C69" s="137"/>
      <c r="D69" s="138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</row>
    <row r="70" spans="1:25">
      <c r="A70" s="134"/>
      <c r="B70" s="781"/>
      <c r="C70" s="137"/>
      <c r="D70" s="138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</row>
    <row r="71" spans="1:25">
      <c r="A71" s="134"/>
      <c r="B71" s="781"/>
      <c r="C71" s="137"/>
      <c r="D71" s="138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</row>
    <row r="72" spans="1:25">
      <c r="A72" s="134"/>
      <c r="B72" s="781"/>
      <c r="C72" s="137"/>
      <c r="D72" s="138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</row>
    <row r="73" spans="1:25">
      <c r="A73" s="134"/>
      <c r="B73" s="781"/>
      <c r="C73" s="137"/>
      <c r="D73" s="138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</row>
    <row r="74" spans="1:25">
      <c r="A74" s="134"/>
      <c r="B74" s="781"/>
      <c r="C74" s="137"/>
      <c r="D74" s="138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</row>
    <row r="75" spans="1:25">
      <c r="A75" s="134"/>
      <c r="B75" s="781"/>
      <c r="C75" s="137"/>
      <c r="D75" s="138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</row>
    <row r="76" spans="1:25">
      <c r="A76" s="134"/>
      <c r="B76" s="781"/>
      <c r="C76" s="137"/>
      <c r="D76" s="138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</row>
    <row r="77" spans="1:25">
      <c r="A77" s="134"/>
      <c r="B77" s="781"/>
      <c r="C77" s="137"/>
      <c r="D77" s="138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  <row r="78" spans="1:25">
      <c r="A78" s="134"/>
      <c r="B78" s="781"/>
      <c r="C78" s="137"/>
      <c r="D78" s="138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</row>
    <row r="79" spans="1:25">
      <c r="A79" s="134"/>
      <c r="B79" s="781"/>
      <c r="C79" s="137"/>
      <c r="D79" s="138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</row>
    <row r="80" spans="1:25">
      <c r="A80" s="134"/>
      <c r="B80" s="781"/>
      <c r="C80" s="137"/>
      <c r="D80" s="138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</row>
    <row r="81" spans="1:25">
      <c r="A81" s="134"/>
      <c r="B81" s="781"/>
      <c r="C81" s="137"/>
      <c r="D81" s="138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</row>
    <row r="82" spans="1:25">
      <c r="A82" s="134"/>
      <c r="B82" s="781"/>
      <c r="C82" s="137"/>
      <c r="D82" s="138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</row>
    <row r="83" spans="1:25">
      <c r="A83" s="134"/>
      <c r="B83" s="781"/>
      <c r="C83" s="137"/>
      <c r="D83" s="138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</row>
    <row r="84" spans="1:25">
      <c r="A84" s="134"/>
      <c r="B84" s="781"/>
      <c r="C84" s="137"/>
      <c r="D84" s="138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</row>
    <row r="85" spans="1:25">
      <c r="A85" s="134"/>
      <c r="B85" s="781"/>
      <c r="C85" s="137"/>
      <c r="D85" s="138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</row>
    <row r="86" spans="1:25">
      <c r="A86" s="134"/>
      <c r="B86" s="781"/>
      <c r="C86" s="137"/>
      <c r="D86" s="138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</row>
    <row r="87" spans="1:25">
      <c r="A87" s="134"/>
      <c r="B87" s="781"/>
      <c r="C87" s="137"/>
      <c r="D87" s="138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</row>
    <row r="88" spans="1:25">
      <c r="A88" s="134"/>
      <c r="B88" s="781"/>
      <c r="C88" s="137"/>
      <c r="D88" s="138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</row>
    <row r="89" spans="1:25">
      <c r="A89" s="134"/>
      <c r="B89" s="781"/>
      <c r="C89" s="137"/>
      <c r="D89" s="138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</row>
    <row r="90" spans="1:25">
      <c r="A90" s="134"/>
      <c r="B90" s="781"/>
      <c r="C90" s="137"/>
      <c r="D90" s="138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</row>
    <row r="91" spans="1:25">
      <c r="A91" s="134"/>
      <c r="B91" s="781"/>
      <c r="C91" s="137"/>
      <c r="D91" s="138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</row>
    <row r="92" spans="1:25">
      <c r="A92" s="134"/>
      <c r="B92" s="781"/>
      <c r="C92" s="137"/>
      <c r="D92" s="138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</row>
    <row r="93" spans="1:25">
      <c r="A93" s="134"/>
      <c r="B93" s="781"/>
      <c r="C93" s="137"/>
      <c r="D93" s="138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</row>
    <row r="94" spans="1:25">
      <c r="A94" s="134"/>
      <c r="B94" s="781"/>
      <c r="C94" s="137"/>
      <c r="D94" s="138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</row>
    <row r="95" spans="1:25">
      <c r="A95" s="134"/>
      <c r="B95" s="781"/>
      <c r="C95" s="137"/>
      <c r="D95" s="138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</row>
    <row r="96" spans="1:25">
      <c r="A96" s="134"/>
      <c r="B96" s="781"/>
      <c r="C96" s="137"/>
      <c r="D96" s="138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</row>
    <row r="97" spans="1:25">
      <c r="A97" s="134"/>
      <c r="B97" s="781"/>
      <c r="C97" s="137"/>
      <c r="D97" s="138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</row>
    <row r="98" spans="1:25">
      <c r="A98" s="134"/>
      <c r="B98" s="781"/>
      <c r="C98" s="137"/>
      <c r="D98" s="138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</row>
    <row r="99" spans="1:25">
      <c r="A99" s="134"/>
      <c r="B99" s="781"/>
      <c r="C99" s="137"/>
      <c r="D99" s="138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</row>
    <row r="100" spans="1:25">
      <c r="A100" s="134"/>
      <c r="B100" s="781"/>
      <c r="C100" s="137"/>
      <c r="D100" s="138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>
      <c r="A101" s="134"/>
      <c r="B101" s="781"/>
      <c r="C101" s="137"/>
      <c r="D101" s="138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>
      <c r="A102" s="134"/>
      <c r="B102" s="781"/>
      <c r="C102" s="137"/>
      <c r="D102" s="138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>
      <c r="A103" s="134"/>
      <c r="B103" s="781"/>
      <c r="C103" s="137"/>
      <c r="D103" s="138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</row>
    <row r="104" spans="1:25">
      <c r="A104" s="134"/>
      <c r="B104" s="781"/>
      <c r="C104" s="137"/>
      <c r="D104" s="138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</row>
    <row r="105" spans="1:25">
      <c r="A105" s="134"/>
      <c r="B105" s="781"/>
      <c r="C105" s="137"/>
      <c r="D105" s="138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</row>
    <row r="106" spans="1:25">
      <c r="A106" s="134"/>
      <c r="B106" s="781"/>
      <c r="C106" s="137"/>
      <c r="D106" s="138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>
      <c r="A107" s="134"/>
      <c r="B107" s="781"/>
      <c r="C107" s="137"/>
      <c r="D107" s="138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>
      <c r="A108" s="134"/>
      <c r="B108" s="781"/>
      <c r="C108" s="137"/>
      <c r="D108" s="138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</row>
    <row r="109" spans="1:25">
      <c r="A109" s="134"/>
      <c r="B109" s="781"/>
      <c r="C109" s="137"/>
      <c r="D109" s="138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</row>
    <row r="110" spans="1:25">
      <c r="A110" s="134"/>
      <c r="B110" s="781"/>
      <c r="C110" s="137"/>
      <c r="D110" s="138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</row>
    <row r="111" spans="1:25">
      <c r="A111" s="134"/>
      <c r="B111" s="781"/>
      <c r="C111" s="137"/>
      <c r="D111" s="138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</row>
    <row r="112" spans="1:25">
      <c r="A112" s="134"/>
      <c r="B112" s="781"/>
      <c r="C112" s="137"/>
      <c r="D112" s="138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</row>
    <row r="113" spans="1:25">
      <c r="A113" s="134"/>
      <c r="B113" s="781"/>
      <c r="C113" s="137"/>
      <c r="D113" s="138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</row>
    <row r="114" spans="1:25">
      <c r="A114" s="134"/>
      <c r="B114" s="781"/>
      <c r="C114" s="137"/>
      <c r="D114" s="138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</row>
    <row r="115" spans="1:25">
      <c r="A115" s="134"/>
      <c r="B115" s="781"/>
      <c r="C115" s="137"/>
      <c r="D115" s="138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5">
      <c r="A116" s="134"/>
      <c r="B116" s="781"/>
      <c r="C116" s="137"/>
      <c r="D116" s="138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</row>
    <row r="117" spans="1:25">
      <c r="A117" s="134"/>
      <c r="B117" s="781"/>
      <c r="C117" s="137"/>
      <c r="D117" s="138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</row>
    <row r="118" spans="1:25">
      <c r="A118" s="134"/>
      <c r="B118" s="781"/>
      <c r="C118" s="137"/>
      <c r="D118" s="138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</row>
    <row r="119" spans="1:25">
      <c r="A119" s="134"/>
      <c r="B119" s="781"/>
      <c r="C119" s="137"/>
      <c r="D119" s="138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</row>
    <row r="120" spans="1:25">
      <c r="A120" s="134"/>
      <c r="B120" s="781"/>
      <c r="C120" s="137"/>
      <c r="D120" s="138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</row>
    <row r="121" spans="1:25">
      <c r="A121" s="134"/>
      <c r="B121" s="781"/>
      <c r="C121" s="137"/>
      <c r="D121" s="138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</row>
    <row r="122" spans="1:25">
      <c r="A122" s="134"/>
      <c r="B122" s="781"/>
      <c r="C122" s="137"/>
      <c r="D122" s="138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</row>
    <row r="123" spans="1:25">
      <c r="A123" s="134"/>
      <c r="B123" s="781"/>
      <c r="C123" s="137"/>
      <c r="D123" s="138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</row>
    <row r="124" spans="1:25">
      <c r="A124" s="134"/>
      <c r="B124" s="781"/>
      <c r="C124" s="137"/>
      <c r="D124" s="138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</row>
    <row r="125" spans="1:25">
      <c r="A125" s="134"/>
      <c r="B125" s="781"/>
      <c r="C125" s="137"/>
      <c r="D125" s="138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</row>
    <row r="126" spans="1:25">
      <c r="A126" s="134"/>
      <c r="B126" s="781"/>
      <c r="C126" s="137"/>
      <c r="D126" s="138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</row>
    <row r="127" spans="1:25">
      <c r="A127" s="134"/>
      <c r="B127" s="781"/>
      <c r="C127" s="137"/>
      <c r="D127" s="138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</row>
    <row r="128" spans="1:25">
      <c r="A128" s="134"/>
      <c r="B128" s="781"/>
      <c r="C128" s="137"/>
      <c r="D128" s="138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</row>
    <row r="129" spans="1:25">
      <c r="A129" s="134"/>
      <c r="B129" s="781"/>
      <c r="C129" s="137"/>
      <c r="D129" s="138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</row>
    <row r="130" spans="1:25">
      <c r="A130" s="134"/>
      <c r="B130" s="781"/>
      <c r="C130" s="137"/>
      <c r="D130" s="138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</row>
    <row r="131" spans="1:25">
      <c r="A131" s="134"/>
      <c r="B131" s="781"/>
      <c r="C131" s="137"/>
      <c r="D131" s="138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</row>
    <row r="132" spans="1:25">
      <c r="A132" s="134"/>
      <c r="B132" s="781"/>
      <c r="C132" s="137"/>
      <c r="D132" s="138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</row>
    <row r="133" spans="1:25">
      <c r="A133" s="134"/>
      <c r="B133" s="781"/>
      <c r="C133" s="137"/>
      <c r="D133" s="138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</row>
    <row r="134" spans="1:25">
      <c r="A134" s="134"/>
      <c r="B134" s="781"/>
      <c r="C134" s="137"/>
      <c r="D134" s="138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</row>
    <row r="135" spans="1:25">
      <c r="A135" s="134"/>
      <c r="B135" s="781"/>
      <c r="C135" s="137"/>
      <c r="D135" s="138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</row>
    <row r="136" spans="1:25">
      <c r="A136" s="134"/>
      <c r="B136" s="781"/>
      <c r="C136" s="137"/>
      <c r="D136" s="138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</row>
    <row r="137" spans="1:25">
      <c r="A137" s="134"/>
      <c r="B137" s="781"/>
      <c r="C137" s="137"/>
      <c r="D137" s="138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</row>
    <row r="138" spans="1:25">
      <c r="A138" s="134"/>
      <c r="B138" s="781"/>
      <c r="C138" s="137"/>
      <c r="D138" s="138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</row>
    <row r="139" spans="1:25">
      <c r="A139" s="134"/>
      <c r="B139" s="781"/>
      <c r="C139" s="137"/>
      <c r="D139" s="138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</row>
    <row r="140" spans="1:25">
      <c r="A140" s="134"/>
      <c r="B140" s="781"/>
      <c r="C140" s="137"/>
      <c r="D140" s="138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</row>
    <row r="141" spans="1:25">
      <c r="A141" s="134"/>
      <c r="B141" s="781"/>
      <c r="C141" s="137"/>
      <c r="D141" s="138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</row>
    <row r="142" spans="1:25">
      <c r="A142" s="134"/>
      <c r="B142" s="781"/>
      <c r="C142" s="137"/>
      <c r="D142" s="138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</row>
    <row r="143" spans="1:25">
      <c r="A143" s="134"/>
      <c r="B143" s="781"/>
      <c r="C143" s="137"/>
      <c r="D143" s="138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</row>
    <row r="144" spans="1:25">
      <c r="A144" s="134"/>
      <c r="B144" s="781"/>
      <c r="C144" s="137"/>
      <c r="D144" s="138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</row>
    <row r="145" spans="1:25">
      <c r="A145" s="134"/>
      <c r="B145" s="781"/>
      <c r="C145" s="137"/>
      <c r="D145" s="138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</row>
    <row r="146" spans="1:25">
      <c r="A146" s="134"/>
      <c r="B146" s="781"/>
      <c r="C146" s="137"/>
      <c r="D146" s="138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</row>
    <row r="147" spans="1:25">
      <c r="A147" s="134"/>
      <c r="B147" s="781"/>
      <c r="C147" s="137"/>
      <c r="D147" s="138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</row>
    <row r="148" spans="1:25">
      <c r="A148" s="134"/>
      <c r="B148" s="781"/>
      <c r="C148" s="137"/>
      <c r="D148" s="138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</row>
    <row r="149" spans="1:25">
      <c r="A149" s="134"/>
      <c r="B149" s="781"/>
      <c r="C149" s="137"/>
      <c r="D149" s="138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</row>
    <row r="150" spans="1:25">
      <c r="A150" s="134"/>
      <c r="B150" s="781"/>
      <c r="C150" s="137"/>
      <c r="D150" s="138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</row>
    <row r="151" spans="1:25">
      <c r="A151" s="134"/>
      <c r="B151" s="781"/>
      <c r="C151" s="137"/>
      <c r="D151" s="138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</row>
    <row r="152" spans="1:25">
      <c r="A152" s="134"/>
      <c r="B152" s="781"/>
      <c r="C152" s="137"/>
      <c r="D152" s="138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</row>
    <row r="153" spans="1:25">
      <c r="A153" s="134"/>
      <c r="B153" s="781"/>
      <c r="C153" s="137"/>
      <c r="D153" s="138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</row>
    <row r="154" spans="1:25">
      <c r="A154" s="134"/>
      <c r="B154" s="781"/>
      <c r="C154" s="137"/>
      <c r="D154" s="138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5">
      <c r="A155" s="134"/>
      <c r="B155" s="781"/>
      <c r="C155" s="137"/>
      <c r="D155" s="138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5">
      <c r="A156" s="134"/>
      <c r="B156" s="781"/>
      <c r="C156" s="137"/>
      <c r="D156" s="138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5">
      <c r="A157" s="134"/>
      <c r="B157" s="781"/>
      <c r="C157" s="137"/>
      <c r="D157" s="138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</row>
    <row r="158" spans="1:25">
      <c r="A158" s="134"/>
      <c r="B158" s="781"/>
      <c r="C158" s="137"/>
      <c r="D158" s="138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</row>
    <row r="159" spans="1:25">
      <c r="A159" s="134"/>
      <c r="B159" s="781"/>
      <c r="C159" s="137"/>
      <c r="D159" s="138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</row>
    <row r="160" spans="1:25">
      <c r="A160" s="134"/>
      <c r="B160" s="781"/>
      <c r="C160" s="137"/>
      <c r="D160" s="138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>
      <c r="A161" s="134"/>
      <c r="B161" s="781"/>
      <c r="C161" s="137"/>
      <c r="D161" s="138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>
      <c r="A162" s="134"/>
      <c r="B162" s="781"/>
      <c r="C162" s="137"/>
      <c r="D162" s="138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>
      <c r="A163" s="134"/>
      <c r="B163" s="781"/>
      <c r="C163" s="137"/>
      <c r="D163" s="138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>
      <c r="A164" s="134"/>
      <c r="B164" s="781"/>
      <c r="C164" s="137"/>
      <c r="D164" s="138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>
      <c r="A165" s="134"/>
      <c r="B165" s="781"/>
      <c r="C165" s="137"/>
      <c r="D165" s="138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>
      <c r="A166" s="134"/>
      <c r="B166" s="781"/>
      <c r="C166" s="137"/>
      <c r="D166" s="138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>
      <c r="A167" s="134"/>
      <c r="B167" s="781"/>
      <c r="C167" s="137"/>
      <c r="D167" s="138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>
      <c r="A168" s="134"/>
      <c r="B168" s="781"/>
      <c r="C168" s="137"/>
      <c r="D168" s="138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>
      <c r="A169" s="134"/>
      <c r="B169" s="781"/>
      <c r="C169" s="137"/>
      <c r="D169" s="138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>
      <c r="A170" s="134"/>
      <c r="B170" s="781"/>
      <c r="C170" s="137"/>
      <c r="D170" s="138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>
      <c r="A171" s="134"/>
      <c r="B171" s="781"/>
      <c r="C171" s="137"/>
      <c r="D171" s="138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>
      <c r="A172" s="134"/>
      <c r="B172" s="781"/>
      <c r="C172" s="137"/>
      <c r="D172" s="138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>
      <c r="A173" s="134"/>
      <c r="B173" s="781"/>
      <c r="C173" s="137"/>
      <c r="D173" s="138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>
      <c r="A174" s="134"/>
      <c r="B174" s="781"/>
      <c r="C174" s="137"/>
      <c r="D174" s="138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>
      <c r="A175" s="134"/>
      <c r="B175" s="781"/>
      <c r="C175" s="137"/>
      <c r="D175" s="138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>
      <c r="A176" s="134"/>
      <c r="B176" s="781"/>
      <c r="C176" s="137"/>
      <c r="D176" s="138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>
      <c r="A177" s="134"/>
      <c r="B177" s="781"/>
      <c r="C177" s="137"/>
      <c r="D177" s="138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>
      <c r="A178" s="134"/>
      <c r="B178" s="781"/>
      <c r="C178" s="137"/>
      <c r="D178" s="138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>
      <c r="A179" s="134"/>
      <c r="B179" s="781"/>
      <c r="C179" s="137"/>
      <c r="D179" s="138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>
      <c r="A180" s="134"/>
      <c r="B180" s="781"/>
      <c r="C180" s="137"/>
      <c r="D180" s="138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>
      <c r="A181" s="134"/>
      <c r="B181" s="781"/>
      <c r="C181" s="137"/>
      <c r="D181" s="138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>
      <c r="A182" s="134"/>
      <c r="B182" s="781"/>
      <c r="C182" s="137"/>
      <c r="D182" s="138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>
      <c r="A183" s="134"/>
      <c r="B183" s="781"/>
      <c r="C183" s="137"/>
      <c r="D183" s="138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>
      <c r="A184" s="134"/>
      <c r="B184" s="781"/>
      <c r="C184" s="137"/>
      <c r="D184" s="138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>
      <c r="A185" s="134"/>
      <c r="B185" s="781"/>
      <c r="C185" s="137"/>
      <c r="D185" s="138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>
      <c r="A186" s="134"/>
      <c r="B186" s="781"/>
      <c r="C186" s="137"/>
      <c r="D186" s="138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>
      <c r="A187" s="134"/>
      <c r="B187" s="781"/>
      <c r="C187" s="137"/>
      <c r="D187" s="138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>
      <c r="A188" s="134"/>
      <c r="B188" s="781"/>
      <c r="C188" s="137"/>
      <c r="D188" s="138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>
      <c r="A189" s="134"/>
      <c r="B189" s="781"/>
      <c r="C189" s="137"/>
      <c r="D189" s="138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>
      <c r="A190" s="134"/>
      <c r="B190" s="781"/>
      <c r="C190" s="137"/>
      <c r="D190" s="138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>
      <c r="A191" s="134"/>
      <c r="B191" s="781"/>
      <c r="C191" s="137"/>
      <c r="D191" s="138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>
      <c r="A192" s="134"/>
      <c r="B192" s="781"/>
      <c r="C192" s="137"/>
      <c r="D192" s="138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>
      <c r="A193" s="134"/>
      <c r="B193" s="781"/>
      <c r="C193" s="137"/>
      <c r="D193" s="138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>
      <c r="A194" s="134"/>
      <c r="B194" s="781"/>
      <c r="C194" s="137"/>
      <c r="D194" s="138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>
      <c r="A195" s="134"/>
      <c r="B195" s="781"/>
      <c r="C195" s="137"/>
      <c r="D195" s="138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>
      <c r="A196" s="134"/>
      <c r="B196" s="781"/>
      <c r="C196" s="137"/>
      <c r="D196" s="138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>
      <c r="A197" s="134"/>
      <c r="B197" s="781"/>
      <c r="C197" s="137"/>
      <c r="D197" s="138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>
      <c r="A198" s="134"/>
      <c r="B198" s="781"/>
      <c r="C198" s="137"/>
      <c r="D198" s="138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>
      <c r="A199" s="134"/>
      <c r="B199" s="781"/>
      <c r="C199" s="137"/>
      <c r="D199" s="138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>
      <c r="A200" s="134"/>
      <c r="B200" s="781"/>
      <c r="C200" s="137"/>
      <c r="D200" s="138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>
      <c r="A201" s="134"/>
      <c r="B201" s="781"/>
      <c r="C201" s="137"/>
      <c r="D201" s="138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>
      <c r="A202" s="134"/>
      <c r="B202" s="781"/>
      <c r="C202" s="137"/>
      <c r="D202" s="138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>
      <c r="A203" s="134"/>
      <c r="B203" s="781"/>
      <c r="C203" s="137"/>
      <c r="D203" s="138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>
      <c r="A204" s="134"/>
      <c r="B204" s="781"/>
      <c r="C204" s="137"/>
      <c r="D204" s="138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>
      <c r="A205" s="134"/>
      <c r="B205" s="781"/>
      <c r="C205" s="137"/>
      <c r="D205" s="138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>
      <c r="A206" s="134"/>
      <c r="B206" s="781"/>
      <c r="C206" s="137"/>
      <c r="D206" s="138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>
      <c r="A207" s="134"/>
      <c r="B207" s="781"/>
      <c r="C207" s="137"/>
      <c r="D207" s="138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>
      <c r="A208" s="134"/>
      <c r="B208" s="781"/>
      <c r="C208" s="137"/>
      <c r="D208" s="138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>
      <c r="A209" s="134"/>
      <c r="B209" s="781"/>
      <c r="C209" s="137"/>
      <c r="D209" s="138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>
      <c r="A210" s="134"/>
      <c r="B210" s="781"/>
      <c r="C210" s="137"/>
      <c r="D210" s="138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>
      <c r="A211" s="134"/>
      <c r="B211" s="781"/>
      <c r="C211" s="137"/>
      <c r="D211" s="138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>
      <c r="A212" s="134"/>
      <c r="B212" s="781"/>
      <c r="C212" s="137"/>
      <c r="D212" s="138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>
      <c r="A213" s="134"/>
      <c r="B213" s="781"/>
      <c r="C213" s="137"/>
      <c r="D213" s="138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</row>
    <row r="214" spans="1:25">
      <c r="A214" s="134"/>
      <c r="B214" s="781"/>
      <c r="C214" s="137"/>
      <c r="D214" s="138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</row>
    <row r="215" spans="1:25">
      <c r="A215" s="134"/>
      <c r="B215" s="781"/>
      <c r="C215" s="137"/>
      <c r="D215" s="138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</row>
    <row r="216" spans="1:25">
      <c r="A216" s="134"/>
      <c r="B216" s="781"/>
      <c r="C216" s="137"/>
      <c r="D216" s="138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</row>
    <row r="217" spans="1:25">
      <c r="A217" s="134"/>
      <c r="B217" s="781"/>
      <c r="C217" s="137"/>
      <c r="D217" s="138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</row>
    <row r="218" spans="1:25">
      <c r="A218" s="134"/>
      <c r="B218" s="781"/>
      <c r="C218" s="137"/>
      <c r="D218" s="138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</row>
    <row r="219" spans="1:25">
      <c r="A219" s="134"/>
      <c r="B219" s="781"/>
      <c r="C219" s="137"/>
      <c r="D219" s="138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</row>
    <row r="220" spans="1:25">
      <c r="A220" s="134"/>
      <c r="B220" s="781"/>
      <c r="C220" s="137"/>
      <c r="D220" s="138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</row>
    <row r="221" spans="1:25">
      <c r="A221" s="134"/>
      <c r="B221" s="781"/>
      <c r="C221" s="137"/>
      <c r="D221" s="138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</row>
    <row r="222" spans="1:25">
      <c r="A222" s="134"/>
      <c r="B222" s="781"/>
      <c r="C222" s="137"/>
      <c r="D222" s="138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</row>
    <row r="223" spans="1:25">
      <c r="A223" s="134"/>
      <c r="B223" s="781"/>
      <c r="C223" s="137"/>
      <c r="D223" s="138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</row>
    <row r="224" spans="1:25">
      <c r="A224" s="134"/>
      <c r="B224" s="781"/>
      <c r="C224" s="137"/>
      <c r="D224" s="138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</row>
    <row r="225" spans="1:25">
      <c r="A225" s="134"/>
      <c r="B225" s="781"/>
      <c r="C225" s="137"/>
      <c r="D225" s="138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</row>
    <row r="226" spans="1:25">
      <c r="A226" s="134"/>
      <c r="B226" s="781"/>
      <c r="C226" s="137"/>
      <c r="D226" s="138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</row>
    <row r="227" spans="1:25">
      <c r="A227" s="134"/>
      <c r="B227" s="781"/>
      <c r="C227" s="137"/>
      <c r="D227" s="138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</row>
    <row r="228" spans="1:25">
      <c r="A228" s="134"/>
      <c r="B228" s="781"/>
      <c r="C228" s="137"/>
      <c r="D228" s="138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</row>
    <row r="229" spans="1:25">
      <c r="A229" s="134"/>
      <c r="B229" s="781"/>
      <c r="C229" s="137"/>
      <c r="D229" s="138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</row>
    <row r="230" spans="1:25">
      <c r="A230" s="134"/>
      <c r="B230" s="781"/>
      <c r="C230" s="137"/>
      <c r="D230" s="138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</row>
    <row r="231" spans="1:25">
      <c r="A231" s="134"/>
      <c r="B231" s="781"/>
      <c r="C231" s="137"/>
      <c r="D231" s="138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</row>
    <row r="232" spans="1:25">
      <c r="A232" s="134"/>
      <c r="B232" s="781"/>
      <c r="C232" s="137"/>
      <c r="D232" s="138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</row>
    <row r="233" spans="1:25">
      <c r="A233" s="134"/>
      <c r="B233" s="781"/>
      <c r="C233" s="137"/>
      <c r="D233" s="138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</row>
    <row r="234" spans="1:25">
      <c r="A234" s="134"/>
      <c r="B234" s="781"/>
      <c r="C234" s="137"/>
      <c r="D234" s="138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</row>
    <row r="235" spans="1:25">
      <c r="A235" s="134"/>
      <c r="B235" s="781"/>
      <c r="C235" s="137"/>
      <c r="D235" s="138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</row>
    <row r="236" spans="1:25">
      <c r="A236" s="134"/>
      <c r="B236" s="781"/>
      <c r="C236" s="137"/>
      <c r="D236" s="138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</row>
    <row r="237" spans="1:25">
      <c r="A237" s="134"/>
      <c r="B237" s="781"/>
      <c r="C237" s="137"/>
      <c r="D237" s="138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</row>
    <row r="238" spans="1:25">
      <c r="A238" s="134"/>
      <c r="B238" s="781"/>
      <c r="C238" s="137"/>
      <c r="D238" s="138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</row>
    <row r="239" spans="1:25">
      <c r="A239" s="134"/>
      <c r="B239" s="781"/>
      <c r="C239" s="137"/>
      <c r="D239" s="138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</row>
    <row r="240" spans="1:25">
      <c r="A240" s="134"/>
      <c r="B240" s="781"/>
      <c r="C240" s="137"/>
      <c r="D240" s="138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</row>
    <row r="241" spans="1:25">
      <c r="A241" s="134"/>
      <c r="B241" s="781"/>
      <c r="C241" s="137"/>
      <c r="D241" s="138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</row>
    <row r="242" spans="1:25">
      <c r="A242" s="134"/>
      <c r="B242" s="781"/>
      <c r="C242" s="137"/>
      <c r="D242" s="138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</row>
    <row r="243" spans="1:25">
      <c r="A243" s="134"/>
      <c r="B243" s="781"/>
      <c r="C243" s="137"/>
      <c r="D243" s="138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</row>
    <row r="244" spans="1:25">
      <c r="A244" s="134"/>
      <c r="B244" s="781"/>
      <c r="C244" s="137"/>
      <c r="D244" s="138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</row>
    <row r="245" spans="1:25">
      <c r="A245" s="134"/>
      <c r="B245" s="781"/>
      <c r="C245" s="137"/>
      <c r="D245" s="138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</row>
    <row r="246" spans="1:25">
      <c r="A246" s="134"/>
      <c r="B246" s="781"/>
      <c r="C246" s="137"/>
      <c r="D246" s="138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</row>
    <row r="247" spans="1:25">
      <c r="A247" s="134"/>
      <c r="B247" s="781"/>
      <c r="C247" s="137"/>
      <c r="D247" s="138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</row>
    <row r="248" spans="1:25">
      <c r="A248" s="134"/>
      <c r="B248" s="781"/>
      <c r="C248" s="137"/>
      <c r="D248" s="138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</row>
    <row r="249" spans="1:25">
      <c r="A249" s="134"/>
      <c r="B249" s="781"/>
      <c r="C249" s="137"/>
      <c r="D249" s="138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</row>
    <row r="250" spans="1:25">
      <c r="A250" s="134"/>
      <c r="B250" s="781"/>
      <c r="C250" s="137"/>
      <c r="D250" s="138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</row>
    <row r="251" spans="1:25">
      <c r="A251" s="134"/>
      <c r="B251" s="781"/>
      <c r="C251" s="137"/>
      <c r="D251" s="138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</row>
    <row r="252" spans="1:25">
      <c r="A252" s="134"/>
      <c r="B252" s="781"/>
      <c r="C252" s="137"/>
      <c r="D252" s="138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</row>
    <row r="253" spans="1:25">
      <c r="A253" s="134"/>
      <c r="B253" s="781"/>
      <c r="C253" s="137"/>
      <c r="D253" s="138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</row>
    <row r="254" spans="1:25">
      <c r="A254" s="134"/>
      <c r="B254" s="781"/>
      <c r="C254" s="137"/>
      <c r="D254" s="138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</row>
    <row r="255" spans="1:25">
      <c r="A255" s="134"/>
      <c r="B255" s="781"/>
      <c r="C255" s="137"/>
      <c r="D255" s="138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</row>
    <row r="256" spans="1:25">
      <c r="A256" s="134"/>
      <c r="B256" s="781"/>
      <c r="C256" s="137"/>
      <c r="D256" s="138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</row>
    <row r="257" spans="1:25">
      <c r="A257" s="134"/>
      <c r="B257" s="781"/>
      <c r="C257" s="137"/>
      <c r="D257" s="138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</row>
    <row r="258" spans="1:25">
      <c r="A258" s="134"/>
      <c r="B258" s="781"/>
      <c r="C258" s="137"/>
      <c r="D258" s="138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</row>
    <row r="259" spans="1:25">
      <c r="A259" s="134"/>
      <c r="B259" s="781"/>
      <c r="C259" s="137"/>
      <c r="D259" s="138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</row>
    <row r="260" spans="1:25">
      <c r="A260" s="134"/>
      <c r="B260" s="781"/>
      <c r="C260" s="137"/>
      <c r="D260" s="138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</row>
    <row r="261" spans="1:25">
      <c r="A261" s="134"/>
      <c r="B261" s="781"/>
      <c r="C261" s="137"/>
      <c r="D261" s="138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</row>
    <row r="262" spans="1:25">
      <c r="A262" s="134"/>
      <c r="B262" s="781"/>
      <c r="C262" s="137"/>
      <c r="D262" s="138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</row>
    <row r="263" spans="1:25">
      <c r="A263" s="134"/>
      <c r="B263" s="781"/>
      <c r="C263" s="137"/>
      <c r="D263" s="138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</row>
    <row r="264" spans="1:25">
      <c r="A264" s="134"/>
      <c r="B264" s="781"/>
      <c r="C264" s="137"/>
      <c r="D264" s="138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</row>
    <row r="265" spans="1:25">
      <c r="A265" s="134"/>
      <c r="B265" s="781"/>
      <c r="C265" s="137"/>
      <c r="D265" s="138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</row>
    <row r="266" spans="1:25">
      <c r="A266" s="134"/>
      <c r="B266" s="781"/>
      <c r="C266" s="137"/>
      <c r="D266" s="138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</row>
    <row r="267" spans="1:25">
      <c r="A267" s="134"/>
      <c r="B267" s="781"/>
      <c r="C267" s="137"/>
      <c r="D267" s="138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</row>
    <row r="268" spans="1:25">
      <c r="A268" s="134"/>
      <c r="B268" s="781"/>
      <c r="C268" s="137"/>
      <c r="D268" s="138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1:25">
      <c r="A269" s="134"/>
      <c r="B269" s="781"/>
      <c r="C269" s="137"/>
      <c r="D269" s="138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</row>
    <row r="270" spans="1:25">
      <c r="A270" s="134"/>
      <c r="B270" s="781"/>
      <c r="C270" s="137"/>
      <c r="D270" s="138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</row>
    <row r="271" spans="1:25">
      <c r="A271" s="134"/>
      <c r="B271" s="781"/>
      <c r="C271" s="137"/>
      <c r="D271" s="138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</row>
    <row r="272" spans="1:25">
      <c r="A272" s="134"/>
      <c r="B272" s="781"/>
      <c r="C272" s="137"/>
      <c r="D272" s="138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</row>
    <row r="273" spans="1:25">
      <c r="A273" s="134"/>
      <c r="B273" s="781"/>
      <c r="C273" s="137"/>
      <c r="D273" s="138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</row>
    <row r="274" spans="1:25">
      <c r="A274" s="134"/>
      <c r="B274" s="781"/>
      <c r="C274" s="137"/>
      <c r="D274" s="138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</row>
    <row r="275" spans="1:25">
      <c r="A275" s="134"/>
      <c r="B275" s="781"/>
      <c r="C275" s="137"/>
      <c r="D275" s="138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</row>
    <row r="276" spans="1:25">
      <c r="A276" s="134"/>
      <c r="B276" s="781"/>
      <c r="C276" s="137"/>
      <c r="D276" s="138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</row>
    <row r="277" spans="1:25">
      <c r="A277" s="134"/>
      <c r="B277" s="781"/>
      <c r="C277" s="137"/>
      <c r="D277" s="138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</row>
    <row r="278" spans="1:25">
      <c r="A278" s="134"/>
      <c r="B278" s="781"/>
      <c r="C278" s="137"/>
      <c r="D278" s="138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</row>
    <row r="279" spans="1:25">
      <c r="A279" s="134"/>
      <c r="B279" s="781"/>
      <c r="C279" s="137"/>
      <c r="D279" s="138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</row>
    <row r="280" spans="1:25">
      <c r="A280" s="134"/>
      <c r="B280" s="781"/>
      <c r="C280" s="137"/>
      <c r="D280" s="138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</row>
    <row r="281" spans="1:25">
      <c r="A281" s="134"/>
      <c r="B281" s="781"/>
      <c r="C281" s="137"/>
      <c r="D281" s="138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</row>
    <row r="282" spans="1:25">
      <c r="A282" s="134"/>
      <c r="B282" s="781"/>
      <c r="C282" s="137"/>
      <c r="D282" s="138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</row>
    <row r="283" spans="1:25">
      <c r="A283" s="134"/>
      <c r="B283" s="781"/>
      <c r="C283" s="137"/>
      <c r="D283" s="138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</row>
    <row r="284" spans="1:25">
      <c r="A284" s="134"/>
      <c r="B284" s="781"/>
      <c r="C284" s="137"/>
      <c r="D284" s="138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</row>
    <row r="285" spans="1:25">
      <c r="A285" s="134"/>
      <c r="B285" s="781"/>
      <c r="C285" s="137"/>
      <c r="D285" s="138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</row>
    <row r="286" spans="1:25">
      <c r="A286" s="134"/>
      <c r="B286" s="781"/>
      <c r="C286" s="137"/>
      <c r="D286" s="138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</row>
    <row r="287" spans="1:25">
      <c r="A287" s="134"/>
      <c r="B287" s="781"/>
      <c r="C287" s="137"/>
      <c r="D287" s="138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</row>
    <row r="288" spans="1:25">
      <c r="A288" s="134"/>
      <c r="B288" s="781"/>
      <c r="C288" s="137"/>
      <c r="D288" s="138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</row>
    <row r="289" spans="1:25">
      <c r="A289" s="134"/>
      <c r="B289" s="781"/>
      <c r="C289" s="137"/>
      <c r="D289" s="138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</row>
    <row r="290" spans="1:25">
      <c r="A290" s="134"/>
      <c r="B290" s="781"/>
      <c r="C290" s="137"/>
      <c r="D290" s="138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</row>
    <row r="291" spans="1:25">
      <c r="A291" s="134"/>
      <c r="B291" s="781"/>
      <c r="C291" s="137"/>
      <c r="D291" s="138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</row>
    <row r="292" spans="1:25">
      <c r="A292" s="134"/>
      <c r="B292" s="781"/>
      <c r="C292" s="137"/>
      <c r="D292" s="138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</row>
    <row r="293" spans="1:25">
      <c r="A293" s="134"/>
      <c r="B293" s="781"/>
      <c r="C293" s="137"/>
      <c r="D293" s="138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</row>
    <row r="294" spans="1:25">
      <c r="A294" s="134"/>
      <c r="B294" s="781"/>
      <c r="C294" s="137"/>
      <c r="D294" s="138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</row>
    <row r="295" spans="1:25">
      <c r="A295" s="134"/>
      <c r="B295" s="781"/>
      <c r="C295" s="137"/>
      <c r="D295" s="138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</row>
    <row r="296" spans="1:25">
      <c r="A296" s="134"/>
      <c r="B296" s="781"/>
      <c r="C296" s="137"/>
      <c r="D296" s="138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</row>
    <row r="297" spans="1:25">
      <c r="A297" s="134"/>
      <c r="B297" s="781"/>
      <c r="C297" s="137"/>
      <c r="D297" s="138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</row>
    <row r="298" spans="1:25">
      <c r="A298" s="134"/>
      <c r="B298" s="781"/>
      <c r="C298" s="137"/>
      <c r="D298" s="138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</row>
    <row r="299" spans="1:25">
      <c r="A299" s="134"/>
      <c r="B299" s="781"/>
      <c r="C299" s="137"/>
      <c r="D299" s="138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</row>
    <row r="300" spans="1:25">
      <c r="A300" s="134"/>
      <c r="B300" s="781"/>
      <c r="C300" s="137"/>
      <c r="D300" s="138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</row>
    <row r="301" spans="1:25">
      <c r="A301" s="134"/>
      <c r="B301" s="781"/>
      <c r="C301" s="137"/>
      <c r="D301" s="138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</row>
    <row r="302" spans="1:25">
      <c r="A302" s="134"/>
      <c r="B302" s="781"/>
      <c r="C302" s="137"/>
      <c r="D302" s="138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</row>
    <row r="303" spans="1:25">
      <c r="A303" s="134"/>
      <c r="B303" s="781"/>
      <c r="C303" s="137"/>
      <c r="D303" s="138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</row>
    <row r="304" spans="1:25">
      <c r="A304" s="134"/>
      <c r="B304" s="781"/>
      <c r="C304" s="137"/>
      <c r="D304" s="138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</row>
    <row r="305" spans="1:25">
      <c r="A305" s="134"/>
      <c r="B305" s="781"/>
      <c r="C305" s="137"/>
      <c r="D305" s="138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</row>
    <row r="306" spans="1:25">
      <c r="A306" s="134"/>
      <c r="B306" s="781"/>
      <c r="C306" s="137"/>
      <c r="D306" s="138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</row>
    <row r="307" spans="1:25">
      <c r="A307" s="134"/>
      <c r="B307" s="781"/>
      <c r="C307" s="137"/>
      <c r="D307" s="138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</row>
    <row r="308" spans="1:25">
      <c r="A308" s="134"/>
      <c r="B308" s="781"/>
      <c r="C308" s="137"/>
      <c r="D308" s="138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</row>
    <row r="309" spans="1:25">
      <c r="A309" s="134"/>
      <c r="B309" s="781"/>
      <c r="C309" s="137"/>
      <c r="D309" s="138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</row>
    <row r="310" spans="1:25">
      <c r="A310" s="134"/>
      <c r="B310" s="781"/>
      <c r="C310" s="137"/>
      <c r="D310" s="138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</row>
    <row r="311" spans="1:25">
      <c r="A311" s="134"/>
      <c r="B311" s="781"/>
      <c r="C311" s="137"/>
      <c r="D311" s="138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</row>
    <row r="312" spans="1:25">
      <c r="A312" s="134"/>
      <c r="B312" s="781"/>
      <c r="C312" s="137"/>
      <c r="D312" s="138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</row>
    <row r="313" spans="1:25">
      <c r="A313" s="134"/>
      <c r="B313" s="781"/>
      <c r="C313" s="137"/>
      <c r="D313" s="138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</row>
    <row r="314" spans="1:25">
      <c r="A314" s="134"/>
      <c r="B314" s="781"/>
      <c r="C314" s="137"/>
      <c r="D314" s="138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</row>
    <row r="315" spans="1:25">
      <c r="A315" s="134"/>
      <c r="B315" s="781"/>
      <c r="C315" s="137"/>
      <c r="D315" s="138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</row>
    <row r="316" spans="1:25">
      <c r="A316" s="134"/>
      <c r="B316" s="781"/>
      <c r="C316" s="137"/>
      <c r="D316" s="138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</row>
    <row r="317" spans="1:25">
      <c r="A317" s="134"/>
      <c r="B317" s="781"/>
      <c r="C317" s="137"/>
      <c r="D317" s="138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</row>
    <row r="318" spans="1:25">
      <c r="A318" s="134"/>
      <c r="B318" s="781"/>
      <c r="C318" s="137"/>
      <c r="D318" s="138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</row>
    <row r="319" spans="1:25">
      <c r="A319" s="134"/>
      <c r="B319" s="781"/>
      <c r="C319" s="137"/>
      <c r="D319" s="138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</row>
    <row r="320" spans="1:25">
      <c r="A320" s="134"/>
      <c r="B320" s="781"/>
      <c r="C320" s="137"/>
      <c r="D320" s="138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</row>
    <row r="321" spans="1:25">
      <c r="A321" s="134"/>
      <c r="B321" s="781"/>
      <c r="C321" s="137"/>
      <c r="D321" s="138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</row>
    <row r="322" spans="1:25">
      <c r="A322" s="134"/>
      <c r="B322" s="781"/>
      <c r="C322" s="137"/>
      <c r="D322" s="138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</row>
    <row r="323" spans="1:25">
      <c r="A323" s="134"/>
      <c r="B323" s="781"/>
      <c r="C323" s="137"/>
      <c r="D323" s="138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</row>
    <row r="324" spans="1:25">
      <c r="A324" s="134"/>
      <c r="B324" s="781"/>
      <c r="C324" s="137"/>
      <c r="D324" s="138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</row>
    <row r="325" spans="1:25">
      <c r="A325" s="134"/>
      <c r="B325" s="781"/>
      <c r="C325" s="137"/>
      <c r="D325" s="138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</row>
    <row r="326" spans="1:25">
      <c r="A326" s="134"/>
      <c r="B326" s="781"/>
      <c r="C326" s="137"/>
      <c r="D326" s="138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</row>
    <row r="327" spans="1:25">
      <c r="A327" s="134"/>
      <c r="B327" s="781"/>
      <c r="C327" s="137"/>
      <c r="D327" s="138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</row>
    <row r="328" spans="1:25">
      <c r="A328" s="134"/>
      <c r="B328" s="781"/>
      <c r="C328" s="137"/>
      <c r="D328" s="138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</row>
    <row r="329" spans="1:25">
      <c r="A329" s="134"/>
      <c r="B329" s="781"/>
      <c r="C329" s="137"/>
      <c r="D329" s="138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</row>
    <row r="330" spans="1:25">
      <c r="A330" s="134"/>
      <c r="B330" s="781"/>
      <c r="C330" s="137"/>
      <c r="D330" s="138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</row>
    <row r="331" spans="1:25">
      <c r="A331" s="134"/>
      <c r="B331" s="781"/>
      <c r="C331" s="137"/>
      <c r="D331" s="138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</row>
    <row r="332" spans="1:25">
      <c r="A332" s="134"/>
      <c r="B332" s="781"/>
      <c r="C332" s="137"/>
      <c r="D332" s="138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</row>
    <row r="333" spans="1:25">
      <c r="A333" s="134"/>
      <c r="B333" s="781"/>
      <c r="C333" s="137"/>
      <c r="D333" s="138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</row>
    <row r="334" spans="1:25">
      <c r="A334" s="134"/>
      <c r="B334" s="781"/>
      <c r="C334" s="137"/>
      <c r="D334" s="138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</row>
    <row r="335" spans="1:25">
      <c r="A335" s="134"/>
      <c r="B335" s="781"/>
      <c r="C335" s="137"/>
      <c r="D335" s="138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</row>
    <row r="336" spans="1:25">
      <c r="A336" s="134"/>
      <c r="B336" s="781"/>
      <c r="C336" s="137"/>
      <c r="D336" s="138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</row>
    <row r="337" spans="1:25">
      <c r="A337" s="134"/>
      <c r="B337" s="781"/>
      <c r="C337" s="137"/>
      <c r="D337" s="138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</row>
    <row r="338" spans="1:25">
      <c r="A338" s="134"/>
      <c r="B338" s="781"/>
      <c r="C338" s="137"/>
      <c r="D338" s="138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</row>
    <row r="339" spans="1:25">
      <c r="A339" s="134"/>
      <c r="B339" s="781"/>
      <c r="C339" s="137"/>
      <c r="D339" s="138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</row>
    <row r="340" spans="1:25">
      <c r="A340" s="134"/>
      <c r="B340" s="781"/>
      <c r="C340" s="137"/>
      <c r="D340" s="138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</row>
    <row r="341" spans="1:25">
      <c r="A341" s="134"/>
      <c r="B341" s="781"/>
      <c r="C341" s="137"/>
      <c r="D341" s="138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</row>
    <row r="342" spans="1:25">
      <c r="A342" s="134"/>
      <c r="B342" s="781"/>
      <c r="C342" s="137"/>
      <c r="D342" s="138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</row>
    <row r="343" spans="1:25">
      <c r="A343" s="134"/>
      <c r="B343" s="781"/>
      <c r="C343" s="137"/>
      <c r="D343" s="138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</row>
    <row r="344" spans="1:25">
      <c r="A344" s="134"/>
      <c r="B344" s="781"/>
      <c r="C344" s="137"/>
      <c r="D344" s="138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</row>
    <row r="345" spans="1:25">
      <c r="A345" s="134"/>
      <c r="B345" s="781"/>
      <c r="C345" s="137"/>
      <c r="D345" s="138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</row>
    <row r="346" spans="1:25">
      <c r="A346" s="134"/>
      <c r="B346" s="781"/>
      <c r="C346" s="137"/>
      <c r="D346" s="138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</row>
    <row r="347" spans="1:25">
      <c r="A347" s="134"/>
      <c r="B347" s="781"/>
      <c r="C347" s="137"/>
      <c r="D347" s="138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</row>
    <row r="348" spans="1:25">
      <c r="A348" s="134"/>
      <c r="B348" s="781"/>
      <c r="C348" s="137"/>
      <c r="D348" s="138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</row>
    <row r="349" spans="1:25">
      <c r="A349" s="134"/>
      <c r="B349" s="781"/>
      <c r="C349" s="137"/>
      <c r="D349" s="138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</row>
    <row r="350" spans="1:25">
      <c r="A350" s="134"/>
      <c r="B350" s="781"/>
      <c r="C350" s="137"/>
      <c r="D350" s="138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</row>
    <row r="351" spans="1:25">
      <c r="A351" s="134"/>
      <c r="B351" s="781"/>
      <c r="C351" s="137"/>
      <c r="D351" s="138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</row>
    <row r="352" spans="1:25">
      <c r="A352" s="134"/>
      <c r="B352" s="781"/>
      <c r="C352" s="137"/>
      <c r="D352" s="138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</row>
    <row r="353" spans="1:25">
      <c r="A353" s="134"/>
      <c r="B353" s="781"/>
      <c r="C353" s="137"/>
      <c r="D353" s="138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</row>
    <row r="354" spans="1:25">
      <c r="A354" s="134"/>
      <c r="B354" s="781"/>
      <c r="C354" s="137"/>
      <c r="D354" s="138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</row>
    <row r="355" spans="1:25">
      <c r="A355" s="134"/>
      <c r="B355" s="781"/>
      <c r="C355" s="137"/>
      <c r="D355" s="138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</row>
    <row r="356" spans="1:25">
      <c r="A356" s="134"/>
      <c r="B356" s="781"/>
      <c r="C356" s="137"/>
      <c r="D356" s="138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</row>
    <row r="357" spans="1:25">
      <c r="A357" s="134"/>
      <c r="B357" s="781"/>
      <c r="C357" s="137"/>
      <c r="D357" s="138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</row>
    <row r="358" spans="1:25">
      <c r="A358" s="134"/>
      <c r="B358" s="781"/>
      <c r="C358" s="137"/>
      <c r="D358" s="138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</row>
    <row r="359" spans="1:25">
      <c r="A359" s="134"/>
      <c r="B359" s="781"/>
      <c r="C359" s="137"/>
      <c r="D359" s="138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</row>
    <row r="360" spans="1:25">
      <c r="A360" s="134"/>
      <c r="B360" s="781"/>
      <c r="C360" s="137"/>
      <c r="D360" s="138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</row>
    <row r="361" spans="1:25">
      <c r="A361" s="134"/>
      <c r="B361" s="781"/>
      <c r="C361" s="137"/>
      <c r="D361" s="138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</row>
    <row r="362" spans="1:25">
      <c r="A362" s="134"/>
      <c r="B362" s="781"/>
      <c r="C362" s="137"/>
      <c r="D362" s="138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</row>
    <row r="363" spans="1:25">
      <c r="A363" s="134"/>
      <c r="B363" s="781"/>
      <c r="C363" s="137"/>
      <c r="D363" s="138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</row>
    <row r="364" spans="1:25">
      <c r="A364" s="134"/>
      <c r="B364" s="781"/>
      <c r="C364" s="137"/>
      <c r="D364" s="138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</row>
    <row r="365" spans="1:25">
      <c r="A365" s="134"/>
      <c r="B365" s="781"/>
      <c r="C365" s="137"/>
      <c r="D365" s="138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</row>
    <row r="366" spans="1:25">
      <c r="A366" s="134"/>
      <c r="B366" s="781"/>
      <c r="C366" s="137"/>
      <c r="D366" s="138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</row>
    <row r="367" spans="1:25">
      <c r="A367" s="134"/>
      <c r="B367" s="781"/>
      <c r="C367" s="137"/>
      <c r="D367" s="138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</row>
    <row r="368" spans="1:25">
      <c r="A368" s="134"/>
      <c r="B368" s="781"/>
      <c r="C368" s="137"/>
      <c r="D368" s="138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</row>
    <row r="369" spans="1:25">
      <c r="A369" s="134"/>
      <c r="B369" s="781"/>
      <c r="C369" s="137"/>
      <c r="D369" s="138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</row>
    <row r="370" spans="1:25">
      <c r="A370" s="134"/>
      <c r="B370" s="781"/>
      <c r="C370" s="137"/>
      <c r="D370" s="138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</row>
    <row r="371" spans="1:25">
      <c r="A371" s="134"/>
      <c r="B371" s="781"/>
      <c r="C371" s="137"/>
      <c r="D371" s="138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</row>
    <row r="372" spans="1:25">
      <c r="A372" s="134"/>
      <c r="B372" s="781"/>
      <c r="C372" s="137"/>
      <c r="D372" s="138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</row>
    <row r="373" spans="1:25">
      <c r="A373" s="134"/>
      <c r="B373" s="781"/>
      <c r="C373" s="137"/>
      <c r="D373" s="138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</row>
    <row r="374" spans="1:25">
      <c r="A374" s="134"/>
      <c r="B374" s="781"/>
      <c r="C374" s="137"/>
      <c r="D374" s="138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</row>
    <row r="375" spans="1:25">
      <c r="A375" s="134"/>
      <c r="B375" s="781"/>
      <c r="C375" s="137"/>
      <c r="D375" s="138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</row>
    <row r="376" spans="1:25">
      <c r="A376" s="134"/>
      <c r="B376" s="781"/>
      <c r="C376" s="137"/>
      <c r="D376" s="138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</row>
    <row r="377" spans="1:25">
      <c r="A377" s="134"/>
      <c r="B377" s="781"/>
      <c r="C377" s="137"/>
      <c r="D377" s="138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</row>
    <row r="378" spans="1:25">
      <c r="A378" s="134"/>
      <c r="B378" s="781"/>
      <c r="C378" s="137"/>
      <c r="D378" s="138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</row>
    <row r="379" spans="1:25">
      <c r="A379" s="134"/>
      <c r="B379" s="781"/>
      <c r="C379" s="137"/>
      <c r="D379" s="138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</row>
    <row r="380" spans="1:25">
      <c r="A380" s="134"/>
      <c r="B380" s="781"/>
      <c r="C380" s="137"/>
      <c r="D380" s="138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</row>
    <row r="381" spans="1:25">
      <c r="A381" s="134"/>
      <c r="B381" s="781"/>
      <c r="C381" s="137"/>
      <c r="D381" s="138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</row>
    <row r="382" spans="1:25">
      <c r="A382" s="134"/>
      <c r="B382" s="781"/>
      <c r="C382" s="137"/>
      <c r="D382" s="138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</row>
    <row r="383" spans="1:25">
      <c r="A383" s="134"/>
      <c r="B383" s="781"/>
      <c r="C383" s="137"/>
      <c r="D383" s="138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</row>
    <row r="384" spans="1:25">
      <c r="A384" s="134"/>
      <c r="B384" s="781"/>
      <c r="C384" s="137"/>
      <c r="D384" s="138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</row>
    <row r="385" spans="1:25">
      <c r="A385" s="134"/>
      <c r="B385" s="781"/>
      <c r="C385" s="137"/>
      <c r="D385" s="138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</row>
    <row r="386" spans="1:25">
      <c r="A386" s="134"/>
      <c r="B386" s="781"/>
      <c r="C386" s="137"/>
      <c r="D386" s="138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</row>
    <row r="387" spans="1:25">
      <c r="A387" s="134"/>
      <c r="B387" s="781"/>
      <c r="C387" s="137"/>
      <c r="D387" s="138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</row>
    <row r="388" spans="1:25">
      <c r="A388" s="134"/>
      <c r="B388" s="781"/>
      <c r="C388" s="137"/>
      <c r="D388" s="138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</row>
    <row r="389" spans="1:25">
      <c r="A389" s="134"/>
      <c r="B389" s="781"/>
      <c r="C389" s="137"/>
      <c r="D389" s="138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</row>
    <row r="390" spans="1:25">
      <c r="A390" s="134"/>
      <c r="B390" s="781"/>
      <c r="C390" s="137"/>
      <c r="D390" s="138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</row>
    <row r="391" spans="1:25">
      <c r="A391" s="134"/>
      <c r="B391" s="781"/>
      <c r="C391" s="137"/>
      <c r="D391" s="138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</row>
    <row r="392" spans="1:25">
      <c r="A392" s="134"/>
      <c r="B392" s="781"/>
      <c r="C392" s="137"/>
      <c r="D392" s="138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</row>
    <row r="393" spans="1:25">
      <c r="A393" s="134"/>
      <c r="B393" s="781"/>
      <c r="C393" s="137"/>
      <c r="D393" s="138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</row>
    <row r="394" spans="1:25">
      <c r="A394" s="134"/>
      <c r="B394" s="781"/>
      <c r="C394" s="137"/>
      <c r="D394" s="138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</row>
    <row r="395" spans="1:25">
      <c r="A395" s="134"/>
      <c r="B395" s="781"/>
      <c r="C395" s="137"/>
      <c r="D395" s="138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</row>
    <row r="396" spans="1:25">
      <c r="A396" s="134"/>
      <c r="B396" s="781"/>
      <c r="C396" s="137"/>
      <c r="D396" s="138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</row>
    <row r="397" spans="1:25">
      <c r="A397" s="134"/>
      <c r="B397" s="781"/>
      <c r="C397" s="137"/>
      <c r="D397" s="138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</row>
    <row r="398" spans="1:25">
      <c r="A398" s="134"/>
      <c r="B398" s="781"/>
      <c r="C398" s="137"/>
      <c r="D398" s="138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</row>
    <row r="399" spans="1:25">
      <c r="A399" s="134"/>
      <c r="B399" s="781"/>
      <c r="C399" s="137"/>
      <c r="D399" s="138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</row>
    <row r="400" spans="1:25">
      <c r="A400" s="134"/>
      <c r="B400" s="781"/>
      <c r="C400" s="137"/>
      <c r="D400" s="138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</row>
    <row r="401" spans="1:25">
      <c r="A401" s="134"/>
      <c r="B401" s="781"/>
      <c r="C401" s="137"/>
      <c r="D401" s="138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</row>
    <row r="402" spans="1:25">
      <c r="A402" s="134"/>
      <c r="B402" s="781"/>
      <c r="C402" s="137"/>
      <c r="D402" s="138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</row>
    <row r="403" spans="1:25">
      <c r="A403" s="134"/>
      <c r="B403" s="781"/>
      <c r="C403" s="137"/>
      <c r="D403" s="138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</row>
    <row r="404" spans="1:25">
      <c r="A404" s="134"/>
      <c r="B404" s="781"/>
      <c r="C404" s="137"/>
      <c r="D404" s="138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</row>
    <row r="405" spans="1:25">
      <c r="A405" s="134"/>
      <c r="B405" s="781"/>
      <c r="C405" s="137"/>
      <c r="D405" s="138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</row>
    <row r="406" spans="1:25">
      <c r="A406" s="134"/>
      <c r="B406" s="781"/>
      <c r="C406" s="137"/>
      <c r="D406" s="138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</row>
    <row r="407" spans="1:25">
      <c r="A407" s="134"/>
      <c r="B407" s="781"/>
      <c r="C407" s="137"/>
      <c r="D407" s="138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</row>
    <row r="408" spans="1:25">
      <c r="A408" s="134"/>
      <c r="B408" s="781"/>
      <c r="C408" s="137"/>
      <c r="D408" s="138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</row>
    <row r="409" spans="1:25">
      <c r="A409" s="134"/>
      <c r="B409" s="781"/>
      <c r="C409" s="137"/>
      <c r="D409" s="138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</row>
    <row r="410" spans="1:25">
      <c r="A410" s="134"/>
      <c r="B410" s="781"/>
      <c r="C410" s="137"/>
      <c r="D410" s="138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</row>
    <row r="411" spans="1:25">
      <c r="A411" s="134"/>
      <c r="B411" s="781"/>
      <c r="C411" s="137"/>
      <c r="D411" s="138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</row>
    <row r="412" spans="1:25">
      <c r="A412" s="134"/>
      <c r="B412" s="781"/>
      <c r="C412" s="137"/>
      <c r="D412" s="138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</row>
    <row r="413" spans="1:25">
      <c r="A413" s="134"/>
      <c r="B413" s="781"/>
      <c r="C413" s="137"/>
      <c r="D413" s="138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</row>
    <row r="414" spans="1:25">
      <c r="A414" s="134"/>
      <c r="B414" s="781"/>
      <c r="C414" s="137"/>
      <c r="D414" s="138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</row>
    <row r="415" spans="1:25">
      <c r="A415" s="134"/>
      <c r="B415" s="781"/>
      <c r="C415" s="137"/>
      <c r="D415" s="138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</row>
    <row r="416" spans="1:25">
      <c r="A416" s="134"/>
      <c r="B416" s="781"/>
      <c r="C416" s="137"/>
      <c r="D416" s="138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</row>
    <row r="417" spans="1:25">
      <c r="A417" s="134"/>
      <c r="B417" s="781"/>
      <c r="C417" s="137"/>
      <c r="D417" s="138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</row>
    <row r="418" spans="1:25">
      <c r="A418" s="134"/>
      <c r="B418" s="781"/>
      <c r="C418" s="137"/>
      <c r="D418" s="138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</row>
    <row r="419" spans="1:25">
      <c r="A419" s="134"/>
      <c r="B419" s="781"/>
      <c r="C419" s="137"/>
      <c r="D419" s="138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</row>
    <row r="420" spans="1:25">
      <c r="A420" s="134"/>
      <c r="B420" s="781"/>
      <c r="C420" s="137"/>
      <c r="D420" s="138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</row>
    <row r="421" spans="1:25">
      <c r="A421" s="134"/>
      <c r="B421" s="781"/>
      <c r="C421" s="137"/>
      <c r="D421" s="138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</row>
    <row r="422" spans="1:25">
      <c r="A422" s="134"/>
      <c r="B422" s="781"/>
      <c r="C422" s="137"/>
      <c r="D422" s="138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</row>
    <row r="423" spans="1:25">
      <c r="A423" s="134"/>
      <c r="B423" s="781"/>
      <c r="C423" s="137"/>
      <c r="D423" s="138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</row>
    <row r="424" spans="1:25">
      <c r="A424" s="134"/>
      <c r="B424" s="781"/>
      <c r="C424" s="137"/>
      <c r="D424" s="138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</row>
    <row r="425" spans="1:25">
      <c r="A425" s="134"/>
      <c r="B425" s="781"/>
      <c r="C425" s="137"/>
      <c r="D425" s="138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</row>
    <row r="426" spans="1:25">
      <c r="A426" s="134"/>
      <c r="B426" s="781"/>
      <c r="C426" s="137"/>
      <c r="D426" s="138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</row>
    <row r="427" spans="1:25">
      <c r="A427" s="134"/>
      <c r="B427" s="781"/>
      <c r="C427" s="137"/>
      <c r="D427" s="138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</row>
    <row r="428" spans="1:25">
      <c r="A428" s="134"/>
      <c r="B428" s="781"/>
      <c r="C428" s="137"/>
      <c r="D428" s="138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</row>
    <row r="429" spans="1:25">
      <c r="A429" s="134"/>
      <c r="B429" s="781"/>
      <c r="C429" s="137"/>
      <c r="D429" s="138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</row>
    <row r="430" spans="1:25">
      <c r="A430" s="134"/>
      <c r="B430" s="781"/>
      <c r="C430" s="137"/>
      <c r="D430" s="138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5">
      <c r="A431" s="134"/>
      <c r="B431" s="781"/>
      <c r="C431" s="137"/>
      <c r="D431" s="138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5">
      <c r="A432" s="134"/>
      <c r="B432" s="781"/>
      <c r="C432" s="137"/>
      <c r="D432" s="138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>
      <c r="A433" s="134"/>
      <c r="B433" s="781"/>
      <c r="C433" s="137"/>
      <c r="D433" s="138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</row>
    <row r="434" spans="1:25">
      <c r="A434" s="134"/>
      <c r="B434" s="781"/>
      <c r="C434" s="137"/>
      <c r="D434" s="138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</row>
    <row r="435" spans="1:25">
      <c r="A435" s="134"/>
      <c r="B435" s="781"/>
      <c r="C435" s="137"/>
      <c r="D435" s="138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</row>
    <row r="436" spans="1:25">
      <c r="A436" s="134"/>
      <c r="B436" s="781"/>
      <c r="C436" s="137"/>
      <c r="D436" s="138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</row>
    <row r="437" spans="1:25">
      <c r="A437" s="134"/>
      <c r="B437" s="781"/>
      <c r="C437" s="137"/>
      <c r="D437" s="138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</row>
    <row r="438" spans="1:25">
      <c r="A438" s="134"/>
      <c r="B438" s="781"/>
      <c r="C438" s="137"/>
      <c r="D438" s="138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</row>
    <row r="439" spans="1:25">
      <c r="A439" s="134"/>
      <c r="B439" s="781"/>
      <c r="C439" s="137"/>
      <c r="D439" s="138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</row>
    <row r="440" spans="1:25">
      <c r="A440" s="134"/>
      <c r="B440" s="781"/>
      <c r="C440" s="137"/>
      <c r="D440" s="138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</row>
    <row r="441" spans="1:25">
      <c r="A441" s="134"/>
      <c r="B441" s="781"/>
      <c r="C441" s="137"/>
      <c r="D441" s="138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</row>
    <row r="442" spans="1:25">
      <c r="A442" s="134"/>
      <c r="B442" s="781"/>
      <c r="C442" s="137"/>
      <c r="D442" s="138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</row>
    <row r="443" spans="1:25">
      <c r="A443" s="134"/>
      <c r="B443" s="781"/>
      <c r="C443" s="137"/>
      <c r="D443" s="138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</row>
    <row r="444" spans="1:25">
      <c r="A444" s="134"/>
      <c r="B444" s="781"/>
      <c r="C444" s="137"/>
      <c r="D444" s="138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</row>
    <row r="445" spans="1:25">
      <c r="A445" s="134"/>
      <c r="B445" s="781"/>
      <c r="C445" s="137"/>
      <c r="D445" s="138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</row>
    <row r="446" spans="1:25">
      <c r="A446" s="134"/>
      <c r="B446" s="781"/>
      <c r="C446" s="137"/>
      <c r="D446" s="138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</row>
    <row r="447" spans="1:25">
      <c r="A447" s="134"/>
      <c r="B447" s="781"/>
      <c r="C447" s="137"/>
      <c r="D447" s="138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</row>
    <row r="448" spans="1:25">
      <c r="A448" s="134"/>
      <c r="B448" s="781"/>
      <c r="C448" s="137"/>
      <c r="D448" s="138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</row>
    <row r="449" spans="1:25">
      <c r="A449" s="134"/>
      <c r="B449" s="781"/>
      <c r="C449" s="137"/>
      <c r="D449" s="138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</row>
    <row r="450" spans="1:25">
      <c r="A450" s="134"/>
      <c r="B450" s="781"/>
      <c r="C450" s="137"/>
      <c r="D450" s="138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</row>
    <row r="451" spans="1:25">
      <c r="A451" s="134"/>
      <c r="B451" s="781"/>
      <c r="C451" s="137"/>
      <c r="D451" s="138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</row>
    <row r="452" spans="1:25">
      <c r="A452" s="134"/>
      <c r="B452" s="781"/>
      <c r="C452" s="137"/>
      <c r="D452" s="138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</row>
    <row r="453" spans="1:25">
      <c r="A453" s="134"/>
      <c r="B453" s="781"/>
      <c r="C453" s="137"/>
      <c r="D453" s="138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</row>
    <row r="454" spans="1:25">
      <c r="A454" s="134"/>
      <c r="B454" s="781"/>
      <c r="C454" s="137"/>
      <c r="D454" s="138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</row>
    <row r="455" spans="1:25">
      <c r="A455" s="134"/>
      <c r="B455" s="781"/>
      <c r="C455" s="137"/>
      <c r="D455" s="138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</row>
    <row r="456" spans="1:25">
      <c r="A456" s="134"/>
      <c r="B456" s="781"/>
      <c r="C456" s="137"/>
      <c r="D456" s="138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</row>
    <row r="457" spans="1:25">
      <c r="A457" s="134"/>
      <c r="B457" s="781"/>
      <c r="C457" s="137"/>
      <c r="D457" s="138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</row>
    <row r="458" spans="1:25">
      <c r="A458" s="134"/>
      <c r="B458" s="781"/>
      <c r="C458" s="137"/>
      <c r="D458" s="138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</row>
    <row r="459" spans="1:25">
      <c r="A459" s="134"/>
      <c r="B459" s="781"/>
      <c r="C459" s="137"/>
      <c r="D459" s="138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</row>
    <row r="460" spans="1:25">
      <c r="A460" s="134"/>
      <c r="B460" s="781"/>
      <c r="C460" s="137"/>
      <c r="D460" s="138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</row>
    <row r="461" spans="1:25">
      <c r="A461" s="134"/>
      <c r="B461" s="781"/>
      <c r="C461" s="137"/>
      <c r="D461" s="138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</row>
    <row r="462" spans="1:25">
      <c r="A462" s="134"/>
      <c r="B462" s="781"/>
      <c r="C462" s="137"/>
      <c r="D462" s="138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</row>
    <row r="463" spans="1:25">
      <c r="A463" s="134"/>
      <c r="B463" s="781"/>
      <c r="C463" s="137"/>
      <c r="D463" s="138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</row>
    <row r="464" spans="1:25">
      <c r="A464" s="134"/>
      <c r="B464" s="781"/>
      <c r="C464" s="137"/>
      <c r="D464" s="138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</row>
    <row r="465" spans="1:25">
      <c r="A465" s="134"/>
      <c r="B465" s="781"/>
      <c r="C465" s="137"/>
      <c r="D465" s="138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</row>
    <row r="466" spans="1:25">
      <c r="A466" s="134"/>
      <c r="B466" s="781"/>
      <c r="C466" s="137"/>
      <c r="D466" s="138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</row>
    <row r="467" spans="1:25">
      <c r="A467" s="134"/>
      <c r="B467" s="781"/>
      <c r="C467" s="137"/>
      <c r="D467" s="138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</row>
    <row r="468" spans="1:25">
      <c r="A468" s="134"/>
      <c r="B468" s="781"/>
      <c r="C468" s="137"/>
      <c r="D468" s="138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</row>
    <row r="469" spans="1:25">
      <c r="A469" s="134"/>
      <c r="B469" s="781"/>
      <c r="C469" s="137"/>
      <c r="D469" s="138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</row>
    <row r="470" spans="1:25">
      <c r="A470" s="134"/>
      <c r="B470" s="781"/>
      <c r="C470" s="137"/>
      <c r="D470" s="138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</row>
    <row r="471" spans="1:25">
      <c r="A471" s="134"/>
      <c r="B471" s="781"/>
      <c r="C471" s="137"/>
      <c r="D471" s="138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</row>
    <row r="472" spans="1:25">
      <c r="A472" s="134"/>
      <c r="B472" s="781"/>
      <c r="C472" s="137"/>
      <c r="D472" s="138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</row>
    <row r="473" spans="1:25">
      <c r="A473" s="134"/>
      <c r="B473" s="781"/>
      <c r="C473" s="137"/>
      <c r="D473" s="138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</row>
    <row r="474" spans="1:25">
      <c r="A474" s="134"/>
      <c r="B474" s="781"/>
      <c r="C474" s="137"/>
      <c r="D474" s="138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</row>
    <row r="475" spans="1:25">
      <c r="A475" s="134"/>
      <c r="B475" s="781"/>
      <c r="C475" s="137"/>
      <c r="D475" s="138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</row>
    <row r="476" spans="1:25">
      <c r="A476" s="134"/>
      <c r="B476" s="781"/>
      <c r="C476" s="137"/>
      <c r="D476" s="138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</row>
    <row r="477" spans="1:25">
      <c r="A477" s="134"/>
      <c r="B477" s="781"/>
      <c r="C477" s="137"/>
      <c r="D477" s="138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</row>
    <row r="478" spans="1:25">
      <c r="A478" s="134"/>
      <c r="B478" s="781"/>
      <c r="C478" s="137"/>
      <c r="D478" s="138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</row>
    <row r="479" spans="1:25">
      <c r="A479" s="134"/>
      <c r="B479" s="781"/>
      <c r="C479" s="137"/>
      <c r="D479" s="138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</row>
    <row r="480" spans="1:25">
      <c r="A480" s="134"/>
      <c r="B480" s="781"/>
      <c r="C480" s="137"/>
      <c r="D480" s="138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</row>
    <row r="481" spans="1:25">
      <c r="A481" s="134"/>
      <c r="B481" s="781"/>
      <c r="C481" s="137"/>
      <c r="D481" s="138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</row>
    <row r="482" spans="1:25">
      <c r="A482" s="134"/>
      <c r="B482" s="781"/>
      <c r="C482" s="137"/>
      <c r="D482" s="138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</row>
    <row r="483" spans="1:25">
      <c r="A483" s="134"/>
      <c r="B483" s="781"/>
      <c r="C483" s="137"/>
      <c r="D483" s="138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</row>
    <row r="484" spans="1:25">
      <c r="A484" s="134"/>
      <c r="B484" s="781"/>
      <c r="C484" s="137"/>
      <c r="D484" s="138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</row>
    <row r="485" spans="1:25">
      <c r="A485" s="134"/>
      <c r="B485" s="781"/>
      <c r="C485" s="137"/>
      <c r="D485" s="138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</row>
    <row r="486" spans="1:25">
      <c r="A486" s="134"/>
      <c r="B486" s="781"/>
      <c r="C486" s="137"/>
      <c r="D486" s="138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</row>
    <row r="487" spans="1:25">
      <c r="A487" s="134"/>
      <c r="B487" s="781"/>
      <c r="C487" s="137"/>
      <c r="D487" s="138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</row>
    <row r="488" spans="1:25">
      <c r="A488" s="134"/>
      <c r="B488" s="781"/>
      <c r="C488" s="137"/>
      <c r="D488" s="138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</row>
    <row r="489" spans="1:25">
      <c r="A489" s="134"/>
      <c r="B489" s="781"/>
      <c r="C489" s="137"/>
      <c r="D489" s="138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</row>
    <row r="490" spans="1:25">
      <c r="A490" s="134"/>
      <c r="B490" s="781"/>
      <c r="C490" s="137"/>
      <c r="D490" s="138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</row>
    <row r="491" spans="1:25">
      <c r="A491" s="134"/>
      <c r="B491" s="781"/>
      <c r="C491" s="137"/>
      <c r="D491" s="138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</row>
    <row r="492" spans="1:25">
      <c r="A492" s="134"/>
      <c r="B492" s="781"/>
      <c r="C492" s="137"/>
      <c r="D492" s="138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</row>
    <row r="493" spans="1:25">
      <c r="A493" s="134"/>
      <c r="B493" s="781"/>
      <c r="C493" s="137"/>
      <c r="D493" s="138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</row>
    <row r="494" spans="1:25">
      <c r="A494" s="134"/>
      <c r="B494" s="781"/>
      <c r="C494" s="137"/>
      <c r="D494" s="138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</row>
    <row r="495" spans="1:25">
      <c r="A495" s="134"/>
      <c r="B495" s="781"/>
      <c r="C495" s="137"/>
      <c r="D495" s="138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</row>
    <row r="496" spans="1:25">
      <c r="A496" s="134"/>
      <c r="B496" s="781"/>
      <c r="C496" s="137"/>
      <c r="D496" s="138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</row>
    <row r="497" spans="1:25">
      <c r="A497" s="134"/>
      <c r="B497" s="781"/>
      <c r="C497" s="137"/>
      <c r="D497" s="138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</row>
    <row r="498" spans="1:25">
      <c r="A498" s="134"/>
      <c r="B498" s="781"/>
      <c r="C498" s="137"/>
      <c r="D498" s="138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</row>
    <row r="499" spans="1:25">
      <c r="A499" s="134"/>
      <c r="B499" s="781"/>
      <c r="C499" s="137"/>
      <c r="D499" s="138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</row>
    <row r="500" spans="1:25">
      <c r="A500" s="134"/>
      <c r="B500" s="781"/>
      <c r="C500" s="137"/>
      <c r="D500" s="138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</row>
    <row r="501" spans="1:25">
      <c r="A501" s="134"/>
      <c r="B501" s="781"/>
      <c r="C501" s="137"/>
      <c r="D501" s="138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</row>
    <row r="502" spans="1:25">
      <c r="A502" s="134"/>
      <c r="B502" s="781"/>
      <c r="C502" s="137"/>
      <c r="D502" s="138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</row>
    <row r="503" spans="1:25">
      <c r="A503" s="134"/>
      <c r="B503" s="781"/>
      <c r="C503" s="137"/>
      <c r="D503" s="138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</row>
    <row r="504" spans="1:25">
      <c r="A504" s="134"/>
      <c r="B504" s="781"/>
      <c r="C504" s="137"/>
      <c r="D504" s="138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</row>
    <row r="505" spans="1:25">
      <c r="A505" s="134"/>
      <c r="B505" s="781"/>
      <c r="C505" s="137"/>
      <c r="D505" s="138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</row>
    <row r="506" spans="1:25">
      <c r="A506" s="134"/>
      <c r="B506" s="781"/>
      <c r="C506" s="137"/>
      <c r="D506" s="138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</row>
    <row r="507" spans="1:25">
      <c r="A507" s="134"/>
      <c r="B507" s="781"/>
      <c r="C507" s="137"/>
      <c r="D507" s="138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</row>
    <row r="508" spans="1:25">
      <c r="A508" s="134"/>
      <c r="B508" s="781"/>
      <c r="C508" s="137"/>
      <c r="D508" s="138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</row>
    <row r="509" spans="1:25">
      <c r="A509" s="134"/>
      <c r="B509" s="781"/>
      <c r="C509" s="137"/>
      <c r="D509" s="138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</row>
    <row r="510" spans="1:25">
      <c r="A510" s="134"/>
      <c r="B510" s="781"/>
      <c r="C510" s="137"/>
      <c r="D510" s="138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</row>
    <row r="511" spans="1:25">
      <c r="A511" s="134"/>
      <c r="B511" s="781"/>
      <c r="C511" s="137"/>
      <c r="D511" s="138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</row>
    <row r="512" spans="1:25">
      <c r="A512" s="134"/>
      <c r="B512" s="781"/>
      <c r="C512" s="137"/>
      <c r="D512" s="138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</row>
    <row r="513" spans="1:25">
      <c r="A513" s="134"/>
      <c r="B513" s="781"/>
      <c r="C513" s="137"/>
      <c r="D513" s="138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</row>
    <row r="514" spans="1:25">
      <c r="A514" s="134"/>
      <c r="B514" s="781"/>
      <c r="C514" s="137"/>
      <c r="D514" s="138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</row>
    <row r="515" spans="1:25">
      <c r="A515" s="134"/>
      <c r="B515" s="781"/>
      <c r="C515" s="137"/>
      <c r="D515" s="138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</row>
    <row r="516" spans="1:25">
      <c r="A516" s="134"/>
      <c r="B516" s="781"/>
      <c r="C516" s="137"/>
      <c r="D516" s="138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</row>
    <row r="517" spans="1:25">
      <c r="A517" s="134"/>
      <c r="B517" s="781"/>
      <c r="C517" s="137"/>
      <c r="D517" s="138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</row>
    <row r="518" spans="1:25">
      <c r="A518" s="134"/>
      <c r="B518" s="781"/>
      <c r="C518" s="137"/>
      <c r="D518" s="138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</row>
    <row r="519" spans="1:25">
      <c r="A519" s="134"/>
      <c r="B519" s="781"/>
      <c r="C519" s="137"/>
      <c r="D519" s="138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</row>
    <row r="520" spans="1:25">
      <c r="A520" s="134"/>
      <c r="B520" s="781"/>
      <c r="C520" s="137"/>
      <c r="D520" s="138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</row>
    <row r="521" spans="1:25">
      <c r="A521" s="134"/>
      <c r="B521" s="781"/>
      <c r="C521" s="137"/>
      <c r="D521" s="138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</row>
    <row r="522" spans="1:25">
      <c r="A522" s="134"/>
      <c r="B522" s="781"/>
      <c r="C522" s="137"/>
      <c r="D522" s="138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</row>
    <row r="523" spans="1:25">
      <c r="A523" s="134"/>
      <c r="B523" s="781"/>
      <c r="C523" s="137"/>
      <c r="D523" s="138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</row>
    <row r="524" spans="1:25">
      <c r="A524" s="134"/>
      <c r="B524" s="781"/>
      <c r="C524" s="137"/>
      <c r="D524" s="138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</row>
    <row r="525" spans="1:25">
      <c r="A525" s="134"/>
      <c r="B525" s="781"/>
      <c r="C525" s="137"/>
      <c r="D525" s="138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</row>
    <row r="526" spans="1:25">
      <c r="A526" s="134"/>
      <c r="B526" s="781"/>
      <c r="C526" s="137"/>
      <c r="D526" s="138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</row>
    <row r="527" spans="1:25">
      <c r="A527" s="134"/>
      <c r="B527" s="781"/>
      <c r="C527" s="137"/>
      <c r="D527" s="138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</row>
    <row r="528" spans="1:25">
      <c r="A528" s="134"/>
      <c r="B528" s="781"/>
      <c r="C528" s="137"/>
      <c r="D528" s="138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1:25">
      <c r="A529" s="134"/>
      <c r="B529" s="781"/>
      <c r="C529" s="137"/>
      <c r="D529" s="138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</row>
    <row r="530" spans="1:25">
      <c r="A530" s="134"/>
      <c r="B530" s="781"/>
      <c r="C530" s="137"/>
      <c r="D530" s="138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</row>
    <row r="531" spans="1:25">
      <c r="A531" s="134"/>
      <c r="B531" s="781"/>
      <c r="C531" s="137"/>
      <c r="D531" s="138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</row>
    <row r="532" spans="1:25">
      <c r="A532" s="134"/>
      <c r="B532" s="781"/>
      <c r="C532" s="137"/>
      <c r="D532" s="138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</row>
    <row r="533" spans="1:25">
      <c r="A533" s="134"/>
      <c r="B533" s="781"/>
      <c r="C533" s="137"/>
      <c r="D533" s="138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</row>
    <row r="534" spans="1:25">
      <c r="A534" s="134"/>
      <c r="B534" s="781"/>
      <c r="C534" s="137"/>
      <c r="D534" s="138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</row>
    <row r="535" spans="1:25">
      <c r="A535" s="134"/>
      <c r="B535" s="781"/>
      <c r="C535" s="137"/>
      <c r="D535" s="138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</row>
    <row r="536" spans="1:25">
      <c r="A536" s="134"/>
      <c r="B536" s="781"/>
      <c r="C536" s="137"/>
      <c r="D536" s="138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</row>
    <row r="537" spans="1:25">
      <c r="A537" s="134"/>
      <c r="B537" s="781"/>
      <c r="C537" s="137"/>
      <c r="D537" s="138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</row>
    <row r="538" spans="1:25">
      <c r="A538" s="134"/>
      <c r="B538" s="781"/>
      <c r="C538" s="137"/>
      <c r="D538" s="138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</row>
    <row r="539" spans="1:25">
      <c r="A539" s="134"/>
      <c r="B539" s="781"/>
      <c r="C539" s="137"/>
      <c r="D539" s="138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</row>
    <row r="540" spans="1:25">
      <c r="A540" s="134"/>
      <c r="B540" s="781"/>
      <c r="C540" s="137"/>
      <c r="D540" s="138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</row>
    <row r="541" spans="1:25">
      <c r="A541" s="134"/>
      <c r="B541" s="781"/>
      <c r="C541" s="137"/>
      <c r="D541" s="138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1:25">
      <c r="A542" s="134"/>
      <c r="B542" s="781"/>
      <c r="C542" s="137"/>
      <c r="D542" s="138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</row>
    <row r="543" spans="1:25">
      <c r="A543" s="134"/>
      <c r="B543" s="781"/>
      <c r="C543" s="137"/>
      <c r="D543" s="138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</row>
    <row r="544" spans="1:25">
      <c r="A544" s="134"/>
      <c r="B544" s="781"/>
      <c r="C544" s="137"/>
      <c r="D544" s="138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</row>
    <row r="545" spans="1:25">
      <c r="A545" s="134"/>
      <c r="B545" s="781"/>
      <c r="C545" s="137"/>
      <c r="D545" s="138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</row>
    <row r="546" spans="1:25">
      <c r="A546" s="134"/>
      <c r="B546" s="781"/>
      <c r="C546" s="137"/>
      <c r="D546" s="138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</row>
    <row r="547" spans="1:25">
      <c r="A547" s="134"/>
      <c r="B547" s="781"/>
      <c r="C547" s="137"/>
      <c r="D547" s="138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</row>
    <row r="548" spans="1:25">
      <c r="A548" s="134"/>
      <c r="B548" s="781"/>
      <c r="C548" s="137"/>
      <c r="D548" s="138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</row>
    <row r="549" spans="1:25">
      <c r="A549" s="134"/>
      <c r="B549" s="781"/>
      <c r="C549" s="137"/>
      <c r="D549" s="138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</row>
    <row r="550" spans="1:25">
      <c r="A550" s="134"/>
      <c r="B550" s="781"/>
      <c r="C550" s="137"/>
      <c r="D550" s="138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</row>
    <row r="551" spans="1:25">
      <c r="A551" s="134"/>
      <c r="B551" s="781"/>
      <c r="C551" s="137"/>
      <c r="D551" s="138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</row>
    <row r="552" spans="1:25">
      <c r="A552" s="134"/>
      <c r="B552" s="781"/>
      <c r="C552" s="137"/>
      <c r="D552" s="138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</row>
    <row r="553" spans="1:25">
      <c r="A553" s="134"/>
      <c r="B553" s="781"/>
      <c r="C553" s="137"/>
      <c r="D553" s="138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</row>
    <row r="554" spans="1:25">
      <c r="A554" s="134"/>
      <c r="B554" s="781"/>
      <c r="C554" s="137"/>
      <c r="D554" s="138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</row>
    <row r="555" spans="1:25">
      <c r="A555" s="134"/>
      <c r="B555" s="781"/>
      <c r="C555" s="137"/>
      <c r="D555" s="138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</row>
    <row r="556" spans="1:25">
      <c r="A556" s="134"/>
      <c r="B556" s="781"/>
      <c r="C556" s="137"/>
      <c r="D556" s="138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</row>
    <row r="557" spans="1:25">
      <c r="A557" s="134"/>
      <c r="B557" s="781"/>
      <c r="C557" s="137"/>
      <c r="D557" s="138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</row>
    <row r="558" spans="1:25">
      <c r="A558" s="134"/>
      <c r="B558" s="781"/>
      <c r="C558" s="137"/>
      <c r="D558" s="138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</row>
    <row r="559" spans="1:25">
      <c r="A559" s="134"/>
      <c r="B559" s="781"/>
      <c r="C559" s="137"/>
      <c r="D559" s="138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</row>
    <row r="560" spans="1:25">
      <c r="A560" s="134"/>
      <c r="B560" s="781"/>
      <c r="C560" s="137"/>
      <c r="D560" s="138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</row>
    <row r="561" spans="1:25">
      <c r="A561" s="134"/>
      <c r="B561" s="781"/>
      <c r="C561" s="137"/>
      <c r="D561" s="138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</row>
    <row r="562" spans="1:25">
      <c r="A562" s="134"/>
      <c r="B562" s="781"/>
      <c r="C562" s="137"/>
      <c r="D562" s="138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</row>
    <row r="563" spans="1:25">
      <c r="A563" s="134"/>
      <c r="B563" s="781"/>
      <c r="C563" s="137"/>
      <c r="D563" s="138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</row>
    <row r="564" spans="1:25">
      <c r="A564" s="134"/>
      <c r="B564" s="781"/>
      <c r="C564" s="137"/>
      <c r="D564" s="138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</row>
    <row r="565" spans="1:25">
      <c r="A565" s="134"/>
      <c r="B565" s="781"/>
      <c r="C565" s="137"/>
      <c r="D565" s="138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</row>
    <row r="566" spans="1:25">
      <c r="A566" s="134"/>
      <c r="B566" s="781"/>
      <c r="C566" s="137"/>
      <c r="D566" s="138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</row>
    <row r="567" spans="1:25">
      <c r="A567" s="134"/>
      <c r="B567" s="781"/>
      <c r="C567" s="137"/>
      <c r="D567" s="138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</row>
    <row r="568" spans="1:25">
      <c r="A568" s="134"/>
      <c r="B568" s="781"/>
      <c r="C568" s="137"/>
      <c r="D568" s="138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</row>
    <row r="569" spans="1:25">
      <c r="A569" s="134"/>
      <c r="B569" s="781"/>
      <c r="C569" s="137"/>
      <c r="D569" s="138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</row>
    <row r="570" spans="1:25">
      <c r="A570" s="134"/>
      <c r="B570" s="781"/>
      <c r="C570" s="137"/>
      <c r="D570" s="138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</row>
    <row r="571" spans="1:25">
      <c r="A571" s="134"/>
      <c r="B571" s="781"/>
      <c r="C571" s="137"/>
      <c r="D571" s="138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</row>
    <row r="572" spans="1:25">
      <c r="A572" s="134"/>
      <c r="B572" s="781"/>
      <c r="C572" s="137"/>
      <c r="D572" s="138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</row>
    <row r="573" spans="1:25">
      <c r="A573" s="134"/>
      <c r="B573" s="781"/>
      <c r="C573" s="137"/>
      <c r="D573" s="138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</row>
    <row r="574" spans="1:25">
      <c r="A574" s="134"/>
      <c r="B574" s="781"/>
      <c r="C574" s="137"/>
      <c r="D574" s="138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</row>
    <row r="575" spans="1:25">
      <c r="A575" s="134"/>
      <c r="B575" s="781"/>
      <c r="C575" s="137"/>
      <c r="D575" s="138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</row>
    <row r="576" spans="1:25">
      <c r="A576" s="134"/>
      <c r="B576" s="781"/>
      <c r="C576" s="137"/>
      <c r="D576" s="138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</row>
    <row r="577" spans="1:25">
      <c r="A577" s="134"/>
      <c r="B577" s="781"/>
      <c r="C577" s="137"/>
      <c r="D577" s="138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</row>
    <row r="578" spans="1:25">
      <c r="A578" s="134"/>
      <c r="B578" s="781"/>
      <c r="C578" s="137"/>
      <c r="D578" s="138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</row>
    <row r="579" spans="1:25">
      <c r="A579" s="134"/>
      <c r="B579" s="781"/>
      <c r="C579" s="137"/>
      <c r="D579" s="138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</row>
    <row r="580" spans="1:25">
      <c r="A580" s="134"/>
      <c r="B580" s="781"/>
      <c r="C580" s="137"/>
      <c r="D580" s="138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</row>
    <row r="581" spans="1:25">
      <c r="A581" s="134"/>
      <c r="B581" s="781"/>
      <c r="C581" s="137"/>
      <c r="D581" s="138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</row>
    <row r="582" spans="1:25">
      <c r="A582" s="134"/>
      <c r="B582" s="781"/>
      <c r="C582" s="137"/>
      <c r="D582" s="138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</row>
    <row r="583" spans="1:25">
      <c r="A583" s="134"/>
      <c r="B583" s="781"/>
      <c r="C583" s="137"/>
      <c r="D583" s="138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</row>
    <row r="584" spans="1:25">
      <c r="A584" s="134"/>
      <c r="B584" s="781"/>
      <c r="C584" s="137"/>
      <c r="D584" s="138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</row>
    <row r="585" spans="1:25">
      <c r="A585" s="134"/>
      <c r="B585" s="781"/>
      <c r="C585" s="137"/>
      <c r="D585" s="138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</row>
    <row r="586" spans="1:25">
      <c r="A586" s="134"/>
      <c r="B586" s="781"/>
      <c r="C586" s="137"/>
      <c r="D586" s="138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</row>
    <row r="587" spans="1:25">
      <c r="A587" s="134"/>
      <c r="B587" s="781"/>
      <c r="C587" s="137"/>
      <c r="D587" s="138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</row>
    <row r="588" spans="1:25">
      <c r="A588" s="134"/>
      <c r="B588" s="781"/>
      <c r="C588" s="137"/>
      <c r="D588" s="138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</row>
    <row r="589" spans="1:25">
      <c r="A589" s="134"/>
      <c r="B589" s="781"/>
      <c r="C589" s="137"/>
      <c r="D589" s="138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</row>
    <row r="590" spans="1:25">
      <c r="A590" s="134"/>
      <c r="B590" s="781"/>
      <c r="C590" s="137"/>
      <c r="D590" s="138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</row>
    <row r="591" spans="1:25">
      <c r="A591" s="134"/>
      <c r="B591" s="781"/>
      <c r="C591" s="137"/>
      <c r="D591" s="138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</row>
    <row r="592" spans="1:25">
      <c r="A592" s="134"/>
      <c r="B592" s="781"/>
      <c r="C592" s="137"/>
      <c r="D592" s="138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</row>
    <row r="593" spans="1:25">
      <c r="A593" s="134"/>
      <c r="B593" s="781"/>
      <c r="C593" s="137"/>
      <c r="D593" s="138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</row>
    <row r="594" spans="1:25">
      <c r="A594" s="134"/>
      <c r="B594" s="781"/>
      <c r="C594" s="137"/>
      <c r="D594" s="138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</row>
    <row r="595" spans="1:25">
      <c r="A595" s="134"/>
      <c r="B595" s="781"/>
      <c r="C595" s="137"/>
      <c r="D595" s="138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</row>
    <row r="596" spans="1:25">
      <c r="A596" s="134"/>
      <c r="B596" s="781"/>
      <c r="C596" s="137"/>
      <c r="D596" s="138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</row>
    <row r="597" spans="1:25">
      <c r="A597" s="134"/>
      <c r="B597" s="781"/>
      <c r="C597" s="137"/>
      <c r="D597" s="138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</row>
    <row r="598" spans="1:25">
      <c r="A598" s="134"/>
      <c r="B598" s="781"/>
      <c r="C598" s="137"/>
      <c r="D598" s="138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</row>
    <row r="599" spans="1:25">
      <c r="A599" s="134"/>
      <c r="B599" s="781"/>
      <c r="C599" s="137"/>
      <c r="D599" s="138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</row>
    <row r="600" spans="1:25">
      <c r="A600" s="134"/>
      <c r="B600" s="781"/>
      <c r="C600" s="137"/>
      <c r="D600" s="138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</row>
    <row r="601" spans="1:25">
      <c r="A601" s="134"/>
      <c r="B601" s="781"/>
      <c r="C601" s="137"/>
      <c r="D601" s="138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</row>
    <row r="602" spans="1:25">
      <c r="A602" s="134"/>
      <c r="B602" s="781"/>
      <c r="C602" s="137"/>
      <c r="D602" s="138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</row>
    <row r="603" spans="1:25">
      <c r="A603" s="134"/>
      <c r="B603" s="781"/>
      <c r="C603" s="137"/>
      <c r="D603" s="138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</row>
    <row r="604" spans="1:25">
      <c r="A604" s="134"/>
      <c r="B604" s="781"/>
      <c r="C604" s="137"/>
      <c r="D604" s="138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</row>
    <row r="605" spans="1:25">
      <c r="A605" s="134"/>
      <c r="B605" s="781"/>
      <c r="C605" s="137"/>
      <c r="D605" s="138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</row>
    <row r="606" spans="1:25">
      <c r="A606" s="134"/>
      <c r="B606" s="781"/>
      <c r="C606" s="137"/>
      <c r="D606" s="138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</row>
    <row r="607" spans="1:25">
      <c r="A607" s="134"/>
      <c r="B607" s="781"/>
      <c r="C607" s="137"/>
      <c r="D607" s="138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</row>
    <row r="608" spans="1:25">
      <c r="A608" s="134"/>
      <c r="B608" s="781"/>
      <c r="C608" s="137"/>
      <c r="D608" s="138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</row>
    <row r="609" spans="1:25">
      <c r="A609" s="134"/>
      <c r="B609" s="781"/>
      <c r="C609" s="137"/>
      <c r="D609" s="138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</row>
    <row r="610" spans="1:25">
      <c r="A610" s="134"/>
      <c r="B610" s="781"/>
      <c r="C610" s="137"/>
      <c r="D610" s="138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</row>
    <row r="611" spans="1:25">
      <c r="A611" s="134"/>
      <c r="B611" s="781"/>
      <c r="C611" s="137"/>
      <c r="D611" s="138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</row>
    <row r="612" spans="1:25">
      <c r="A612" s="134"/>
      <c r="B612" s="781"/>
      <c r="C612" s="137"/>
      <c r="D612" s="138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</row>
    <row r="613" spans="1:25">
      <c r="A613" s="134"/>
      <c r="B613" s="781"/>
      <c r="C613" s="137"/>
      <c r="D613" s="138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</row>
    <row r="614" spans="1:25">
      <c r="A614" s="134"/>
      <c r="B614" s="781"/>
      <c r="C614" s="137"/>
      <c r="D614" s="138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</row>
    <row r="615" spans="1:25">
      <c r="A615" s="134"/>
      <c r="B615" s="781"/>
      <c r="C615" s="137"/>
      <c r="D615" s="138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</row>
    <row r="616" spans="1:25">
      <c r="A616" s="134"/>
      <c r="B616" s="781"/>
      <c r="C616" s="137"/>
      <c r="D616" s="138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</row>
    <row r="617" spans="1:25">
      <c r="A617" s="134"/>
      <c r="B617" s="781"/>
      <c r="C617" s="137"/>
      <c r="D617" s="138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</row>
    <row r="618" spans="1:25">
      <c r="A618" s="134"/>
      <c r="B618" s="781"/>
      <c r="C618" s="137"/>
      <c r="D618" s="138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</row>
    <row r="619" spans="1:25">
      <c r="A619" s="134"/>
      <c r="B619" s="781"/>
      <c r="C619" s="137"/>
      <c r="D619" s="138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</row>
    <row r="620" spans="1:25">
      <c r="A620" s="134"/>
      <c r="B620" s="781"/>
      <c r="C620" s="137"/>
      <c r="D620" s="138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</row>
    <row r="621" spans="1:25">
      <c r="A621" s="134"/>
      <c r="B621" s="781"/>
      <c r="C621" s="137"/>
      <c r="D621" s="138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</row>
    <row r="622" spans="1:25">
      <c r="A622" s="134"/>
      <c r="B622" s="781"/>
      <c r="C622" s="137"/>
      <c r="D622" s="138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</row>
    <row r="623" spans="1:25">
      <c r="A623" s="134"/>
      <c r="B623" s="781"/>
      <c r="C623" s="137"/>
      <c r="D623" s="138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</row>
    <row r="624" spans="1:25">
      <c r="A624" s="134"/>
      <c r="B624" s="781"/>
      <c r="C624" s="137"/>
      <c r="D624" s="138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</row>
    <row r="625" spans="1:25">
      <c r="A625" s="134"/>
      <c r="B625" s="781"/>
      <c r="C625" s="137"/>
      <c r="D625" s="138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</row>
    <row r="626" spans="1:25">
      <c r="A626" s="134"/>
      <c r="B626" s="781"/>
      <c r="C626" s="137"/>
      <c r="D626" s="138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</row>
    <row r="627" spans="1:25">
      <c r="A627" s="134"/>
      <c r="B627" s="781"/>
      <c r="C627" s="137"/>
      <c r="D627" s="138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</row>
    <row r="628" spans="1:25">
      <c r="A628" s="134"/>
      <c r="B628" s="781"/>
      <c r="C628" s="137"/>
      <c r="D628" s="138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</row>
    <row r="629" spans="1:25">
      <c r="A629" s="134"/>
      <c r="B629" s="781"/>
      <c r="C629" s="137"/>
      <c r="D629" s="138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</row>
    <row r="630" spans="1:25">
      <c r="A630" s="134"/>
      <c r="B630" s="781"/>
      <c r="C630" s="137"/>
      <c r="D630" s="138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</row>
    <row r="631" spans="1:25">
      <c r="A631" s="134"/>
      <c r="B631" s="781"/>
      <c r="C631" s="137"/>
      <c r="D631" s="138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1:25">
      <c r="A632" s="134"/>
      <c r="B632" s="781"/>
      <c r="C632" s="137"/>
      <c r="D632" s="138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1:25">
      <c r="A633" s="134"/>
      <c r="B633" s="781"/>
      <c r="C633" s="137"/>
      <c r="D633" s="138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1:25">
      <c r="A634" s="134"/>
      <c r="B634" s="781"/>
      <c r="C634" s="137"/>
      <c r="D634" s="138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1:25">
      <c r="A635" s="134"/>
      <c r="B635" s="781"/>
      <c r="C635" s="137"/>
      <c r="D635" s="138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1:25">
      <c r="A636" s="134"/>
      <c r="B636" s="781"/>
      <c r="C636" s="137"/>
      <c r="D636" s="138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1:25">
      <c r="A637" s="134"/>
      <c r="B637" s="781"/>
      <c r="C637" s="137"/>
      <c r="D637" s="138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1:25">
      <c r="A638" s="134"/>
      <c r="B638" s="781"/>
      <c r="C638" s="137"/>
      <c r="D638" s="138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1:25">
      <c r="A639" s="134"/>
      <c r="B639" s="781"/>
      <c r="C639" s="137"/>
      <c r="D639" s="138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1:25">
      <c r="A640" s="134"/>
      <c r="B640" s="781"/>
      <c r="C640" s="137"/>
      <c r="D640" s="138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1:25">
      <c r="A641" s="134"/>
      <c r="B641" s="781"/>
      <c r="C641" s="137"/>
      <c r="D641" s="138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1:25">
      <c r="A642" s="134"/>
      <c r="B642" s="781"/>
      <c r="C642" s="137"/>
      <c r="D642" s="138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1:25">
      <c r="A643" s="134"/>
      <c r="B643" s="781"/>
      <c r="C643" s="137"/>
      <c r="D643" s="138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1:25">
      <c r="A644" s="134"/>
      <c r="B644" s="781"/>
      <c r="C644" s="137"/>
      <c r="D644" s="138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1:25">
      <c r="A645" s="134"/>
      <c r="B645" s="781"/>
      <c r="C645" s="137"/>
      <c r="D645" s="138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1:25">
      <c r="A646" s="134"/>
      <c r="B646" s="781"/>
      <c r="C646" s="137"/>
      <c r="D646" s="138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1:25">
      <c r="A647" s="134"/>
      <c r="B647" s="781"/>
      <c r="C647" s="137"/>
      <c r="D647" s="138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1:25">
      <c r="A648" s="134"/>
      <c r="B648" s="781"/>
      <c r="C648" s="137"/>
      <c r="D648" s="138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1:25">
      <c r="A649" s="134"/>
      <c r="B649" s="781"/>
      <c r="C649" s="137"/>
      <c r="D649" s="138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1:25">
      <c r="A650" s="134"/>
      <c r="B650" s="781"/>
      <c r="C650" s="137"/>
      <c r="D650" s="138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1:25">
      <c r="A651" s="134"/>
      <c r="B651" s="781"/>
      <c r="C651" s="137"/>
      <c r="D651" s="138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1:25">
      <c r="A652" s="134"/>
      <c r="B652" s="781"/>
      <c r="C652" s="137"/>
      <c r="D652" s="138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1:25">
      <c r="A653" s="134"/>
      <c r="B653" s="781"/>
      <c r="C653" s="137"/>
      <c r="D653" s="138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1:25">
      <c r="A654" s="134"/>
      <c r="B654" s="781"/>
      <c r="C654" s="137"/>
      <c r="D654" s="138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1:25">
      <c r="A655" s="134"/>
      <c r="B655" s="781"/>
      <c r="C655" s="137"/>
      <c r="D655" s="138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1:25">
      <c r="A656" s="134"/>
      <c r="B656" s="781"/>
      <c r="C656" s="137"/>
      <c r="D656" s="138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1:25">
      <c r="A657" s="134"/>
      <c r="B657" s="781"/>
      <c r="C657" s="137"/>
      <c r="D657" s="138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1:25">
      <c r="A658" s="134"/>
      <c r="B658" s="781"/>
      <c r="C658" s="137"/>
      <c r="D658" s="138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1:25">
      <c r="A659" s="134"/>
      <c r="B659" s="781"/>
      <c r="C659" s="137"/>
      <c r="D659" s="138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1:25">
      <c r="A660" s="134"/>
      <c r="B660" s="781"/>
      <c r="C660" s="137"/>
      <c r="D660" s="138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1:25">
      <c r="A661" s="134"/>
      <c r="B661" s="781"/>
      <c r="C661" s="137"/>
      <c r="D661" s="138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1:25">
      <c r="A662" s="134"/>
      <c r="B662" s="781"/>
      <c r="C662" s="137"/>
      <c r="D662" s="138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1:25">
      <c r="A663" s="134"/>
      <c r="B663" s="781"/>
      <c r="C663" s="137"/>
      <c r="D663" s="138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1:25">
      <c r="A664" s="134"/>
      <c r="B664" s="781"/>
      <c r="C664" s="137"/>
      <c r="D664" s="138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1:25">
      <c r="A665" s="134"/>
      <c r="B665" s="781"/>
      <c r="C665" s="137"/>
      <c r="D665" s="138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1:25">
      <c r="A666" s="134"/>
      <c r="B666" s="781"/>
      <c r="C666" s="137"/>
      <c r="D666" s="138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1:25">
      <c r="A667" s="134"/>
      <c r="B667" s="781"/>
      <c r="C667" s="137"/>
      <c r="D667" s="138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1:25">
      <c r="A668" s="134"/>
      <c r="B668" s="781"/>
      <c r="C668" s="137"/>
      <c r="D668" s="138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1:25">
      <c r="A669" s="134"/>
      <c r="B669" s="781"/>
      <c r="C669" s="137"/>
      <c r="D669" s="138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1:25">
      <c r="A670" s="134"/>
      <c r="B670" s="781"/>
      <c r="C670" s="137"/>
      <c r="D670" s="138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1:25">
      <c r="A671" s="134"/>
      <c r="B671" s="781"/>
      <c r="C671" s="137"/>
      <c r="D671" s="138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1:25">
      <c r="A672" s="134"/>
      <c r="B672" s="781"/>
      <c r="C672" s="137"/>
      <c r="D672" s="138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1:25">
      <c r="A673" s="134"/>
      <c r="B673" s="781"/>
      <c r="C673" s="137"/>
      <c r="D673" s="138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1:25">
      <c r="A674" s="134"/>
      <c r="B674" s="781"/>
      <c r="C674" s="137"/>
      <c r="D674" s="138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1:25">
      <c r="A675" s="134"/>
      <c r="B675" s="781"/>
      <c r="C675" s="137"/>
      <c r="D675" s="138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1:25">
      <c r="A676" s="134"/>
      <c r="B676" s="781"/>
      <c r="C676" s="137"/>
      <c r="D676" s="138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1:25">
      <c r="A677" s="134"/>
      <c r="B677" s="781"/>
      <c r="C677" s="137"/>
      <c r="D677" s="138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1:25">
      <c r="A678" s="134"/>
      <c r="B678" s="781"/>
      <c r="C678" s="137"/>
      <c r="D678" s="138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1:25">
      <c r="A679" s="134"/>
      <c r="B679" s="781"/>
      <c r="C679" s="137"/>
      <c r="D679" s="138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1:25">
      <c r="A680" s="134"/>
      <c r="B680" s="781"/>
      <c r="C680" s="137"/>
      <c r="D680" s="138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1:25">
      <c r="A681" s="134"/>
      <c r="B681" s="781"/>
      <c r="C681" s="137"/>
      <c r="D681" s="138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1:25">
      <c r="A682" s="134"/>
      <c r="B682" s="781"/>
      <c r="C682" s="137"/>
      <c r="D682" s="138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1:25">
      <c r="A683" s="134"/>
      <c r="B683" s="781"/>
      <c r="C683" s="137"/>
      <c r="D683" s="138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1:25">
      <c r="A684" s="134"/>
      <c r="B684" s="781"/>
      <c r="C684" s="137"/>
      <c r="D684" s="138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1:25">
      <c r="A685" s="134"/>
      <c r="B685" s="781"/>
      <c r="C685" s="137"/>
      <c r="D685" s="138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1:25">
      <c r="A686" s="134"/>
      <c r="B686" s="781"/>
      <c r="C686" s="137"/>
      <c r="D686" s="138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1:25">
      <c r="A687" s="134"/>
      <c r="B687" s="781"/>
      <c r="C687" s="137"/>
      <c r="D687" s="138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1:25">
      <c r="A688" s="134"/>
      <c r="B688" s="781"/>
      <c r="C688" s="137"/>
      <c r="D688" s="138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1:25">
      <c r="A689" s="134"/>
      <c r="B689" s="781"/>
      <c r="C689" s="137"/>
      <c r="D689" s="138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1:25">
      <c r="A690" s="134"/>
      <c r="B690" s="781"/>
      <c r="C690" s="137"/>
      <c r="D690" s="138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1:25">
      <c r="A691" s="134"/>
      <c r="B691" s="781"/>
      <c r="C691" s="137"/>
      <c r="D691" s="138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1:25">
      <c r="A692" s="134"/>
      <c r="B692" s="781"/>
      <c r="C692" s="137"/>
      <c r="D692" s="138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1:25">
      <c r="A693" s="134"/>
      <c r="B693" s="781"/>
      <c r="C693" s="137"/>
      <c r="D693" s="138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1:25">
      <c r="A694" s="134"/>
      <c r="B694" s="781"/>
      <c r="C694" s="137"/>
      <c r="D694" s="138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1:25">
      <c r="A695" s="134"/>
      <c r="B695" s="781"/>
      <c r="C695" s="137"/>
      <c r="D695" s="138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1:25">
      <c r="A696" s="134"/>
      <c r="B696" s="781"/>
      <c r="C696" s="137"/>
      <c r="D696" s="138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1:25">
      <c r="A697" s="134"/>
      <c r="B697" s="781"/>
      <c r="C697" s="137"/>
      <c r="D697" s="138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1:25">
      <c r="A698" s="134"/>
      <c r="B698" s="781"/>
      <c r="C698" s="137"/>
      <c r="D698" s="138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1:25">
      <c r="A699" s="134"/>
      <c r="B699" s="781"/>
      <c r="C699" s="137"/>
      <c r="D699" s="138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1:25">
      <c r="A700" s="134"/>
      <c r="B700" s="781"/>
      <c r="C700" s="137"/>
      <c r="D700" s="138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1:25">
      <c r="A701" s="134"/>
      <c r="B701" s="781"/>
      <c r="C701" s="137"/>
      <c r="D701" s="138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1:25">
      <c r="A702" s="134"/>
      <c r="B702" s="781"/>
      <c r="C702" s="137"/>
      <c r="D702" s="138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1:25">
      <c r="A703" s="134"/>
      <c r="B703" s="781"/>
      <c r="C703" s="137"/>
      <c r="D703" s="138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1:25">
      <c r="A704" s="134"/>
      <c r="B704" s="781"/>
      <c r="C704" s="137"/>
      <c r="D704" s="138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1:25">
      <c r="A705" s="134"/>
      <c r="B705" s="781"/>
      <c r="C705" s="137"/>
      <c r="D705" s="138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1:25">
      <c r="A706" s="134"/>
      <c r="B706" s="781"/>
      <c r="C706" s="137"/>
      <c r="D706" s="138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1:25">
      <c r="A707" s="134"/>
      <c r="B707" s="781"/>
      <c r="C707" s="137"/>
      <c r="D707" s="138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1:25">
      <c r="A708" s="134"/>
      <c r="B708" s="781"/>
      <c r="C708" s="137"/>
      <c r="D708" s="138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1:25">
      <c r="A709" s="134"/>
      <c r="B709" s="781"/>
      <c r="C709" s="137"/>
      <c r="D709" s="138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1:25">
      <c r="A710" s="134"/>
      <c r="B710" s="781"/>
      <c r="C710" s="137"/>
      <c r="D710" s="138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1:25">
      <c r="A711" s="134"/>
      <c r="B711" s="781"/>
      <c r="C711" s="137"/>
      <c r="D711" s="138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1:25">
      <c r="A712" s="134"/>
      <c r="B712" s="781"/>
      <c r="C712" s="137"/>
      <c r="D712" s="138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1:25">
      <c r="A713" s="134"/>
      <c r="B713" s="781"/>
      <c r="C713" s="137"/>
      <c r="D713" s="138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1:25">
      <c r="A714" s="134"/>
      <c r="B714" s="781"/>
      <c r="C714" s="137"/>
      <c r="D714" s="138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1:25">
      <c r="A715" s="134"/>
      <c r="B715" s="781"/>
      <c r="C715" s="137"/>
      <c r="D715" s="138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1:25">
      <c r="A716" s="134"/>
      <c r="B716" s="781"/>
      <c r="C716" s="137"/>
      <c r="D716" s="138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1:25">
      <c r="A717" s="134"/>
      <c r="B717" s="781"/>
      <c r="C717" s="137"/>
      <c r="D717" s="138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1:25">
      <c r="A718" s="134"/>
      <c r="B718" s="781"/>
      <c r="C718" s="137"/>
      <c r="D718" s="138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1:25">
      <c r="A719" s="134"/>
      <c r="B719" s="781"/>
      <c r="C719" s="137"/>
      <c r="D719" s="138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1:25">
      <c r="A720" s="134"/>
      <c r="B720" s="781"/>
      <c r="C720" s="137"/>
      <c r="D720" s="138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1:25">
      <c r="A721" s="134"/>
      <c r="B721" s="781"/>
      <c r="C721" s="137"/>
      <c r="D721" s="138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1:25">
      <c r="A722" s="134"/>
      <c r="B722" s="781"/>
      <c r="C722" s="137"/>
      <c r="D722" s="138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1:25">
      <c r="A723" s="134"/>
      <c r="B723" s="781"/>
      <c r="C723" s="137"/>
      <c r="D723" s="138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1:25">
      <c r="A724" s="134"/>
      <c r="B724" s="781"/>
      <c r="C724" s="137"/>
      <c r="D724" s="138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1:25">
      <c r="A725" s="134"/>
      <c r="B725" s="781"/>
      <c r="C725" s="137"/>
      <c r="D725" s="138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1:25">
      <c r="A726" s="134"/>
      <c r="B726" s="781"/>
      <c r="C726" s="137"/>
      <c r="D726" s="138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1:25">
      <c r="A727" s="134"/>
      <c r="B727" s="781"/>
      <c r="C727" s="137"/>
      <c r="D727" s="138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1:25">
      <c r="A728" s="134"/>
      <c r="B728" s="781"/>
      <c r="C728" s="137"/>
      <c r="D728" s="138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1:25">
      <c r="A729" s="134"/>
      <c r="B729" s="781"/>
      <c r="C729" s="137"/>
      <c r="D729" s="138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1:25">
      <c r="A730" s="134"/>
      <c r="B730" s="781"/>
      <c r="C730" s="137"/>
      <c r="D730" s="138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1:25">
      <c r="A731" s="134"/>
      <c r="B731" s="781"/>
      <c r="C731" s="137"/>
      <c r="D731" s="138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1:25">
      <c r="A732" s="134"/>
      <c r="B732" s="781"/>
      <c r="C732" s="137"/>
      <c r="D732" s="138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1:25">
      <c r="A733" s="134"/>
      <c r="B733" s="781"/>
      <c r="C733" s="137"/>
      <c r="D733" s="138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1:25">
      <c r="A734" s="134"/>
      <c r="B734" s="781"/>
      <c r="C734" s="137"/>
      <c r="D734" s="138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1:25">
      <c r="A735" s="134"/>
      <c r="B735" s="781"/>
      <c r="C735" s="137"/>
      <c r="D735" s="138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1:25">
      <c r="A736" s="134"/>
      <c r="B736" s="781"/>
      <c r="C736" s="137"/>
      <c r="D736" s="138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1:25">
      <c r="A737" s="134"/>
      <c r="B737" s="781"/>
      <c r="C737" s="137"/>
      <c r="D737" s="138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1:25">
      <c r="A738" s="134"/>
      <c r="B738" s="781"/>
      <c r="C738" s="137"/>
      <c r="D738" s="138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1:25">
      <c r="A739" s="134"/>
      <c r="B739" s="781"/>
      <c r="C739" s="137"/>
      <c r="D739" s="138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1:25">
      <c r="A740" s="134"/>
      <c r="B740" s="781"/>
      <c r="C740" s="137"/>
      <c r="D740" s="138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1:25">
      <c r="A741" s="134"/>
      <c r="B741" s="781"/>
      <c r="C741" s="137"/>
      <c r="D741" s="138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1:25">
      <c r="A742" s="134"/>
      <c r="B742" s="781"/>
      <c r="C742" s="137"/>
      <c r="D742" s="138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1:25">
      <c r="A743" s="134"/>
      <c r="B743" s="781"/>
      <c r="C743" s="137"/>
      <c r="D743" s="138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1:25">
      <c r="A744" s="134"/>
      <c r="B744" s="781"/>
      <c r="C744" s="137"/>
      <c r="D744" s="138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1:25">
      <c r="A745" s="134"/>
      <c r="B745" s="781"/>
      <c r="C745" s="137"/>
      <c r="D745" s="138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1:25">
      <c r="A746" s="134"/>
      <c r="B746" s="781"/>
      <c r="C746" s="137"/>
      <c r="D746" s="138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1:25">
      <c r="A747" s="134"/>
      <c r="B747" s="781"/>
      <c r="C747" s="137"/>
      <c r="D747" s="138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  <row r="748" spans="1:25">
      <c r="A748" s="134"/>
      <c r="B748" s="781"/>
      <c r="C748" s="137"/>
      <c r="D748" s="138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</row>
    <row r="749" spans="1:25">
      <c r="A749" s="134"/>
      <c r="B749" s="781"/>
      <c r="C749" s="137"/>
      <c r="D749" s="138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</row>
    <row r="750" spans="1:25">
      <c r="A750" s="134"/>
      <c r="B750" s="781"/>
      <c r="C750" s="137"/>
      <c r="D750" s="138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</row>
    <row r="751" spans="1:25">
      <c r="A751" s="134"/>
      <c r="B751" s="781"/>
      <c r="C751" s="137"/>
      <c r="D751" s="138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</row>
    <row r="752" spans="1:25">
      <c r="A752" s="134"/>
      <c r="B752" s="781"/>
      <c r="C752" s="137"/>
      <c r="D752" s="138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</row>
    <row r="753" spans="1:25">
      <c r="A753" s="134"/>
      <c r="B753" s="781"/>
      <c r="C753" s="137"/>
      <c r="D753" s="138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</row>
    <row r="754" spans="1:25">
      <c r="A754" s="134"/>
      <c r="B754" s="781"/>
      <c r="C754" s="137"/>
      <c r="D754" s="138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</row>
    <row r="755" spans="1:25">
      <c r="A755" s="134"/>
      <c r="B755" s="781"/>
      <c r="C755" s="137"/>
      <c r="D755" s="138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</row>
    <row r="756" spans="1:25">
      <c r="A756" s="134"/>
      <c r="B756" s="781"/>
      <c r="C756" s="137"/>
      <c r="D756" s="138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</row>
    <row r="757" spans="1:25">
      <c r="A757" s="134"/>
      <c r="B757" s="781"/>
      <c r="C757" s="137"/>
      <c r="D757" s="138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</row>
    <row r="758" spans="1:25">
      <c r="A758" s="134"/>
      <c r="B758" s="781"/>
      <c r="C758" s="137"/>
      <c r="D758" s="138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</row>
    <row r="759" spans="1:25">
      <c r="A759" s="134"/>
      <c r="B759" s="781"/>
      <c r="C759" s="137"/>
      <c r="D759" s="138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</row>
    <row r="760" spans="1:25">
      <c r="A760" s="134"/>
      <c r="B760" s="781"/>
      <c r="C760" s="137"/>
      <c r="D760" s="138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</row>
    <row r="761" spans="1:25">
      <c r="A761" s="134"/>
      <c r="B761" s="781"/>
      <c r="C761" s="137"/>
      <c r="D761" s="138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</row>
    <row r="762" spans="1:25">
      <c r="A762" s="134"/>
      <c r="B762" s="781"/>
      <c r="C762" s="137"/>
      <c r="D762" s="138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</row>
    <row r="763" spans="1:25">
      <c r="A763" s="134"/>
      <c r="B763" s="781"/>
      <c r="C763" s="137"/>
      <c r="D763" s="138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</row>
    <row r="764" spans="1:25">
      <c r="A764" s="134"/>
      <c r="B764" s="781"/>
      <c r="C764" s="137"/>
      <c r="D764" s="138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</row>
    <row r="765" spans="1:25">
      <c r="A765" s="134"/>
      <c r="B765" s="781"/>
      <c r="C765" s="137"/>
      <c r="D765" s="138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</row>
    <row r="766" spans="1:25">
      <c r="A766" s="134"/>
      <c r="B766" s="781"/>
      <c r="C766" s="137"/>
      <c r="D766" s="138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</row>
    <row r="767" spans="1:25">
      <c r="A767" s="134"/>
      <c r="B767" s="781"/>
      <c r="C767" s="137"/>
      <c r="D767" s="138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</row>
    <row r="768" spans="1:25">
      <c r="A768" s="134"/>
      <c r="B768" s="781"/>
      <c r="C768" s="137"/>
      <c r="D768" s="138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</row>
    <row r="769" spans="1:25">
      <c r="A769" s="134"/>
      <c r="B769" s="781"/>
      <c r="C769" s="137"/>
      <c r="D769" s="138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</row>
    <row r="770" spans="1:25">
      <c r="A770" s="134"/>
      <c r="B770" s="781"/>
      <c r="C770" s="137"/>
      <c r="D770" s="138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</row>
    <row r="771" spans="1:25">
      <c r="A771" s="134"/>
      <c r="B771" s="781"/>
      <c r="C771" s="137"/>
      <c r="D771" s="138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</row>
    <row r="772" spans="1:25">
      <c r="A772" s="134"/>
      <c r="B772" s="781"/>
      <c r="C772" s="137"/>
      <c r="D772" s="138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</row>
    <row r="773" spans="1:25">
      <c r="A773" s="134"/>
      <c r="B773" s="781"/>
      <c r="C773" s="137"/>
      <c r="D773" s="138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</row>
    <row r="774" spans="1:25">
      <c r="A774" s="134"/>
      <c r="B774" s="781"/>
      <c r="C774" s="137"/>
      <c r="D774" s="138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</row>
    <row r="775" spans="1:25">
      <c r="A775" s="134"/>
      <c r="B775" s="781"/>
      <c r="C775" s="137"/>
      <c r="D775" s="138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</row>
    <row r="776" spans="1:25">
      <c r="A776" s="134"/>
      <c r="B776" s="781"/>
      <c r="C776" s="137"/>
      <c r="D776" s="138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</row>
    <row r="777" spans="1:25">
      <c r="A777" s="134"/>
      <c r="B777" s="781"/>
      <c r="C777" s="137"/>
      <c r="D777" s="138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</row>
    <row r="778" spans="1:25">
      <c r="A778" s="134"/>
      <c r="B778" s="781"/>
      <c r="C778" s="137"/>
      <c r="D778" s="138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</row>
    <row r="779" spans="1:25">
      <c r="A779" s="134"/>
      <c r="B779" s="781"/>
      <c r="C779" s="137"/>
      <c r="D779" s="138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</row>
    <row r="780" spans="1:25">
      <c r="A780" s="134"/>
      <c r="B780" s="781"/>
      <c r="C780" s="137"/>
      <c r="D780" s="138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</row>
    <row r="781" spans="1:25">
      <c r="A781" s="134"/>
      <c r="B781" s="781"/>
      <c r="C781" s="137"/>
      <c r="D781" s="138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</row>
    <row r="782" spans="1:25">
      <c r="A782" s="134"/>
      <c r="B782" s="781"/>
      <c r="C782" s="137"/>
      <c r="D782" s="138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</row>
    <row r="783" spans="1:25">
      <c r="A783" s="134"/>
      <c r="B783" s="781"/>
      <c r="C783" s="137"/>
      <c r="D783" s="138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</row>
    <row r="784" spans="1:25">
      <c r="A784" s="134"/>
      <c r="B784" s="781"/>
      <c r="C784" s="137"/>
      <c r="D784" s="138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</row>
    <row r="785" spans="1:25">
      <c r="A785" s="134"/>
      <c r="B785" s="781"/>
      <c r="C785" s="137"/>
      <c r="D785" s="138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</row>
    <row r="786" spans="1:25">
      <c r="A786" s="134"/>
      <c r="B786" s="781"/>
      <c r="C786" s="137"/>
      <c r="D786" s="138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</row>
    <row r="787" spans="1:25">
      <c r="A787" s="134"/>
      <c r="B787" s="781"/>
      <c r="C787" s="137"/>
      <c r="D787" s="138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</row>
    <row r="788" spans="1:25">
      <c r="A788" s="134"/>
      <c r="B788" s="781"/>
      <c r="C788" s="137"/>
      <c r="D788" s="138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</row>
    <row r="789" spans="1:25">
      <c r="A789" s="134"/>
      <c r="B789" s="781"/>
      <c r="C789" s="137"/>
      <c r="D789" s="138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</row>
    <row r="790" spans="1:25">
      <c r="A790" s="134"/>
      <c r="B790" s="781"/>
      <c r="C790" s="137"/>
      <c r="D790" s="138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</row>
    <row r="791" spans="1:25">
      <c r="A791" s="134"/>
      <c r="B791" s="781"/>
      <c r="C791" s="137"/>
      <c r="D791" s="138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</row>
    <row r="792" spans="1:25">
      <c r="A792" s="134"/>
      <c r="B792" s="781"/>
      <c r="C792" s="137"/>
      <c r="D792" s="138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</row>
    <row r="793" spans="1:25">
      <c r="A793" s="134"/>
      <c r="B793" s="781"/>
      <c r="C793" s="137"/>
      <c r="D793" s="138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</row>
    <row r="794" spans="1:25">
      <c r="A794" s="134"/>
      <c r="B794" s="781"/>
      <c r="C794" s="137"/>
      <c r="D794" s="138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</row>
    <row r="795" spans="1:25">
      <c r="A795" s="134"/>
      <c r="B795" s="781"/>
      <c r="C795" s="137"/>
      <c r="D795" s="138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</row>
    <row r="796" spans="1:25">
      <c r="A796" s="134"/>
      <c r="B796" s="781"/>
      <c r="C796" s="137"/>
      <c r="D796" s="138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</row>
    <row r="797" spans="1:25">
      <c r="A797" s="134"/>
      <c r="B797" s="781"/>
      <c r="C797" s="137"/>
      <c r="D797" s="138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</row>
    <row r="798" spans="1:25">
      <c r="A798" s="134"/>
      <c r="B798" s="781"/>
      <c r="C798" s="137"/>
      <c r="D798" s="138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</row>
    <row r="799" spans="1:25">
      <c r="A799" s="134"/>
      <c r="B799" s="781"/>
      <c r="C799" s="137"/>
      <c r="D799" s="138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</row>
    <row r="800" spans="1:25">
      <c r="A800" s="134"/>
      <c r="B800" s="781"/>
      <c r="C800" s="137"/>
      <c r="D800" s="138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</row>
    <row r="801" spans="1:25">
      <c r="A801" s="134"/>
      <c r="B801" s="781"/>
      <c r="C801" s="137"/>
      <c r="D801" s="138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</row>
    <row r="802" spans="1:25">
      <c r="A802" s="134"/>
      <c r="B802" s="781"/>
      <c r="C802" s="137"/>
      <c r="D802" s="138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</row>
    <row r="803" spans="1:25">
      <c r="A803" s="134"/>
      <c r="B803" s="781"/>
      <c r="C803" s="137"/>
      <c r="D803" s="138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</row>
    <row r="804" spans="1:25">
      <c r="A804" s="134"/>
      <c r="B804" s="781"/>
      <c r="C804" s="137"/>
      <c r="D804" s="138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</row>
    <row r="805" spans="1:25">
      <c r="A805" s="134"/>
      <c r="B805" s="781"/>
      <c r="C805" s="137"/>
      <c r="D805" s="138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</row>
    <row r="806" spans="1:25">
      <c r="A806" s="134"/>
      <c r="B806" s="781"/>
      <c r="C806" s="137"/>
      <c r="D806" s="138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</row>
    <row r="807" spans="1:25">
      <c r="A807" s="134"/>
      <c r="B807" s="781"/>
      <c r="C807" s="137"/>
      <c r="D807" s="138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</row>
    <row r="808" spans="1:25">
      <c r="A808" s="134"/>
      <c r="B808" s="781"/>
      <c r="C808" s="137"/>
      <c r="D808" s="138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</row>
    <row r="809" spans="1:25">
      <c r="A809" s="134"/>
      <c r="B809" s="781"/>
      <c r="C809" s="137"/>
      <c r="D809" s="138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</row>
    <row r="810" spans="1:25">
      <c r="A810" s="134"/>
      <c r="B810" s="781"/>
      <c r="C810" s="137"/>
      <c r="D810" s="138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</row>
    <row r="811" spans="1:25">
      <c r="A811" s="134"/>
      <c r="B811" s="781"/>
      <c r="C811" s="137"/>
      <c r="D811" s="138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</row>
    <row r="812" spans="1:25">
      <c r="A812" s="134"/>
      <c r="B812" s="781"/>
      <c r="C812" s="137"/>
      <c r="D812" s="138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</row>
    <row r="813" spans="1:25">
      <c r="A813" s="134"/>
      <c r="B813" s="781"/>
      <c r="C813" s="137"/>
      <c r="D813" s="138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</row>
    <row r="814" spans="1:25">
      <c r="A814" s="134"/>
      <c r="B814" s="781"/>
      <c r="C814" s="137"/>
      <c r="D814" s="138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</row>
    <row r="815" spans="1:25">
      <c r="A815" s="134"/>
      <c r="B815" s="781"/>
      <c r="C815" s="137"/>
      <c r="D815" s="138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</row>
    <row r="816" spans="1:25">
      <c r="A816" s="134"/>
      <c r="B816" s="781"/>
      <c r="C816" s="137"/>
      <c r="D816" s="138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</row>
    <row r="817" spans="1:25">
      <c r="A817" s="134"/>
      <c r="B817" s="781"/>
      <c r="C817" s="137"/>
      <c r="D817" s="138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</row>
    <row r="818" spans="1:25">
      <c r="A818" s="134"/>
      <c r="B818" s="781"/>
      <c r="C818" s="137"/>
      <c r="D818" s="138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</row>
    <row r="819" spans="1:25">
      <c r="A819" s="134"/>
      <c r="B819" s="781"/>
      <c r="C819" s="137"/>
      <c r="D819" s="138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</row>
    <row r="820" spans="1:25">
      <c r="A820" s="134"/>
      <c r="B820" s="781"/>
      <c r="C820" s="137"/>
      <c r="D820" s="138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</row>
    <row r="821" spans="1:25">
      <c r="A821" s="134"/>
      <c r="B821" s="781"/>
      <c r="C821" s="137"/>
      <c r="D821" s="138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</row>
    <row r="822" spans="1:25">
      <c r="A822" s="134"/>
      <c r="B822" s="781"/>
      <c r="C822" s="137"/>
      <c r="D822" s="138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</row>
    <row r="823" spans="1:25">
      <c r="A823" s="134"/>
      <c r="B823" s="781"/>
      <c r="C823" s="137"/>
      <c r="D823" s="138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</row>
    <row r="824" spans="1:25">
      <c r="A824" s="134"/>
      <c r="B824" s="781"/>
      <c r="C824" s="137"/>
      <c r="D824" s="138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</row>
    <row r="825" spans="1:25">
      <c r="A825" s="134"/>
      <c r="B825" s="781"/>
      <c r="C825" s="137"/>
      <c r="D825" s="138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</row>
    <row r="826" spans="1:25">
      <c r="A826" s="134"/>
      <c r="B826" s="781"/>
      <c r="C826" s="137"/>
      <c r="D826" s="138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</row>
    <row r="827" spans="1:25">
      <c r="A827" s="134"/>
      <c r="B827" s="781"/>
      <c r="C827" s="137"/>
      <c r="D827" s="138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</row>
    <row r="828" spans="1:25">
      <c r="A828" s="134"/>
      <c r="B828" s="781"/>
      <c r="C828" s="137"/>
      <c r="D828" s="138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</row>
    <row r="829" spans="1:25">
      <c r="A829" s="134"/>
      <c r="B829" s="781"/>
      <c r="C829" s="137"/>
      <c r="D829" s="138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</row>
    <row r="830" spans="1:25">
      <c r="A830" s="134"/>
      <c r="B830" s="781"/>
      <c r="C830" s="137"/>
      <c r="D830" s="138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</row>
    <row r="831" spans="1:25">
      <c r="A831" s="134"/>
      <c r="B831" s="781"/>
      <c r="C831" s="137"/>
      <c r="D831" s="138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</row>
    <row r="832" spans="1:25">
      <c r="A832" s="134"/>
      <c r="B832" s="781"/>
      <c r="C832" s="137"/>
      <c r="D832" s="138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</row>
    <row r="833" spans="1:25">
      <c r="A833" s="134"/>
      <c r="B833" s="781"/>
      <c r="C833" s="137"/>
      <c r="D833" s="138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</row>
    <row r="834" spans="1:25">
      <c r="A834" s="134"/>
      <c r="B834" s="781"/>
      <c r="C834" s="137"/>
      <c r="D834" s="138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</row>
    <row r="835" spans="1:25">
      <c r="A835" s="134"/>
      <c r="B835" s="781"/>
      <c r="C835" s="137"/>
      <c r="D835" s="138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</row>
    <row r="836" spans="1:25">
      <c r="A836" s="134"/>
      <c r="B836" s="781"/>
      <c r="C836" s="137"/>
      <c r="D836" s="138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</row>
    <row r="837" spans="1:25">
      <c r="A837" s="134"/>
      <c r="B837" s="781"/>
      <c r="C837" s="137"/>
      <c r="D837" s="138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</row>
    <row r="838" spans="1:25">
      <c r="A838" s="134"/>
      <c r="B838" s="781"/>
      <c r="C838" s="137"/>
      <c r="D838" s="138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</row>
    <row r="839" spans="1:25">
      <c r="A839" s="134"/>
      <c r="B839" s="781"/>
      <c r="C839" s="137"/>
      <c r="D839" s="138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</row>
    <row r="840" spans="1:25">
      <c r="A840" s="134"/>
      <c r="B840" s="781"/>
      <c r="C840" s="137"/>
      <c r="D840" s="138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</row>
    <row r="841" spans="1:25">
      <c r="A841" s="134"/>
      <c r="B841" s="781"/>
      <c r="C841" s="137"/>
      <c r="D841" s="138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</row>
    <row r="842" spans="1:25">
      <c r="A842" s="134"/>
      <c r="B842" s="781"/>
      <c r="C842" s="137"/>
      <c r="D842" s="138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</row>
    <row r="843" spans="1:25">
      <c r="A843" s="134"/>
      <c r="B843" s="781"/>
      <c r="C843" s="137"/>
      <c r="D843" s="138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</row>
    <row r="844" spans="1:25">
      <c r="A844" s="134"/>
      <c r="B844" s="781"/>
      <c r="C844" s="137"/>
      <c r="D844" s="138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</row>
    <row r="845" spans="1:25">
      <c r="A845" s="134"/>
      <c r="B845" s="781"/>
      <c r="C845" s="137"/>
      <c r="D845" s="138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</row>
    <row r="846" spans="1:25">
      <c r="A846" s="134"/>
      <c r="B846" s="781"/>
      <c r="C846" s="137"/>
      <c r="D846" s="138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</row>
    <row r="847" spans="1:25">
      <c r="A847" s="134"/>
      <c r="B847" s="781"/>
      <c r="C847" s="137"/>
      <c r="D847" s="138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</row>
    <row r="848" spans="1:25">
      <c r="A848" s="134"/>
      <c r="B848" s="781"/>
      <c r="C848" s="137"/>
      <c r="D848" s="138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</row>
    <row r="849" spans="1:25">
      <c r="A849" s="134"/>
      <c r="B849" s="781"/>
      <c r="C849" s="137"/>
      <c r="D849" s="138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</row>
    <row r="850" spans="1:25">
      <c r="A850" s="134"/>
      <c r="B850" s="781"/>
      <c r="C850" s="137"/>
      <c r="D850" s="138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</row>
    <row r="851" spans="1:25">
      <c r="A851" s="134"/>
      <c r="B851" s="781"/>
      <c r="C851" s="137"/>
      <c r="D851" s="138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</row>
    <row r="852" spans="1:25">
      <c r="A852" s="134"/>
      <c r="B852" s="781"/>
      <c r="C852" s="137"/>
      <c r="D852" s="138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</row>
    <row r="853" spans="1:25">
      <c r="A853" s="134"/>
      <c r="B853" s="781"/>
      <c r="C853" s="137"/>
      <c r="D853" s="138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</row>
    <row r="854" spans="1:25">
      <c r="A854" s="134"/>
      <c r="B854" s="781"/>
      <c r="C854" s="137"/>
      <c r="D854" s="138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</row>
    <row r="855" spans="1:25">
      <c r="A855" s="134"/>
      <c r="B855" s="781"/>
      <c r="C855" s="137"/>
      <c r="D855" s="138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</row>
    <row r="856" spans="1:25">
      <c r="A856" s="134"/>
      <c r="B856" s="781"/>
      <c r="C856" s="137"/>
      <c r="D856" s="138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</row>
    <row r="857" spans="1:25">
      <c r="A857" s="134"/>
      <c r="B857" s="781"/>
      <c r="C857" s="137"/>
      <c r="D857" s="138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</row>
    <row r="858" spans="1:25">
      <c r="A858" s="134"/>
      <c r="B858" s="781"/>
      <c r="C858" s="137"/>
      <c r="D858" s="138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</row>
    <row r="859" spans="1:25">
      <c r="A859" s="134"/>
      <c r="B859" s="781"/>
      <c r="C859" s="137"/>
      <c r="D859" s="138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</row>
    <row r="860" spans="1:25">
      <c r="A860" s="134"/>
      <c r="B860" s="781"/>
      <c r="C860" s="137"/>
      <c r="D860" s="138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</row>
    <row r="861" spans="1:25">
      <c r="A861" s="134"/>
      <c r="B861" s="781"/>
      <c r="C861" s="137"/>
      <c r="D861" s="138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</row>
    <row r="862" spans="1:25">
      <c r="A862" s="134"/>
      <c r="B862" s="781"/>
      <c r="C862" s="137"/>
      <c r="D862" s="138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</row>
    <row r="863" spans="1:25">
      <c r="A863" s="134"/>
      <c r="B863" s="781"/>
      <c r="C863" s="137"/>
      <c r="D863" s="138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</row>
    <row r="864" spans="1:25">
      <c r="A864" s="134"/>
      <c r="B864" s="781"/>
      <c r="C864" s="137"/>
      <c r="D864" s="138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</row>
    <row r="865" spans="1:25">
      <c r="A865" s="134"/>
      <c r="B865" s="781"/>
      <c r="C865" s="137"/>
      <c r="D865" s="138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</row>
    <row r="866" spans="1:25">
      <c r="A866" s="134"/>
      <c r="B866" s="781"/>
      <c r="C866" s="137"/>
      <c r="D866" s="138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</row>
    <row r="867" spans="1:25">
      <c r="A867" s="134"/>
      <c r="B867" s="781"/>
      <c r="C867" s="137"/>
      <c r="D867" s="138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</row>
    <row r="868" spans="1:25">
      <c r="A868" s="134"/>
      <c r="B868" s="781"/>
      <c r="C868" s="137"/>
      <c r="D868" s="138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</row>
    <row r="869" spans="1:25">
      <c r="A869" s="134"/>
      <c r="B869" s="781"/>
      <c r="C869" s="137"/>
      <c r="D869" s="138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</row>
    <row r="870" spans="1:25">
      <c r="A870" s="134"/>
      <c r="B870" s="781"/>
      <c r="C870" s="137"/>
      <c r="D870" s="138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</row>
    <row r="871" spans="1:25">
      <c r="A871" s="134"/>
      <c r="B871" s="781"/>
      <c r="C871" s="137"/>
      <c r="D871" s="138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</row>
    <row r="872" spans="1:25">
      <c r="A872" s="134"/>
      <c r="B872" s="781"/>
      <c r="C872" s="137"/>
      <c r="D872" s="138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</row>
    <row r="873" spans="1:25">
      <c r="A873" s="134"/>
      <c r="B873" s="781"/>
      <c r="C873" s="137"/>
      <c r="D873" s="138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</row>
    <row r="874" spans="1:25">
      <c r="A874" s="134"/>
      <c r="B874" s="781"/>
      <c r="C874" s="137"/>
      <c r="D874" s="138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</row>
    <row r="875" spans="1:25">
      <c r="A875" s="134"/>
      <c r="B875" s="781"/>
      <c r="C875" s="137"/>
      <c r="D875" s="138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</row>
    <row r="876" spans="1:25">
      <c r="A876" s="134"/>
      <c r="B876" s="781"/>
      <c r="C876" s="137"/>
      <c r="D876" s="138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</row>
    <row r="877" spans="1:25">
      <c r="A877" s="134"/>
      <c r="B877" s="781"/>
      <c r="C877" s="137"/>
      <c r="D877" s="138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</row>
    <row r="878" spans="1:25">
      <c r="A878" s="134"/>
      <c r="B878" s="781"/>
      <c r="C878" s="137"/>
      <c r="D878" s="138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</row>
    <row r="879" spans="1:25">
      <c r="A879" s="134"/>
      <c r="B879" s="781"/>
      <c r="C879" s="137"/>
      <c r="D879" s="138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</row>
    <row r="880" spans="1:25">
      <c r="A880" s="134"/>
      <c r="B880" s="781"/>
      <c r="C880" s="137"/>
      <c r="D880" s="138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</row>
    <row r="881" spans="1:25">
      <c r="A881" s="134"/>
      <c r="B881" s="781"/>
      <c r="C881" s="137"/>
      <c r="D881" s="138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</row>
    <row r="882" spans="1:25">
      <c r="A882" s="134"/>
      <c r="B882" s="781"/>
      <c r="C882" s="137"/>
      <c r="D882" s="138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</row>
    <row r="883" spans="1:25">
      <c r="A883" s="134"/>
      <c r="B883" s="781"/>
      <c r="C883" s="137"/>
      <c r="D883" s="138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</row>
    <row r="884" spans="1:25">
      <c r="A884" s="134"/>
      <c r="B884" s="781"/>
      <c r="C884" s="137"/>
      <c r="D884" s="138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</row>
    <row r="885" spans="1:25">
      <c r="A885" s="134"/>
      <c r="B885" s="781"/>
      <c r="C885" s="137"/>
      <c r="D885" s="138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</row>
    <row r="886" spans="1:25">
      <c r="A886" s="134"/>
      <c r="B886" s="781"/>
      <c r="C886" s="137"/>
      <c r="D886" s="138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</row>
    <row r="887" spans="1:25">
      <c r="A887" s="134"/>
      <c r="B887" s="781"/>
      <c r="C887" s="137"/>
      <c r="D887" s="138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</row>
    <row r="888" spans="1:25">
      <c r="A888" s="134"/>
      <c r="B888" s="781"/>
      <c r="C888" s="137"/>
      <c r="D888" s="138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</row>
    <row r="889" spans="1:25">
      <c r="A889" s="134"/>
      <c r="B889" s="781"/>
      <c r="C889" s="137"/>
      <c r="D889" s="138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</row>
    <row r="890" spans="1:25">
      <c r="A890" s="134"/>
      <c r="B890" s="781"/>
      <c r="C890" s="137"/>
      <c r="D890" s="138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</row>
    <row r="891" spans="1:25">
      <c r="A891" s="134"/>
      <c r="B891" s="781"/>
      <c r="C891" s="137"/>
      <c r="D891" s="138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</row>
    <row r="892" spans="1:25">
      <c r="A892" s="134"/>
      <c r="B892" s="781"/>
      <c r="C892" s="137"/>
      <c r="D892" s="138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</row>
    <row r="893" spans="1:25">
      <c r="A893" s="134"/>
      <c r="B893" s="781"/>
      <c r="C893" s="137"/>
      <c r="D893" s="138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</row>
    <row r="894" spans="1:25">
      <c r="A894" s="134"/>
      <c r="B894" s="781"/>
      <c r="C894" s="137"/>
      <c r="D894" s="138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</row>
    <row r="895" spans="1:25">
      <c r="A895" s="134"/>
      <c r="B895" s="781"/>
      <c r="C895" s="137"/>
      <c r="D895" s="138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</row>
    <row r="896" spans="1:25">
      <c r="A896" s="134"/>
      <c r="B896" s="781"/>
      <c r="C896" s="137"/>
      <c r="D896" s="138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</row>
    <row r="897" spans="1:25">
      <c r="A897" s="134"/>
      <c r="B897" s="781"/>
      <c r="C897" s="137"/>
      <c r="D897" s="138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</row>
    <row r="898" spans="1:25">
      <c r="A898" s="134"/>
      <c r="B898" s="781"/>
      <c r="C898" s="137"/>
      <c r="D898" s="138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</row>
    <row r="899" spans="1:25">
      <c r="A899" s="134"/>
      <c r="B899" s="781"/>
      <c r="C899" s="137"/>
      <c r="D899" s="138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</row>
    <row r="900" spans="1:25">
      <c r="A900" s="134"/>
      <c r="B900" s="781"/>
      <c r="C900" s="137"/>
      <c r="D900" s="138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</row>
    <row r="901" spans="1:25">
      <c r="A901" s="134"/>
      <c r="B901" s="781"/>
      <c r="C901" s="137"/>
      <c r="D901" s="138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</row>
    <row r="902" spans="1:25">
      <c r="A902" s="134"/>
      <c r="B902" s="781"/>
      <c r="C902" s="137"/>
      <c r="D902" s="138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</row>
    <row r="903" spans="1:25">
      <c r="A903" s="134"/>
      <c r="B903" s="781"/>
      <c r="C903" s="137"/>
      <c r="D903" s="138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</row>
    <row r="904" spans="1:25">
      <c r="A904" s="134"/>
      <c r="B904" s="781"/>
      <c r="C904" s="137"/>
      <c r="D904" s="138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</row>
    <row r="905" spans="1:25">
      <c r="A905" s="134"/>
      <c r="B905" s="781"/>
      <c r="C905" s="137"/>
      <c r="D905" s="138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</row>
    <row r="906" spans="1:25">
      <c r="A906" s="134"/>
      <c r="B906" s="781"/>
      <c r="C906" s="137"/>
      <c r="D906" s="138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</row>
    <row r="907" spans="1:25">
      <c r="A907" s="134"/>
      <c r="B907" s="781"/>
      <c r="C907" s="137"/>
      <c r="D907" s="138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</row>
    <row r="908" spans="1:25">
      <c r="A908" s="134"/>
      <c r="B908" s="781"/>
      <c r="C908" s="137"/>
      <c r="D908" s="138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</row>
    <row r="909" spans="1:25">
      <c r="A909" s="134"/>
      <c r="B909" s="781"/>
      <c r="C909" s="137"/>
      <c r="D909" s="138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</row>
    <row r="910" spans="1:25">
      <c r="A910" s="134"/>
      <c r="B910" s="781"/>
      <c r="C910" s="137"/>
      <c r="D910" s="138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</row>
    <row r="911" spans="1:25">
      <c r="A911" s="134"/>
      <c r="B911" s="781"/>
      <c r="C911" s="137"/>
      <c r="D911" s="138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</row>
    <row r="912" spans="1:25">
      <c r="A912" s="134"/>
      <c r="B912" s="781"/>
      <c r="C912" s="137"/>
      <c r="D912" s="138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</row>
    <row r="913" spans="1:25">
      <c r="A913" s="134"/>
      <c r="B913" s="781"/>
      <c r="C913" s="137"/>
      <c r="D913" s="138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</row>
    <row r="914" spans="1:25">
      <c r="A914" s="134"/>
      <c r="B914" s="781"/>
      <c r="C914" s="137"/>
      <c r="D914" s="138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</row>
    <row r="915" spans="1:25">
      <c r="A915" s="134"/>
      <c r="B915" s="781"/>
      <c r="C915" s="137"/>
      <c r="D915" s="138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</row>
    <row r="916" spans="1:25">
      <c r="A916" s="134"/>
      <c r="B916" s="781"/>
      <c r="C916" s="137"/>
      <c r="D916" s="138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</row>
    <row r="917" spans="1:25">
      <c r="A917" s="134"/>
      <c r="B917" s="781"/>
      <c r="C917" s="137"/>
      <c r="D917" s="138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</row>
    <row r="918" spans="1:25">
      <c r="A918" s="134"/>
      <c r="B918" s="781"/>
      <c r="C918" s="137"/>
      <c r="D918" s="138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</row>
    <row r="919" spans="1:25">
      <c r="A919" s="134"/>
      <c r="B919" s="781"/>
      <c r="C919" s="137"/>
      <c r="D919" s="138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</row>
    <row r="920" spans="1:25">
      <c r="A920" s="134"/>
      <c r="B920" s="781"/>
      <c r="C920" s="137"/>
      <c r="D920" s="138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</row>
    <row r="921" spans="1:25">
      <c r="A921" s="134"/>
      <c r="B921" s="781"/>
      <c r="C921" s="137"/>
      <c r="D921" s="138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</row>
    <row r="922" spans="1:25">
      <c r="A922" s="134"/>
      <c r="B922" s="781"/>
      <c r="C922" s="137"/>
      <c r="D922" s="138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</row>
    <row r="923" spans="1:25">
      <c r="A923" s="134"/>
      <c r="B923" s="781"/>
      <c r="C923" s="137"/>
      <c r="D923" s="138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</row>
    <row r="924" spans="1:25">
      <c r="A924" s="134"/>
      <c r="B924" s="781"/>
      <c r="C924" s="137"/>
      <c r="D924" s="138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</row>
    <row r="925" spans="1:25">
      <c r="A925" s="134"/>
      <c r="B925" s="781"/>
      <c r="C925" s="137"/>
      <c r="D925" s="138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</row>
    <row r="926" spans="1:25">
      <c r="A926" s="134"/>
      <c r="B926" s="781"/>
      <c r="C926" s="137"/>
      <c r="D926" s="138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</row>
    <row r="927" spans="1:25">
      <c r="A927" s="134"/>
      <c r="B927" s="781"/>
      <c r="C927" s="137"/>
      <c r="D927" s="138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</row>
    <row r="928" spans="1:25">
      <c r="A928" s="134"/>
      <c r="B928" s="781"/>
      <c r="C928" s="137"/>
      <c r="D928" s="138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</row>
    <row r="929" spans="1:25">
      <c r="A929" s="134"/>
      <c r="B929" s="781"/>
      <c r="C929" s="137"/>
      <c r="D929" s="138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</row>
    <row r="930" spans="1:25">
      <c r="A930" s="134"/>
      <c r="B930" s="781"/>
      <c r="C930" s="137"/>
      <c r="D930" s="138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</row>
    <row r="931" spans="1:25">
      <c r="A931" s="134"/>
      <c r="B931" s="781"/>
      <c r="C931" s="137"/>
      <c r="D931" s="138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</row>
    <row r="932" spans="1:25">
      <c r="A932" s="134"/>
      <c r="B932" s="781"/>
      <c r="C932" s="137"/>
      <c r="D932" s="138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</row>
    <row r="933" spans="1:25">
      <c r="A933" s="134"/>
      <c r="B933" s="781"/>
      <c r="C933" s="137"/>
      <c r="D933" s="138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</row>
    <row r="934" spans="1:25">
      <c r="A934" s="134"/>
      <c r="B934" s="781"/>
      <c r="C934" s="137"/>
      <c r="D934" s="138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</row>
    <row r="935" spans="1:25">
      <c r="A935" s="134"/>
      <c r="B935" s="781"/>
      <c r="C935" s="137"/>
      <c r="D935" s="138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</row>
    <row r="936" spans="1:25">
      <c r="A936" s="134"/>
      <c r="B936" s="781"/>
      <c r="C936" s="137"/>
      <c r="D936" s="138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</row>
    <row r="937" spans="1:25">
      <c r="A937" s="134"/>
      <c r="B937" s="781"/>
      <c r="C937" s="137"/>
      <c r="D937" s="138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</row>
    <row r="938" spans="1:25">
      <c r="A938" s="134"/>
      <c r="B938" s="781"/>
      <c r="C938" s="137"/>
      <c r="D938" s="138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</row>
    <row r="939" spans="1:25">
      <c r="A939" s="134"/>
      <c r="B939" s="781"/>
      <c r="C939" s="137"/>
      <c r="D939" s="138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</row>
    <row r="940" spans="1:25">
      <c r="A940" s="134"/>
      <c r="B940" s="781"/>
      <c r="C940" s="137"/>
      <c r="D940" s="138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</row>
    <row r="941" spans="1:25">
      <c r="A941" s="134"/>
      <c r="B941" s="781"/>
      <c r="C941" s="137"/>
      <c r="D941" s="138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</row>
    <row r="942" spans="1:25">
      <c r="A942" s="134"/>
      <c r="B942" s="781"/>
      <c r="C942" s="137"/>
      <c r="D942" s="138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</row>
    <row r="943" spans="1:25">
      <c r="A943" s="134"/>
      <c r="B943" s="781"/>
      <c r="C943" s="137"/>
      <c r="D943" s="138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</row>
    <row r="944" spans="1:25">
      <c r="A944" s="134"/>
      <c r="B944" s="781"/>
      <c r="C944" s="137"/>
      <c r="D944" s="138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</row>
    <row r="945" spans="1:25">
      <c r="A945" s="134"/>
      <c r="B945" s="781"/>
      <c r="C945" s="137"/>
      <c r="D945" s="138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</row>
    <row r="946" spans="1:25">
      <c r="A946" s="134"/>
      <c r="B946" s="781"/>
      <c r="C946" s="137"/>
      <c r="D946" s="138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</row>
    <row r="947" spans="1:25">
      <c r="A947" s="134"/>
      <c r="B947" s="781"/>
      <c r="C947" s="137"/>
      <c r="D947" s="138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</row>
    <row r="948" spans="1:25">
      <c r="A948" s="134"/>
      <c r="B948" s="781"/>
      <c r="C948" s="137"/>
      <c r="D948" s="138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</row>
    <row r="949" spans="1:25">
      <c r="A949" s="134"/>
      <c r="B949" s="781"/>
      <c r="C949" s="137"/>
      <c r="D949" s="138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</row>
    <row r="950" spans="1:25">
      <c r="A950" s="134"/>
      <c r="B950" s="781"/>
      <c r="C950" s="137"/>
      <c r="D950" s="138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</row>
    <row r="951" spans="1:25">
      <c r="A951" s="134"/>
      <c r="B951" s="781"/>
      <c r="C951" s="137"/>
      <c r="D951" s="138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</row>
    <row r="952" spans="1:25">
      <c r="A952" s="134"/>
      <c r="B952" s="781"/>
      <c r="C952" s="137"/>
      <c r="D952" s="138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</row>
    <row r="953" spans="1:25">
      <c r="A953" s="134"/>
      <c r="B953" s="781"/>
      <c r="C953" s="137"/>
      <c r="D953" s="138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</row>
    <row r="954" spans="1:25">
      <c r="A954" s="134"/>
      <c r="B954" s="781"/>
      <c r="C954" s="137"/>
      <c r="D954" s="138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</row>
    <row r="955" spans="1:25">
      <c r="A955" s="134"/>
      <c r="B955" s="781"/>
      <c r="C955" s="137"/>
      <c r="D955" s="138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</row>
    <row r="956" spans="1:25">
      <c r="A956" s="134"/>
      <c r="B956" s="781"/>
      <c r="C956" s="137"/>
      <c r="D956" s="138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</row>
    <row r="957" spans="1:25">
      <c r="A957" s="134"/>
      <c r="B957" s="781"/>
      <c r="C957" s="137"/>
      <c r="D957" s="138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</row>
    <row r="958" spans="1:25">
      <c r="A958" s="134"/>
      <c r="B958" s="781"/>
      <c r="C958" s="137"/>
      <c r="D958" s="138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</row>
    <row r="959" spans="1:25">
      <c r="A959" s="134"/>
      <c r="B959" s="781"/>
      <c r="C959" s="137"/>
      <c r="D959" s="138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</row>
    <row r="960" spans="1:25">
      <c r="A960" s="134"/>
      <c r="B960" s="781"/>
      <c r="C960" s="137"/>
      <c r="D960" s="138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</row>
    <row r="961" spans="1:25">
      <c r="A961" s="134"/>
      <c r="B961" s="781"/>
      <c r="C961" s="137"/>
      <c r="D961" s="138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</row>
    <row r="962" spans="1:25">
      <c r="A962" s="134"/>
      <c r="B962" s="781"/>
      <c r="C962" s="137"/>
      <c r="D962" s="138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</row>
    <row r="963" spans="1:25">
      <c r="A963" s="134"/>
      <c r="B963" s="781"/>
      <c r="C963" s="137"/>
      <c r="D963" s="138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</row>
    <row r="964" spans="1:25">
      <c r="A964" s="134"/>
      <c r="B964" s="781"/>
      <c r="C964" s="137"/>
      <c r="D964" s="138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</row>
    <row r="965" spans="1:25">
      <c r="A965" s="134"/>
      <c r="B965" s="781"/>
      <c r="C965" s="137"/>
      <c r="D965" s="138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</row>
    <row r="966" spans="1:25">
      <c r="A966" s="134"/>
      <c r="B966" s="781"/>
      <c r="C966" s="137"/>
      <c r="D966" s="138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</row>
    <row r="967" spans="1:25">
      <c r="A967" s="134"/>
      <c r="B967" s="781"/>
      <c r="C967" s="137"/>
      <c r="D967" s="138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</row>
    <row r="968" spans="1:25">
      <c r="A968" s="134"/>
      <c r="B968" s="781"/>
      <c r="C968" s="137"/>
      <c r="D968" s="138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</row>
  </sheetData>
  <sheetProtection password="CA9F" sheet="1"/>
  <mergeCells count="13">
    <mergeCell ref="D41:E41"/>
    <mergeCell ref="F7:H7"/>
    <mergeCell ref="D36:E36"/>
    <mergeCell ref="D37:E37"/>
    <mergeCell ref="D38:E38"/>
    <mergeCell ref="D39:E39"/>
    <mergeCell ref="D40:E40"/>
    <mergeCell ref="A30:C30"/>
    <mergeCell ref="D2:H3"/>
    <mergeCell ref="A11:A27"/>
    <mergeCell ref="B9:C9"/>
    <mergeCell ref="A5:H5"/>
    <mergeCell ref="A7:C7"/>
  </mergeCells>
  <dataValidations count="2">
    <dataValidation type="decimal" allowBlank="1" showInputMessage="1" showErrorMessage="1" sqref="H11:H30 E30:G30">
      <formula1>0</formula1>
      <formula2>1E+24</formula2>
    </dataValidation>
    <dataValidation type="decimal" allowBlank="1" showInputMessage="1" showErrorMessage="1" sqref="E11:G29">
      <formula1>-1.11111111111111E+27</formula1>
      <formula2>1E+24</formula2>
    </dataValidation>
  </dataValidations>
  <pageMargins left="0.39" right="0.37" top="0.75" bottom="0.75" header="0.3" footer="0.3"/>
  <pageSetup scale="92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Y1001"/>
  <sheetViews>
    <sheetView topLeftCell="A4" zoomScale="106" zoomScaleNormal="106" workbookViewId="0">
      <selection activeCell="J32" sqref="J32"/>
    </sheetView>
  </sheetViews>
  <sheetFormatPr defaultColWidth="15.1796875" defaultRowHeight="10.5"/>
  <cols>
    <col min="1" max="1" width="6.81640625" style="135" customWidth="1"/>
    <col min="2" max="2" width="4.7265625" style="787" customWidth="1"/>
    <col min="3" max="3" width="23.7265625" style="135" customWidth="1"/>
    <col min="4" max="4" width="7" style="135" customWidth="1"/>
    <col min="5" max="8" width="15.26953125" style="135" customWidth="1"/>
    <col min="9" max="25" width="7.453125" style="135" customWidth="1"/>
    <col min="26" max="16384" width="15.1796875" style="135"/>
  </cols>
  <sheetData>
    <row r="1" spans="1:25">
      <c r="D1" s="1059" t="s">
        <v>1004</v>
      </c>
      <c r="E1" s="1059"/>
      <c r="F1" s="1059"/>
      <c r="G1" s="1059"/>
      <c r="H1" s="1059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</row>
    <row r="2" spans="1:25">
      <c r="A2" s="133"/>
      <c r="B2" s="771"/>
      <c r="C2" s="134"/>
      <c r="D2" s="1059"/>
      <c r="E2" s="1059"/>
      <c r="F2" s="1059"/>
      <c r="G2" s="1059"/>
      <c r="H2" s="1059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>
      <c r="A3" s="133"/>
      <c r="B3" s="771"/>
      <c r="C3" s="134"/>
      <c r="D3" s="1059"/>
      <c r="E3" s="1059"/>
      <c r="F3" s="1059"/>
      <c r="G3" s="1059"/>
      <c r="H3" s="1059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4" spans="1:25">
      <c r="A4" s="133"/>
      <c r="B4" s="78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26.25" customHeight="1">
      <c r="A5" s="1099" t="s">
        <v>660</v>
      </c>
      <c r="B5" s="1100"/>
      <c r="C5" s="1100"/>
      <c r="D5" s="1100"/>
      <c r="E5" s="1100"/>
      <c r="F5" s="1100"/>
      <c r="G5" s="1100"/>
      <c r="H5" s="1100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>
      <c r="A6" s="133"/>
      <c r="B6" s="78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</row>
    <row r="7" spans="1:25">
      <c r="A7" s="1068" t="str">
        <f>+i.04108!A7</f>
        <v>Даатгагчийн нэр:</v>
      </c>
      <c r="B7" s="1072"/>
      <c r="C7" s="1072"/>
      <c r="D7" s="824"/>
      <c r="E7" s="230"/>
      <c r="F7" s="1110" t="str">
        <f>+i.04108!F7</f>
        <v>..... оны .... сарын ...-ны өдөр</v>
      </c>
      <c r="G7" s="1110"/>
      <c r="H7" s="1110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>
      <c r="A8" s="141"/>
      <c r="B8" s="784"/>
      <c r="C8" s="134"/>
      <c r="D8" s="134"/>
      <c r="E8" s="142"/>
      <c r="F8" s="134"/>
      <c r="G8" s="154"/>
      <c r="H8" s="143" t="s">
        <v>1</v>
      </c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ht="21">
      <c r="A9" s="130" t="s">
        <v>661</v>
      </c>
      <c r="B9" s="1108" t="s">
        <v>642</v>
      </c>
      <c r="C9" s="1109"/>
      <c r="D9" s="130" t="s">
        <v>4</v>
      </c>
      <c r="E9" s="130" t="s">
        <v>631</v>
      </c>
      <c r="F9" s="130" t="s">
        <v>632</v>
      </c>
      <c r="G9" s="130" t="s">
        <v>633</v>
      </c>
      <c r="H9" s="130" t="s">
        <v>634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s="156" customFormat="1">
      <c r="A10" s="155" t="s">
        <v>6</v>
      </c>
      <c r="B10" s="165" t="s">
        <v>7</v>
      </c>
      <c r="C10" s="165" t="s">
        <v>8</v>
      </c>
      <c r="D10" s="164" t="s">
        <v>9</v>
      </c>
      <c r="E10" s="166">
        <v>1</v>
      </c>
      <c r="F10" s="166">
        <v>2</v>
      </c>
      <c r="G10" s="166">
        <v>3</v>
      </c>
      <c r="H10" s="131">
        <v>4</v>
      </c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</row>
    <row r="11" spans="1:25" ht="21">
      <c r="A11" s="1107" t="s">
        <v>635</v>
      </c>
      <c r="B11" s="778" t="s">
        <v>11</v>
      </c>
      <c r="C11" s="157" t="s">
        <v>643</v>
      </c>
      <c r="D11" s="160">
        <v>1</v>
      </c>
      <c r="E11" s="825"/>
      <c r="F11" s="826"/>
      <c r="G11" s="826"/>
      <c r="H11" s="216">
        <f>E11+F11-G11</f>
        <v>0</v>
      </c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 ht="11.25" customHeight="1">
      <c r="A12" s="1096"/>
      <c r="B12" s="785">
        <f t="shared" ref="B12:B19" si="0">+B11+0.1</f>
        <v>1.2000000000000002</v>
      </c>
      <c r="C12" s="157" t="s">
        <v>962</v>
      </c>
      <c r="D12" s="160">
        <f>+D11+1</f>
        <v>2</v>
      </c>
      <c r="E12" s="825"/>
      <c r="F12" s="826"/>
      <c r="G12" s="826"/>
      <c r="H12" s="216">
        <f t="shared" ref="H12:H29" si="1">E12+F12-G12</f>
        <v>0</v>
      </c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>
      <c r="A13" s="1096"/>
      <c r="B13" s="785">
        <f t="shared" si="0"/>
        <v>1.3000000000000003</v>
      </c>
      <c r="C13" s="157" t="s">
        <v>644</v>
      </c>
      <c r="D13" s="160">
        <f t="shared" ref="D13:D25" si="2">+D12+1</f>
        <v>3</v>
      </c>
      <c r="E13" s="825"/>
      <c r="F13" s="826"/>
      <c r="G13" s="826"/>
      <c r="H13" s="216">
        <f t="shared" si="1"/>
        <v>0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ht="9.75" customHeight="1">
      <c r="A14" s="1096"/>
      <c r="B14" s="785">
        <f t="shared" si="0"/>
        <v>1.4000000000000004</v>
      </c>
      <c r="C14" s="157" t="s">
        <v>962</v>
      </c>
      <c r="D14" s="160">
        <f t="shared" si="2"/>
        <v>4</v>
      </c>
      <c r="E14" s="825"/>
      <c r="F14" s="826"/>
      <c r="G14" s="826"/>
      <c r="H14" s="216">
        <f t="shared" si="1"/>
        <v>0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ht="9.75" customHeight="1">
      <c r="A15" s="1096"/>
      <c r="B15" s="785">
        <f t="shared" si="0"/>
        <v>1.5000000000000004</v>
      </c>
      <c r="C15" s="157" t="s">
        <v>645</v>
      </c>
      <c r="D15" s="160">
        <f t="shared" si="2"/>
        <v>5</v>
      </c>
      <c r="E15" s="825"/>
      <c r="F15" s="826"/>
      <c r="G15" s="826"/>
      <c r="H15" s="216">
        <f t="shared" si="1"/>
        <v>0</v>
      </c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>
      <c r="A16" s="1096"/>
      <c r="B16" s="785">
        <f t="shared" si="0"/>
        <v>1.6000000000000005</v>
      </c>
      <c r="C16" s="157" t="s">
        <v>646</v>
      </c>
      <c r="D16" s="160">
        <f t="shared" si="2"/>
        <v>6</v>
      </c>
      <c r="E16" s="825"/>
      <c r="F16" s="826"/>
      <c r="G16" s="826"/>
      <c r="H16" s="216">
        <f t="shared" si="1"/>
        <v>0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>
      <c r="A17" s="1096"/>
      <c r="B17" s="785">
        <f t="shared" si="0"/>
        <v>1.7000000000000006</v>
      </c>
      <c r="C17" s="157" t="s">
        <v>647</v>
      </c>
      <c r="D17" s="160">
        <f t="shared" si="2"/>
        <v>7</v>
      </c>
      <c r="E17" s="825"/>
      <c r="F17" s="826"/>
      <c r="G17" s="826"/>
      <c r="H17" s="216">
        <f t="shared" si="1"/>
        <v>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>
      <c r="A18" s="1096"/>
      <c r="B18" s="785">
        <f t="shared" si="0"/>
        <v>1.8000000000000007</v>
      </c>
      <c r="C18" s="157" t="s">
        <v>648</v>
      </c>
      <c r="D18" s="160">
        <f t="shared" si="2"/>
        <v>8</v>
      </c>
      <c r="E18" s="825"/>
      <c r="F18" s="826"/>
      <c r="G18" s="826"/>
      <c r="H18" s="216">
        <f t="shared" si="1"/>
        <v>0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>
      <c r="A19" s="1096"/>
      <c r="B19" s="785">
        <f t="shared" si="0"/>
        <v>1.9000000000000008</v>
      </c>
      <c r="C19" s="157" t="s">
        <v>649</v>
      </c>
      <c r="D19" s="160">
        <f t="shared" si="2"/>
        <v>9</v>
      </c>
      <c r="E19" s="825"/>
      <c r="F19" s="826"/>
      <c r="G19" s="826"/>
      <c r="H19" s="216">
        <f t="shared" si="1"/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>
      <c r="A20" s="1096"/>
      <c r="B20" s="778">
        <v>1.1000000000000001</v>
      </c>
      <c r="C20" s="157" t="s">
        <v>650</v>
      </c>
      <c r="D20" s="160">
        <f t="shared" si="2"/>
        <v>10</v>
      </c>
      <c r="E20" s="825"/>
      <c r="F20" s="826"/>
      <c r="G20" s="826"/>
      <c r="H20" s="216">
        <f t="shared" si="1"/>
        <v>0</v>
      </c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ht="20.25" customHeight="1">
      <c r="A21" s="1096"/>
      <c r="B21" s="778">
        <f>+B20+0.01</f>
        <v>1.1100000000000001</v>
      </c>
      <c r="C21" s="157" t="s">
        <v>651</v>
      </c>
      <c r="D21" s="160">
        <f t="shared" si="2"/>
        <v>11</v>
      </c>
      <c r="E21" s="825"/>
      <c r="F21" s="826"/>
      <c r="G21" s="826"/>
      <c r="H21" s="216">
        <f t="shared" si="1"/>
        <v>0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>
      <c r="A22" s="1096"/>
      <c r="B22" s="778">
        <f t="shared" ref="B22:B29" si="3">+B21+0.01</f>
        <v>1.1200000000000001</v>
      </c>
      <c r="C22" s="157" t="s">
        <v>652</v>
      </c>
      <c r="D22" s="160">
        <f t="shared" si="2"/>
        <v>12</v>
      </c>
      <c r="E22" s="825"/>
      <c r="F22" s="826"/>
      <c r="G22" s="826"/>
      <c r="H22" s="216">
        <f t="shared" si="1"/>
        <v>0</v>
      </c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>
      <c r="A23" s="1096"/>
      <c r="B23" s="778">
        <f t="shared" si="3"/>
        <v>1.1300000000000001</v>
      </c>
      <c r="C23" s="157" t="s">
        <v>653</v>
      </c>
      <c r="D23" s="160">
        <f t="shared" si="2"/>
        <v>13</v>
      </c>
      <c r="E23" s="825"/>
      <c r="F23" s="826"/>
      <c r="G23" s="826"/>
      <c r="H23" s="216">
        <f t="shared" si="1"/>
        <v>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>
      <c r="A24" s="1096"/>
      <c r="B24" s="778">
        <f t="shared" si="3"/>
        <v>1.1400000000000001</v>
      </c>
      <c r="C24" s="157" t="s">
        <v>654</v>
      </c>
      <c r="D24" s="160">
        <f t="shared" si="2"/>
        <v>14</v>
      </c>
      <c r="E24" s="825"/>
      <c r="F24" s="826"/>
      <c r="G24" s="826"/>
      <c r="H24" s="216">
        <f t="shared" si="1"/>
        <v>0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>
      <c r="A25" s="1096"/>
      <c r="B25" s="778">
        <f t="shared" si="3"/>
        <v>1.1500000000000001</v>
      </c>
      <c r="C25" s="157" t="s">
        <v>655</v>
      </c>
      <c r="D25" s="160">
        <f t="shared" si="2"/>
        <v>15</v>
      </c>
      <c r="E25" s="825"/>
      <c r="F25" s="826"/>
      <c r="G25" s="826"/>
      <c r="H25" s="216">
        <f t="shared" si="1"/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ht="21" customHeight="1">
      <c r="A26" s="1096"/>
      <c r="B26" s="778">
        <f t="shared" si="3"/>
        <v>1.1600000000000001</v>
      </c>
      <c r="C26" s="157" t="s">
        <v>656</v>
      </c>
      <c r="D26" s="160">
        <f>+D25+1</f>
        <v>16</v>
      </c>
      <c r="E26" s="825"/>
      <c r="F26" s="826"/>
      <c r="G26" s="826"/>
      <c r="H26" s="216">
        <f t="shared" si="1"/>
        <v>0</v>
      </c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ht="42">
      <c r="A27" s="1096"/>
      <c r="B27" s="778">
        <f t="shared" si="3"/>
        <v>1.1700000000000002</v>
      </c>
      <c r="C27" s="157" t="s">
        <v>657</v>
      </c>
      <c r="D27" s="160">
        <f>+D26+1</f>
        <v>17</v>
      </c>
      <c r="E27" s="825"/>
      <c r="F27" s="826"/>
      <c r="G27" s="826"/>
      <c r="H27" s="216">
        <f t="shared" si="1"/>
        <v>0</v>
      </c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1:25" ht="31.5">
      <c r="A28" s="1096"/>
      <c r="B28" s="778">
        <f t="shared" si="3"/>
        <v>1.1800000000000002</v>
      </c>
      <c r="C28" s="157" t="s">
        <v>658</v>
      </c>
      <c r="D28" s="160">
        <f>+D27+1</f>
        <v>18</v>
      </c>
      <c r="E28" s="825"/>
      <c r="F28" s="826"/>
      <c r="G28" s="826"/>
      <c r="H28" s="216">
        <f t="shared" si="1"/>
        <v>0</v>
      </c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1:25" ht="36.75" customHeight="1">
      <c r="A29" s="151" t="s">
        <v>639</v>
      </c>
      <c r="B29" s="778">
        <f t="shared" si="3"/>
        <v>1.1900000000000002</v>
      </c>
      <c r="C29" s="161" t="s">
        <v>659</v>
      </c>
      <c r="D29" s="160">
        <f>+D28+1</f>
        <v>19</v>
      </c>
      <c r="E29" s="825"/>
      <c r="F29" s="826"/>
      <c r="G29" s="826"/>
      <c r="H29" s="216">
        <f t="shared" si="1"/>
        <v>0</v>
      </c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1:25">
      <c r="A30" s="1094" t="s">
        <v>664</v>
      </c>
      <c r="B30" s="1095"/>
      <c r="C30" s="1106"/>
      <c r="D30" s="162">
        <f>+D29+1</f>
        <v>20</v>
      </c>
      <c r="E30" s="220">
        <f>SUM(E11:E29)-E12-E14</f>
        <v>0</v>
      </c>
      <c r="F30" s="220">
        <f>SUM(F11:F29)-F12-F14</f>
        <v>0</v>
      </c>
      <c r="G30" s="220">
        <f>SUM(G11:G29)-G12-G14</f>
        <v>0</v>
      </c>
      <c r="H30" s="221">
        <f>E30+F30-G30</f>
        <v>0</v>
      </c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</row>
    <row r="31" spans="1:25">
      <c r="A31" s="248"/>
      <c r="B31" s="458"/>
      <c r="C31" s="230"/>
      <c r="D31" s="230"/>
      <c r="E31" s="1013"/>
      <c r="F31" s="1013"/>
      <c r="G31" s="1013"/>
      <c r="H31" s="1013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</row>
    <row r="32" spans="1:25" s="163" customFormat="1" ht="13">
      <c r="A32" s="245"/>
      <c r="B32" s="576"/>
      <c r="C32" s="223" t="s">
        <v>910</v>
      </c>
      <c r="D32" s="225"/>
      <c r="E32" s="225"/>
      <c r="F32" s="225"/>
      <c r="G32" s="225"/>
      <c r="H32" s="225"/>
    </row>
    <row r="33" spans="1:25" ht="13">
      <c r="A33" s="225"/>
      <c r="B33" s="576"/>
      <c r="C33" s="225"/>
      <c r="D33" s="225"/>
      <c r="E33" s="225"/>
      <c r="F33" s="225"/>
      <c r="G33" s="225"/>
      <c r="H33" s="225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</row>
    <row r="34" spans="1:25" ht="13">
      <c r="A34" s="224"/>
      <c r="B34" s="786"/>
      <c r="C34" s="224" t="str">
        <f>+i.04108!C34</f>
        <v xml:space="preserve">ТАЙЛАН ГАРГАСАН:    </v>
      </c>
      <c r="D34" s="224"/>
      <c r="E34" s="224"/>
      <c r="F34" s="224"/>
      <c r="G34" s="246"/>
      <c r="H34" s="230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</row>
    <row r="35" spans="1:25" ht="14.5">
      <c r="A35" s="225"/>
      <c r="B35" s="576"/>
      <c r="C35" s="225"/>
      <c r="D35" s="225"/>
      <c r="E35" s="225"/>
      <c r="F35" s="225"/>
      <c r="G35" s="244"/>
      <c r="H35" s="247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</row>
    <row r="36" spans="1:25" ht="14.5">
      <c r="A36" s="225"/>
      <c r="B36" s="576"/>
      <c r="C36" s="225" t="str">
        <f>+i.04108!C36:F36</f>
        <v xml:space="preserve"> Гүйцэтгэх захирал</v>
      </c>
      <c r="D36" s="1105" t="str">
        <f>+i.04108!D36:G36</f>
        <v xml:space="preserve">/................................../   </v>
      </c>
      <c r="E36" s="1105"/>
      <c r="F36" s="225" t="str">
        <f>+i.04108!F36:I36</f>
        <v>/................................./</v>
      </c>
      <c r="G36" s="244"/>
      <c r="H36" s="247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</row>
    <row r="37" spans="1:25" ht="13">
      <c r="A37" s="225"/>
      <c r="B37" s="576"/>
      <c r="C37" s="225"/>
      <c r="D37" s="1105"/>
      <c r="E37" s="1105"/>
      <c r="F37" s="225"/>
      <c r="G37" s="242"/>
      <c r="H37" s="230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</row>
    <row r="38" spans="1:25" ht="13">
      <c r="A38" s="223"/>
      <c r="B38" s="609"/>
      <c r="C38" s="225" t="str">
        <f>+i.04108!C38:F38</f>
        <v xml:space="preserve"> Ерөнхий нягтлан бодогч  </v>
      </c>
      <c r="D38" s="1105" t="str">
        <f>+i.04108!D38:G38</f>
        <v xml:space="preserve">/.................................../   </v>
      </c>
      <c r="E38" s="1105"/>
      <c r="F38" s="225" t="str">
        <f>+i.04108!F38:I38</f>
        <v>/................................/</v>
      </c>
      <c r="G38" s="242"/>
      <c r="H38" s="230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</row>
    <row r="39" spans="1:25" ht="13">
      <c r="A39" s="248"/>
      <c r="B39" s="458"/>
      <c r="C39" s="225"/>
      <c r="D39" s="1105"/>
      <c r="E39" s="1105"/>
      <c r="F39" s="225"/>
      <c r="G39" s="230"/>
      <c r="H39" s="230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</row>
    <row r="40" spans="1:25" ht="30" customHeight="1">
      <c r="A40" s="249"/>
      <c r="B40" s="458"/>
      <c r="C40" s="227" t="str">
        <f>+i.04108!C40:F40</f>
        <v>...................................................</v>
      </c>
      <c r="D40" s="1105" t="str">
        <f>+i.04108!D40:G40</f>
        <v xml:space="preserve">/................................../   </v>
      </c>
      <c r="E40" s="1105"/>
      <c r="F40" s="225" t="str">
        <f>+i.04108!F40:I40</f>
        <v>/................................/</v>
      </c>
      <c r="G40" s="230"/>
      <c r="H40" s="230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</row>
    <row r="41" spans="1:25" ht="13">
      <c r="A41" s="248"/>
      <c r="B41" s="458"/>
      <c r="C41" s="225"/>
      <c r="D41" s="230"/>
      <c r="E41" s="230"/>
      <c r="F41" s="230"/>
      <c r="G41" s="230"/>
      <c r="H41" s="230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</row>
    <row r="42" spans="1:25">
      <c r="A42" s="248"/>
      <c r="B42" s="458"/>
      <c r="C42" s="230"/>
      <c r="D42" s="230"/>
      <c r="E42" s="230"/>
      <c r="F42" s="230"/>
      <c r="G42" s="230"/>
      <c r="H42" s="230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</row>
    <row r="43" spans="1:25">
      <c r="A43" s="248"/>
      <c r="B43" s="458"/>
      <c r="C43" s="230"/>
      <c r="D43" s="230"/>
      <c r="E43" s="230"/>
      <c r="F43" s="230"/>
      <c r="G43" s="230"/>
      <c r="H43" s="230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</row>
    <row r="44" spans="1:25">
      <c r="A44" s="248"/>
      <c r="B44" s="458"/>
      <c r="C44" s="230"/>
      <c r="D44" s="230"/>
      <c r="E44" s="230"/>
      <c r="F44" s="230"/>
      <c r="G44" s="230"/>
      <c r="H44" s="230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</row>
    <row r="45" spans="1:25">
      <c r="A45" s="248"/>
      <c r="B45" s="458"/>
      <c r="C45" s="230"/>
      <c r="D45" s="230"/>
      <c r="E45" s="230"/>
      <c r="F45" s="230"/>
      <c r="G45" s="230"/>
      <c r="H45" s="230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</row>
    <row r="46" spans="1:25">
      <c r="A46" s="248"/>
      <c r="B46" s="458"/>
      <c r="C46" s="230"/>
      <c r="D46" s="230"/>
      <c r="E46" s="230"/>
      <c r="F46" s="230"/>
      <c r="G46" s="230"/>
      <c r="H46" s="230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</row>
    <row r="47" spans="1:25">
      <c r="A47" s="248"/>
      <c r="B47" s="458"/>
      <c r="C47" s="230"/>
      <c r="D47" s="230"/>
      <c r="E47" s="230"/>
      <c r="F47" s="230"/>
      <c r="G47" s="230"/>
      <c r="H47" s="230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</row>
    <row r="48" spans="1:25">
      <c r="A48" s="248"/>
      <c r="B48" s="458"/>
      <c r="C48" s="230"/>
      <c r="D48" s="230"/>
      <c r="E48" s="230"/>
      <c r="F48" s="230"/>
      <c r="G48" s="230"/>
      <c r="H48" s="230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</row>
    <row r="49" spans="1:25">
      <c r="A49" s="248"/>
      <c r="B49" s="458"/>
      <c r="C49" s="230"/>
      <c r="D49" s="230"/>
      <c r="E49" s="230"/>
      <c r="F49" s="230"/>
      <c r="G49" s="230"/>
      <c r="H49" s="230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</row>
    <row r="50" spans="1:25">
      <c r="A50" s="248"/>
      <c r="B50" s="458"/>
      <c r="C50" s="230"/>
      <c r="D50" s="230"/>
      <c r="E50" s="230"/>
      <c r="F50" s="230"/>
      <c r="G50" s="230"/>
      <c r="H50" s="230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</row>
    <row r="51" spans="1:25">
      <c r="A51" s="248"/>
      <c r="B51" s="458"/>
      <c r="C51" s="230"/>
      <c r="D51" s="230"/>
      <c r="E51" s="230"/>
      <c r="F51" s="230"/>
      <c r="G51" s="230"/>
      <c r="H51" s="230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</row>
    <row r="52" spans="1:25">
      <c r="A52" s="248"/>
      <c r="B52" s="458"/>
      <c r="C52" s="230"/>
      <c r="D52" s="230"/>
      <c r="E52" s="230"/>
      <c r="F52" s="230"/>
      <c r="G52" s="230"/>
      <c r="H52" s="230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</row>
    <row r="53" spans="1:25">
      <c r="A53" s="248"/>
      <c r="B53" s="458"/>
      <c r="C53" s="230"/>
      <c r="D53" s="230"/>
      <c r="E53" s="230"/>
      <c r="F53" s="230"/>
      <c r="G53" s="230"/>
      <c r="H53" s="230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</row>
    <row r="54" spans="1:25">
      <c r="A54" s="142"/>
      <c r="B54" s="78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</row>
    <row r="55" spans="1:25">
      <c r="A55" s="142"/>
      <c r="B55" s="78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</row>
    <row r="56" spans="1:25">
      <c r="A56" s="142"/>
      <c r="B56" s="78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</row>
    <row r="57" spans="1:25">
      <c r="A57" s="142"/>
      <c r="B57" s="78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</row>
    <row r="58" spans="1:25">
      <c r="A58" s="142"/>
      <c r="B58" s="78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</row>
    <row r="59" spans="1:25">
      <c r="A59" s="142"/>
      <c r="B59" s="78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</row>
    <row r="60" spans="1:25">
      <c r="A60" s="142"/>
      <c r="B60" s="78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</row>
    <row r="61" spans="1:25">
      <c r="A61" s="142"/>
      <c r="B61" s="78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</row>
    <row r="62" spans="1:25">
      <c r="A62" s="142"/>
      <c r="B62" s="78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</row>
    <row r="63" spans="1:25">
      <c r="A63" s="142"/>
      <c r="B63" s="78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</row>
    <row r="64" spans="1:25">
      <c r="A64" s="142"/>
      <c r="B64" s="78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</row>
    <row r="65" spans="1:25">
      <c r="A65" s="142"/>
      <c r="B65" s="78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</row>
    <row r="66" spans="1:25">
      <c r="A66" s="142"/>
      <c r="B66" s="78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</row>
    <row r="67" spans="1:25">
      <c r="A67" s="142"/>
      <c r="B67" s="78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</row>
    <row r="68" spans="1:25">
      <c r="A68" s="142"/>
      <c r="B68" s="78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</row>
    <row r="69" spans="1:25">
      <c r="A69" s="142"/>
      <c r="B69" s="78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</row>
    <row r="70" spans="1:25">
      <c r="A70" s="142"/>
      <c r="B70" s="78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</row>
    <row r="71" spans="1:25">
      <c r="A71" s="142"/>
      <c r="B71" s="78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</row>
    <row r="72" spans="1:25">
      <c r="A72" s="142"/>
      <c r="B72" s="78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</row>
    <row r="73" spans="1:25">
      <c r="A73" s="142"/>
      <c r="B73" s="78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</row>
    <row r="74" spans="1:25">
      <c r="A74" s="142"/>
      <c r="B74" s="78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</row>
    <row r="75" spans="1:25">
      <c r="A75" s="142"/>
      <c r="B75" s="78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</row>
    <row r="76" spans="1:25">
      <c r="A76" s="142"/>
      <c r="B76" s="78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</row>
    <row r="77" spans="1:25">
      <c r="A77" s="142"/>
      <c r="B77" s="78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  <row r="78" spans="1:25">
      <c r="A78" s="142"/>
      <c r="B78" s="78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</row>
    <row r="79" spans="1:25">
      <c r="A79" s="142"/>
      <c r="B79" s="78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</row>
    <row r="80" spans="1:25">
      <c r="A80" s="142"/>
      <c r="B80" s="78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</row>
    <row r="81" spans="1:25">
      <c r="A81" s="142"/>
      <c r="B81" s="78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</row>
    <row r="82" spans="1:25">
      <c r="A82" s="142"/>
      <c r="B82" s="78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</row>
    <row r="83" spans="1:25">
      <c r="A83" s="142"/>
      <c r="B83" s="78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</row>
    <row r="84" spans="1:25">
      <c r="A84" s="142"/>
      <c r="B84" s="78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</row>
    <row r="85" spans="1:25">
      <c r="A85" s="142"/>
      <c r="B85" s="78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</row>
    <row r="86" spans="1:25">
      <c r="A86" s="142"/>
      <c r="B86" s="78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</row>
    <row r="87" spans="1:25">
      <c r="A87" s="142"/>
      <c r="B87" s="78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</row>
    <row r="88" spans="1:25">
      <c r="A88" s="142"/>
      <c r="B88" s="78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</row>
    <row r="89" spans="1:25">
      <c r="A89" s="142"/>
      <c r="B89" s="78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</row>
    <row r="90" spans="1:25">
      <c r="A90" s="142"/>
      <c r="B90" s="78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</row>
    <row r="91" spans="1:25">
      <c r="A91" s="142"/>
      <c r="B91" s="78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</row>
    <row r="92" spans="1:25">
      <c r="A92" s="142"/>
      <c r="B92" s="78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</row>
    <row r="93" spans="1:25">
      <c r="A93" s="142"/>
      <c r="B93" s="78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</row>
    <row r="94" spans="1:25">
      <c r="A94" s="142"/>
      <c r="B94" s="78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</row>
    <row r="95" spans="1:25">
      <c r="A95" s="142"/>
      <c r="B95" s="78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</row>
    <row r="96" spans="1:25">
      <c r="A96" s="142"/>
      <c r="B96" s="78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</row>
    <row r="97" spans="1:25">
      <c r="A97" s="142"/>
      <c r="B97" s="78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</row>
    <row r="98" spans="1:25">
      <c r="A98" s="142"/>
      <c r="B98" s="78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</row>
    <row r="99" spans="1:25">
      <c r="A99" s="142"/>
      <c r="B99" s="78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</row>
    <row r="100" spans="1:25">
      <c r="A100" s="142"/>
      <c r="B100" s="78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>
      <c r="A101" s="142"/>
      <c r="B101" s="78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>
      <c r="A102" s="142"/>
      <c r="B102" s="78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>
      <c r="A103" s="142"/>
      <c r="B103" s="78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</row>
    <row r="104" spans="1:25">
      <c r="A104" s="142"/>
      <c r="B104" s="78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</row>
    <row r="105" spans="1:25">
      <c r="A105" s="142"/>
      <c r="B105" s="78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</row>
    <row r="106" spans="1:25">
      <c r="A106" s="142"/>
      <c r="B106" s="78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>
      <c r="A107" s="142"/>
      <c r="B107" s="78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>
      <c r="A108" s="142"/>
      <c r="B108" s="78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</row>
    <row r="109" spans="1:25">
      <c r="A109" s="142"/>
      <c r="B109" s="78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</row>
    <row r="110" spans="1:25">
      <c r="A110" s="142"/>
      <c r="B110" s="78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</row>
    <row r="111" spans="1:25">
      <c r="A111" s="142"/>
      <c r="B111" s="78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</row>
    <row r="112" spans="1:25">
      <c r="A112" s="142"/>
      <c r="B112" s="78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</row>
    <row r="113" spans="1:25">
      <c r="A113" s="142"/>
      <c r="B113" s="78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</row>
    <row r="114" spans="1:25">
      <c r="A114" s="142"/>
      <c r="B114" s="78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</row>
    <row r="115" spans="1:25">
      <c r="A115" s="142"/>
      <c r="B115" s="78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5">
      <c r="A116" s="142"/>
      <c r="B116" s="78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</row>
    <row r="117" spans="1:25">
      <c r="A117" s="142"/>
      <c r="B117" s="78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</row>
    <row r="118" spans="1:25">
      <c r="A118" s="142"/>
      <c r="B118" s="78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</row>
    <row r="119" spans="1:25">
      <c r="A119" s="142"/>
      <c r="B119" s="78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</row>
    <row r="120" spans="1:25">
      <c r="A120" s="142"/>
      <c r="B120" s="78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</row>
    <row r="121" spans="1:25">
      <c r="A121" s="142"/>
      <c r="B121" s="78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</row>
    <row r="122" spans="1:25">
      <c r="A122" s="142"/>
      <c r="B122" s="78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</row>
    <row r="123" spans="1:25">
      <c r="A123" s="142"/>
      <c r="B123" s="78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</row>
    <row r="124" spans="1:25">
      <c r="A124" s="142"/>
      <c r="B124" s="78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</row>
    <row r="125" spans="1:25">
      <c r="A125" s="142"/>
      <c r="B125" s="78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</row>
    <row r="126" spans="1:25">
      <c r="A126" s="142"/>
      <c r="B126" s="78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</row>
    <row r="127" spans="1:25">
      <c r="A127" s="142"/>
      <c r="B127" s="78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</row>
    <row r="128" spans="1:25">
      <c r="A128" s="142"/>
      <c r="B128" s="78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</row>
    <row r="129" spans="1:25">
      <c r="A129" s="142"/>
      <c r="B129" s="78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</row>
    <row r="130" spans="1:25">
      <c r="A130" s="142"/>
      <c r="B130" s="78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</row>
    <row r="131" spans="1:25">
      <c r="A131" s="142"/>
      <c r="B131" s="78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</row>
    <row r="132" spans="1:25">
      <c r="A132" s="142"/>
      <c r="B132" s="78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</row>
    <row r="133" spans="1:25">
      <c r="A133" s="142"/>
      <c r="B133" s="78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</row>
    <row r="134" spans="1:25">
      <c r="A134" s="142"/>
      <c r="B134" s="78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</row>
    <row r="135" spans="1:25">
      <c r="A135" s="142"/>
      <c r="B135" s="78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</row>
    <row r="136" spans="1:25">
      <c r="A136" s="142"/>
      <c r="B136" s="78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</row>
    <row r="137" spans="1:25">
      <c r="A137" s="142"/>
      <c r="B137" s="78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</row>
    <row r="138" spans="1:25">
      <c r="A138" s="142"/>
      <c r="B138" s="78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</row>
    <row r="139" spans="1:25">
      <c r="A139" s="142"/>
      <c r="B139" s="78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</row>
    <row r="140" spans="1:25">
      <c r="A140" s="142"/>
      <c r="B140" s="78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</row>
    <row r="141" spans="1:25">
      <c r="A141" s="142"/>
      <c r="B141" s="78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</row>
    <row r="142" spans="1:25">
      <c r="A142" s="142"/>
      <c r="B142" s="78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</row>
    <row r="143" spans="1:25">
      <c r="A143" s="142"/>
      <c r="B143" s="78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</row>
    <row r="144" spans="1:25">
      <c r="A144" s="142"/>
      <c r="B144" s="78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</row>
    <row r="145" spans="1:25">
      <c r="A145" s="142"/>
      <c r="B145" s="78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</row>
    <row r="146" spans="1:25">
      <c r="A146" s="142"/>
      <c r="B146" s="78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</row>
    <row r="147" spans="1:25">
      <c r="A147" s="142"/>
      <c r="B147" s="78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</row>
    <row r="148" spans="1:25">
      <c r="A148" s="142"/>
      <c r="B148" s="78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</row>
    <row r="149" spans="1:25">
      <c r="A149" s="142"/>
      <c r="B149" s="78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</row>
    <row r="150" spans="1:25">
      <c r="A150" s="142"/>
      <c r="B150" s="78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</row>
    <row r="151" spans="1:25">
      <c r="A151" s="142"/>
      <c r="B151" s="78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</row>
    <row r="152" spans="1:25">
      <c r="A152" s="142"/>
      <c r="B152" s="78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</row>
    <row r="153" spans="1:25">
      <c r="A153" s="142"/>
      <c r="B153" s="78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</row>
    <row r="154" spans="1:25">
      <c r="A154" s="142"/>
      <c r="B154" s="78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5">
      <c r="A155" s="142"/>
      <c r="B155" s="78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5">
      <c r="A156" s="142"/>
      <c r="B156" s="78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5">
      <c r="A157" s="142"/>
      <c r="B157" s="78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</row>
    <row r="158" spans="1:25">
      <c r="A158" s="142"/>
      <c r="B158" s="78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</row>
    <row r="159" spans="1:25">
      <c r="A159" s="142"/>
      <c r="B159" s="78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</row>
    <row r="160" spans="1:25">
      <c r="A160" s="142"/>
      <c r="B160" s="78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>
      <c r="A161" s="142"/>
      <c r="B161" s="78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>
      <c r="A162" s="142"/>
      <c r="B162" s="78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>
      <c r="A163" s="142"/>
      <c r="B163" s="78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>
      <c r="A164" s="142"/>
      <c r="B164" s="78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>
      <c r="A165" s="142"/>
      <c r="B165" s="78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>
      <c r="A166" s="142"/>
      <c r="B166" s="78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>
      <c r="A167" s="142"/>
      <c r="B167" s="78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>
      <c r="A168" s="142"/>
      <c r="B168" s="78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>
      <c r="A169" s="142"/>
      <c r="B169" s="78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>
      <c r="A170" s="142"/>
      <c r="B170" s="78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>
      <c r="A171" s="142"/>
      <c r="B171" s="78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>
      <c r="A172" s="142"/>
      <c r="B172" s="78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>
      <c r="A173" s="142"/>
      <c r="B173" s="78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>
      <c r="A174" s="142"/>
      <c r="B174" s="78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>
      <c r="A175" s="142"/>
      <c r="B175" s="78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>
      <c r="A176" s="142"/>
      <c r="B176" s="78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>
      <c r="A177" s="142"/>
      <c r="B177" s="78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>
      <c r="A178" s="142"/>
      <c r="B178" s="78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>
      <c r="A179" s="142"/>
      <c r="B179" s="78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>
      <c r="A180" s="142"/>
      <c r="B180" s="78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>
      <c r="A181" s="142"/>
      <c r="B181" s="78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>
      <c r="A182" s="142"/>
      <c r="B182" s="78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>
      <c r="A183" s="142"/>
      <c r="B183" s="78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>
      <c r="A184" s="142"/>
      <c r="B184" s="78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>
      <c r="A185" s="142"/>
      <c r="B185" s="78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>
      <c r="A186" s="142"/>
      <c r="B186" s="78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>
      <c r="A187" s="142"/>
      <c r="B187" s="78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>
      <c r="A188" s="142"/>
      <c r="B188" s="78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>
      <c r="A189" s="142"/>
      <c r="B189" s="78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>
      <c r="A190" s="142"/>
      <c r="B190" s="78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>
      <c r="A191" s="142"/>
      <c r="B191" s="78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>
      <c r="A192" s="142"/>
      <c r="B192" s="78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>
      <c r="A193" s="142"/>
      <c r="B193" s="78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>
      <c r="A194" s="142"/>
      <c r="B194" s="78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>
      <c r="A195" s="142"/>
      <c r="B195" s="78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>
      <c r="A196" s="142"/>
      <c r="B196" s="78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>
      <c r="A197" s="142"/>
      <c r="B197" s="78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>
      <c r="A198" s="142"/>
      <c r="B198" s="78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>
      <c r="A199" s="142"/>
      <c r="B199" s="78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>
      <c r="A200" s="142"/>
      <c r="B200" s="78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>
      <c r="A201" s="142"/>
      <c r="B201" s="78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>
      <c r="A202" s="142"/>
      <c r="B202" s="78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>
      <c r="A203" s="142"/>
      <c r="B203" s="78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>
      <c r="A204" s="142"/>
      <c r="B204" s="78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>
      <c r="A205" s="142"/>
      <c r="B205" s="78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>
      <c r="A206" s="142"/>
      <c r="B206" s="78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>
      <c r="A207" s="142"/>
      <c r="B207" s="78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>
      <c r="A208" s="142"/>
      <c r="B208" s="78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>
      <c r="A209" s="142"/>
      <c r="B209" s="78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>
      <c r="A210" s="142"/>
      <c r="B210" s="78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>
      <c r="A211" s="142"/>
      <c r="B211" s="78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>
      <c r="A212" s="142"/>
      <c r="B212" s="78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>
      <c r="A213" s="142"/>
      <c r="B213" s="78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</row>
    <row r="214" spans="1:25">
      <c r="A214" s="142"/>
      <c r="B214" s="78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</row>
    <row r="215" spans="1:25">
      <c r="A215" s="142"/>
      <c r="B215" s="78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</row>
    <row r="216" spans="1:25">
      <c r="A216" s="142"/>
      <c r="B216" s="78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</row>
    <row r="217" spans="1:25">
      <c r="A217" s="142"/>
      <c r="B217" s="78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</row>
    <row r="218" spans="1:25">
      <c r="A218" s="142"/>
      <c r="B218" s="78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</row>
    <row r="219" spans="1:25">
      <c r="A219" s="142"/>
      <c r="B219" s="78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</row>
    <row r="220" spans="1:25">
      <c r="A220" s="142"/>
      <c r="B220" s="78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</row>
    <row r="221" spans="1:25">
      <c r="A221" s="142"/>
      <c r="B221" s="78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</row>
    <row r="222" spans="1:25">
      <c r="A222" s="142"/>
      <c r="B222" s="78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</row>
    <row r="223" spans="1:25">
      <c r="A223" s="142"/>
      <c r="B223" s="78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</row>
    <row r="224" spans="1:25">
      <c r="A224" s="142"/>
      <c r="B224" s="78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</row>
    <row r="225" spans="1:25">
      <c r="A225" s="142"/>
      <c r="B225" s="78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</row>
    <row r="226" spans="1:25">
      <c r="A226" s="142"/>
      <c r="B226" s="78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</row>
    <row r="227" spans="1:25">
      <c r="A227" s="142"/>
      <c r="B227" s="78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</row>
    <row r="228" spans="1:25">
      <c r="A228" s="142"/>
      <c r="B228" s="78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</row>
    <row r="229" spans="1:25">
      <c r="A229" s="142"/>
      <c r="B229" s="78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</row>
    <row r="230" spans="1:25">
      <c r="A230" s="142"/>
      <c r="B230" s="78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</row>
    <row r="231" spans="1:25">
      <c r="A231" s="142"/>
      <c r="B231" s="78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</row>
    <row r="232" spans="1:25">
      <c r="A232" s="142"/>
      <c r="B232" s="78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</row>
    <row r="233" spans="1:25">
      <c r="A233" s="142"/>
      <c r="B233" s="78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</row>
    <row r="234" spans="1:25">
      <c r="A234" s="142"/>
      <c r="B234" s="78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</row>
    <row r="235" spans="1:25">
      <c r="A235" s="142"/>
      <c r="B235" s="78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</row>
    <row r="236" spans="1:25">
      <c r="A236" s="142"/>
      <c r="B236" s="78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</row>
    <row r="237" spans="1:25">
      <c r="A237" s="142"/>
      <c r="B237" s="78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</row>
    <row r="238" spans="1:25">
      <c r="A238" s="142"/>
      <c r="B238" s="78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</row>
    <row r="239" spans="1:25">
      <c r="A239" s="142"/>
      <c r="B239" s="78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</row>
    <row r="240" spans="1:25">
      <c r="A240" s="142"/>
      <c r="B240" s="78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</row>
    <row r="241" spans="1:25">
      <c r="A241" s="142"/>
      <c r="B241" s="78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</row>
    <row r="242" spans="1:25">
      <c r="A242" s="142"/>
      <c r="B242" s="78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</row>
    <row r="243" spans="1:25">
      <c r="A243" s="142"/>
      <c r="B243" s="78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</row>
    <row r="244" spans="1:25">
      <c r="A244" s="142"/>
      <c r="B244" s="78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</row>
    <row r="245" spans="1:25">
      <c r="A245" s="142"/>
      <c r="B245" s="78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</row>
    <row r="246" spans="1:25">
      <c r="A246" s="142"/>
      <c r="B246" s="78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</row>
    <row r="247" spans="1:25">
      <c r="A247" s="142"/>
      <c r="B247" s="78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</row>
    <row r="248" spans="1:25">
      <c r="A248" s="142"/>
      <c r="B248" s="78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</row>
    <row r="249" spans="1:25">
      <c r="A249" s="142"/>
      <c r="B249" s="78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</row>
    <row r="250" spans="1:25">
      <c r="A250" s="142"/>
      <c r="B250" s="78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</row>
    <row r="251" spans="1:25">
      <c r="A251" s="142"/>
      <c r="B251" s="78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</row>
    <row r="252" spans="1:25">
      <c r="A252" s="142"/>
      <c r="B252" s="78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</row>
    <row r="253" spans="1:25">
      <c r="A253" s="142"/>
      <c r="B253" s="78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</row>
    <row r="254" spans="1:25">
      <c r="A254" s="142"/>
      <c r="B254" s="78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</row>
    <row r="255" spans="1:25">
      <c r="A255" s="142"/>
      <c r="B255" s="78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</row>
    <row r="256" spans="1:25">
      <c r="A256" s="142"/>
      <c r="B256" s="78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</row>
    <row r="257" spans="1:25">
      <c r="A257" s="142"/>
      <c r="B257" s="78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</row>
    <row r="258" spans="1:25">
      <c r="A258" s="142"/>
      <c r="B258" s="78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</row>
    <row r="259" spans="1:25">
      <c r="A259" s="142"/>
      <c r="B259" s="78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</row>
    <row r="260" spans="1:25">
      <c r="A260" s="142"/>
      <c r="B260" s="78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</row>
    <row r="261" spans="1:25">
      <c r="A261" s="142"/>
      <c r="B261" s="78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</row>
    <row r="262" spans="1:25">
      <c r="A262" s="142"/>
      <c r="B262" s="78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</row>
    <row r="263" spans="1:25">
      <c r="A263" s="142"/>
      <c r="B263" s="78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</row>
    <row r="264" spans="1:25">
      <c r="A264" s="142"/>
      <c r="B264" s="78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</row>
    <row r="265" spans="1:25">
      <c r="A265" s="142"/>
      <c r="B265" s="78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</row>
    <row r="266" spans="1:25">
      <c r="A266" s="142"/>
      <c r="B266" s="78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</row>
    <row r="267" spans="1:25">
      <c r="A267" s="142"/>
      <c r="B267" s="78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</row>
    <row r="268" spans="1:25">
      <c r="A268" s="142"/>
      <c r="B268" s="78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1:25">
      <c r="A269" s="142"/>
      <c r="B269" s="78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</row>
    <row r="270" spans="1:25">
      <c r="A270" s="142"/>
      <c r="B270" s="78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</row>
    <row r="271" spans="1:25">
      <c r="A271" s="142"/>
      <c r="B271" s="78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</row>
    <row r="272" spans="1:25">
      <c r="A272" s="142"/>
      <c r="B272" s="78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</row>
    <row r="273" spans="1:25">
      <c r="A273" s="142"/>
      <c r="B273" s="78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</row>
    <row r="274" spans="1:25">
      <c r="A274" s="142"/>
      <c r="B274" s="78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</row>
    <row r="275" spans="1:25">
      <c r="A275" s="142"/>
      <c r="B275" s="78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</row>
    <row r="276" spans="1:25">
      <c r="A276" s="142"/>
      <c r="B276" s="78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</row>
    <row r="277" spans="1:25">
      <c r="A277" s="142"/>
      <c r="B277" s="78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</row>
    <row r="278" spans="1:25">
      <c r="A278" s="142"/>
      <c r="B278" s="78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</row>
    <row r="279" spans="1:25">
      <c r="A279" s="142"/>
      <c r="B279" s="78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</row>
    <row r="280" spans="1:25">
      <c r="A280" s="142"/>
      <c r="B280" s="78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</row>
    <row r="281" spans="1:25">
      <c r="A281" s="142"/>
      <c r="B281" s="78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</row>
    <row r="282" spans="1:25">
      <c r="A282" s="142"/>
      <c r="B282" s="78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</row>
    <row r="283" spans="1:25">
      <c r="A283" s="142"/>
      <c r="B283" s="78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</row>
    <row r="284" spans="1:25">
      <c r="A284" s="142"/>
      <c r="B284" s="78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</row>
    <row r="285" spans="1:25">
      <c r="A285" s="142"/>
      <c r="B285" s="78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</row>
    <row r="286" spans="1:25">
      <c r="A286" s="142"/>
      <c r="B286" s="78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</row>
    <row r="287" spans="1:25">
      <c r="A287" s="142"/>
      <c r="B287" s="78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</row>
    <row r="288" spans="1:25">
      <c r="A288" s="142"/>
      <c r="B288" s="78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</row>
    <row r="289" spans="1:25">
      <c r="A289" s="142"/>
      <c r="B289" s="78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</row>
    <row r="290" spans="1:25">
      <c r="A290" s="142"/>
      <c r="B290" s="78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</row>
    <row r="291" spans="1:25">
      <c r="A291" s="142"/>
      <c r="B291" s="78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</row>
    <row r="292" spans="1:25">
      <c r="A292" s="142"/>
      <c r="B292" s="78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</row>
    <row r="293" spans="1:25">
      <c r="A293" s="142"/>
      <c r="B293" s="78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</row>
    <row r="294" spans="1:25">
      <c r="A294" s="142"/>
      <c r="B294" s="78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</row>
    <row r="295" spans="1:25">
      <c r="A295" s="142"/>
      <c r="B295" s="78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</row>
    <row r="296" spans="1:25">
      <c r="A296" s="142"/>
      <c r="B296" s="78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</row>
    <row r="297" spans="1:25">
      <c r="A297" s="142"/>
      <c r="B297" s="78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</row>
    <row r="298" spans="1:25">
      <c r="A298" s="142"/>
      <c r="B298" s="78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</row>
    <row r="299" spans="1:25">
      <c r="A299" s="142"/>
      <c r="B299" s="78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</row>
    <row r="300" spans="1:25">
      <c r="A300" s="142"/>
      <c r="B300" s="78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</row>
    <row r="301" spans="1:25">
      <c r="A301" s="142"/>
      <c r="B301" s="78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</row>
    <row r="302" spans="1:25">
      <c r="A302" s="142"/>
      <c r="B302" s="78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</row>
    <row r="303" spans="1:25">
      <c r="A303" s="142"/>
      <c r="B303" s="78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</row>
    <row r="304" spans="1:25">
      <c r="A304" s="142"/>
      <c r="B304" s="78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</row>
    <row r="305" spans="1:25">
      <c r="A305" s="142"/>
      <c r="B305" s="78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</row>
    <row r="306" spans="1:25">
      <c r="A306" s="142"/>
      <c r="B306" s="78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</row>
    <row r="307" spans="1:25">
      <c r="A307" s="142"/>
      <c r="B307" s="78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</row>
    <row r="308" spans="1:25">
      <c r="A308" s="142"/>
      <c r="B308" s="78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</row>
    <row r="309" spans="1:25">
      <c r="A309" s="142"/>
      <c r="B309" s="78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</row>
    <row r="310" spans="1:25">
      <c r="A310" s="142"/>
      <c r="B310" s="78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</row>
    <row r="311" spans="1:25">
      <c r="A311" s="142"/>
      <c r="B311" s="78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</row>
    <row r="312" spans="1:25">
      <c r="A312" s="142"/>
      <c r="B312" s="78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</row>
    <row r="313" spans="1:25">
      <c r="A313" s="142"/>
      <c r="B313" s="78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</row>
    <row r="314" spans="1:25">
      <c r="A314" s="142"/>
      <c r="B314" s="78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</row>
    <row r="315" spans="1:25">
      <c r="A315" s="142"/>
      <c r="B315" s="78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</row>
    <row r="316" spans="1:25">
      <c r="A316" s="142"/>
      <c r="B316" s="78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</row>
    <row r="317" spans="1:25">
      <c r="A317" s="142"/>
      <c r="B317" s="78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</row>
    <row r="318" spans="1:25">
      <c r="A318" s="142"/>
      <c r="B318" s="78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</row>
    <row r="319" spans="1:25">
      <c r="A319" s="142"/>
      <c r="B319" s="78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</row>
    <row r="320" spans="1:25">
      <c r="A320" s="142"/>
      <c r="B320" s="78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</row>
    <row r="321" spans="1:25">
      <c r="A321" s="142"/>
      <c r="B321" s="78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</row>
    <row r="322" spans="1:25">
      <c r="A322" s="142"/>
      <c r="B322" s="78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</row>
    <row r="323" spans="1:25">
      <c r="A323" s="142"/>
      <c r="B323" s="78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</row>
    <row r="324" spans="1:25">
      <c r="A324" s="142"/>
      <c r="B324" s="78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</row>
    <row r="325" spans="1:25">
      <c r="A325" s="142"/>
      <c r="B325" s="78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</row>
    <row r="326" spans="1:25">
      <c r="A326" s="142"/>
      <c r="B326" s="78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</row>
    <row r="327" spans="1:25">
      <c r="A327" s="142"/>
      <c r="B327" s="78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</row>
    <row r="328" spans="1:25">
      <c r="A328" s="142"/>
      <c r="B328" s="78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</row>
    <row r="329" spans="1:25">
      <c r="A329" s="142"/>
      <c r="B329" s="78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</row>
    <row r="330" spans="1:25">
      <c r="A330" s="142"/>
      <c r="B330" s="78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</row>
    <row r="331" spans="1:25">
      <c r="A331" s="142"/>
      <c r="B331" s="78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</row>
    <row r="332" spans="1:25">
      <c r="A332" s="142"/>
      <c r="B332" s="78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</row>
    <row r="333" spans="1:25">
      <c r="A333" s="142"/>
      <c r="B333" s="78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</row>
    <row r="334" spans="1:25">
      <c r="A334" s="142"/>
      <c r="B334" s="78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</row>
    <row r="335" spans="1:25">
      <c r="A335" s="142"/>
      <c r="B335" s="78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</row>
    <row r="336" spans="1:25">
      <c r="A336" s="142"/>
      <c r="B336" s="78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</row>
    <row r="337" spans="1:25">
      <c r="A337" s="142"/>
      <c r="B337" s="78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</row>
    <row r="338" spans="1:25">
      <c r="A338" s="142"/>
      <c r="B338" s="78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</row>
    <row r="339" spans="1:25">
      <c r="A339" s="142"/>
      <c r="B339" s="78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</row>
    <row r="340" spans="1:25">
      <c r="A340" s="142"/>
      <c r="B340" s="78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</row>
    <row r="341" spans="1:25">
      <c r="A341" s="142"/>
      <c r="B341" s="78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</row>
    <row r="342" spans="1:25">
      <c r="A342" s="142"/>
      <c r="B342" s="78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</row>
    <row r="343" spans="1:25">
      <c r="A343" s="142"/>
      <c r="B343" s="78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</row>
    <row r="344" spans="1:25">
      <c r="A344" s="142"/>
      <c r="B344" s="78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</row>
    <row r="345" spans="1:25">
      <c r="A345" s="142"/>
      <c r="B345" s="78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</row>
    <row r="346" spans="1:25">
      <c r="A346" s="142"/>
      <c r="B346" s="78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</row>
    <row r="347" spans="1:25">
      <c r="A347" s="142"/>
      <c r="B347" s="78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</row>
    <row r="348" spans="1:25">
      <c r="A348" s="142"/>
      <c r="B348" s="78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</row>
    <row r="349" spans="1:25">
      <c r="A349" s="142"/>
      <c r="B349" s="78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</row>
    <row r="350" spans="1:25">
      <c r="A350" s="142"/>
      <c r="B350" s="78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</row>
    <row r="351" spans="1:25">
      <c r="A351" s="142"/>
      <c r="B351" s="78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</row>
    <row r="352" spans="1:25">
      <c r="A352" s="142"/>
      <c r="B352" s="78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</row>
    <row r="353" spans="1:25">
      <c r="A353" s="142"/>
      <c r="B353" s="78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</row>
    <row r="354" spans="1:25">
      <c r="A354" s="142"/>
      <c r="B354" s="78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</row>
    <row r="355" spans="1:25">
      <c r="A355" s="142"/>
      <c r="B355" s="78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</row>
    <row r="356" spans="1:25">
      <c r="A356" s="142"/>
      <c r="B356" s="78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</row>
    <row r="357" spans="1:25">
      <c r="A357" s="142"/>
      <c r="B357" s="78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</row>
    <row r="358" spans="1:25">
      <c r="A358" s="142"/>
      <c r="B358" s="78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</row>
    <row r="359" spans="1:25">
      <c r="A359" s="142"/>
      <c r="B359" s="78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</row>
    <row r="360" spans="1:25">
      <c r="A360" s="142"/>
      <c r="B360" s="78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</row>
    <row r="361" spans="1:25">
      <c r="A361" s="142"/>
      <c r="B361" s="78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</row>
    <row r="362" spans="1:25">
      <c r="A362" s="142"/>
      <c r="B362" s="78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</row>
    <row r="363" spans="1:25">
      <c r="A363" s="142"/>
      <c r="B363" s="78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</row>
    <row r="364" spans="1:25">
      <c r="A364" s="142"/>
      <c r="B364" s="78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</row>
    <row r="365" spans="1:25">
      <c r="A365" s="142"/>
      <c r="B365" s="78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</row>
    <row r="366" spans="1:25">
      <c r="A366" s="142"/>
      <c r="B366" s="78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</row>
    <row r="367" spans="1:25">
      <c r="A367" s="142"/>
      <c r="B367" s="78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</row>
    <row r="368" spans="1:25">
      <c r="A368" s="142"/>
      <c r="B368" s="78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</row>
    <row r="369" spans="1:25">
      <c r="A369" s="142"/>
      <c r="B369" s="78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</row>
    <row r="370" spans="1:25">
      <c r="A370" s="142"/>
      <c r="B370" s="78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</row>
    <row r="371" spans="1:25">
      <c r="A371" s="142"/>
      <c r="B371" s="78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</row>
    <row r="372" spans="1:25">
      <c r="A372" s="142"/>
      <c r="B372" s="78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</row>
    <row r="373" spans="1:25">
      <c r="A373" s="142"/>
      <c r="B373" s="78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</row>
    <row r="374" spans="1:25">
      <c r="A374" s="142"/>
      <c r="B374" s="78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</row>
    <row r="375" spans="1:25">
      <c r="A375" s="142"/>
      <c r="B375" s="78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</row>
    <row r="376" spans="1:25">
      <c r="A376" s="142"/>
      <c r="B376" s="78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</row>
    <row r="377" spans="1:25">
      <c r="A377" s="142"/>
      <c r="B377" s="78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</row>
    <row r="378" spans="1:25">
      <c r="A378" s="142"/>
      <c r="B378" s="78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</row>
    <row r="379" spans="1:25">
      <c r="A379" s="142"/>
      <c r="B379" s="78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</row>
    <row r="380" spans="1:25">
      <c r="A380" s="142"/>
      <c r="B380" s="78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</row>
    <row r="381" spans="1:25">
      <c r="A381" s="142"/>
      <c r="B381" s="78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</row>
    <row r="382" spans="1:25">
      <c r="A382" s="142"/>
      <c r="B382" s="78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</row>
    <row r="383" spans="1:25">
      <c r="A383" s="142"/>
      <c r="B383" s="78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</row>
    <row r="384" spans="1:25">
      <c r="A384" s="142"/>
      <c r="B384" s="78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</row>
    <row r="385" spans="1:25">
      <c r="A385" s="142"/>
      <c r="B385" s="78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</row>
    <row r="386" spans="1:25">
      <c r="A386" s="142"/>
      <c r="B386" s="78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</row>
    <row r="387" spans="1:25">
      <c r="A387" s="142"/>
      <c r="B387" s="78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</row>
    <row r="388" spans="1:25">
      <c r="A388" s="142"/>
      <c r="B388" s="78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</row>
    <row r="389" spans="1:25">
      <c r="A389" s="142"/>
      <c r="B389" s="78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</row>
    <row r="390" spans="1:25">
      <c r="A390" s="142"/>
      <c r="B390" s="78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</row>
    <row r="391" spans="1:25">
      <c r="A391" s="142"/>
      <c r="B391" s="78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</row>
    <row r="392" spans="1:25">
      <c r="A392" s="142"/>
      <c r="B392" s="78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</row>
    <row r="393" spans="1:25">
      <c r="A393" s="142"/>
      <c r="B393" s="78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</row>
    <row r="394" spans="1:25">
      <c r="A394" s="142"/>
      <c r="B394" s="78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</row>
    <row r="395" spans="1:25">
      <c r="A395" s="142"/>
      <c r="B395" s="78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</row>
    <row r="396" spans="1:25">
      <c r="A396" s="142"/>
      <c r="B396" s="78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</row>
    <row r="397" spans="1:25">
      <c r="A397" s="142"/>
      <c r="B397" s="78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</row>
    <row r="398" spans="1:25">
      <c r="A398" s="142"/>
      <c r="B398" s="78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</row>
    <row r="399" spans="1:25">
      <c r="A399" s="142"/>
      <c r="B399" s="78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</row>
    <row r="400" spans="1:25">
      <c r="A400" s="142"/>
      <c r="B400" s="78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</row>
    <row r="401" spans="1:25">
      <c r="A401" s="142"/>
      <c r="B401" s="78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</row>
    <row r="402" spans="1:25">
      <c r="A402" s="142"/>
      <c r="B402" s="78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</row>
    <row r="403" spans="1:25">
      <c r="A403" s="142"/>
      <c r="B403" s="78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</row>
    <row r="404" spans="1:25">
      <c r="A404" s="142"/>
      <c r="B404" s="78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</row>
    <row r="405" spans="1:25">
      <c r="A405" s="142"/>
      <c r="B405" s="78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</row>
    <row r="406" spans="1:25">
      <c r="A406" s="142"/>
      <c r="B406" s="78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</row>
    <row r="407" spans="1:25">
      <c r="A407" s="142"/>
      <c r="B407" s="78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</row>
    <row r="408" spans="1:25">
      <c r="A408" s="142"/>
      <c r="B408" s="78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</row>
    <row r="409" spans="1:25">
      <c r="A409" s="142"/>
      <c r="B409" s="78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</row>
    <row r="410" spans="1:25">
      <c r="A410" s="142"/>
      <c r="B410" s="78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</row>
    <row r="411" spans="1:25">
      <c r="A411" s="142"/>
      <c r="B411" s="78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</row>
    <row r="412" spans="1:25">
      <c r="A412" s="142"/>
      <c r="B412" s="78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</row>
    <row r="413" spans="1:25">
      <c r="A413" s="142"/>
      <c r="B413" s="78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</row>
    <row r="414" spans="1:25">
      <c r="A414" s="142"/>
      <c r="B414" s="78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</row>
    <row r="415" spans="1:25">
      <c r="A415" s="142"/>
      <c r="B415" s="78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</row>
    <row r="416" spans="1:25">
      <c r="A416" s="142"/>
      <c r="B416" s="78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</row>
    <row r="417" spans="1:25">
      <c r="A417" s="142"/>
      <c r="B417" s="78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</row>
    <row r="418" spans="1:25">
      <c r="A418" s="142"/>
      <c r="B418" s="78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</row>
    <row r="419" spans="1:25">
      <c r="A419" s="142"/>
      <c r="B419" s="78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</row>
    <row r="420" spans="1:25">
      <c r="A420" s="142"/>
      <c r="B420" s="78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</row>
    <row r="421" spans="1:25">
      <c r="A421" s="142"/>
      <c r="B421" s="78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</row>
    <row r="422" spans="1:25">
      <c r="A422" s="142"/>
      <c r="B422" s="78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</row>
    <row r="423" spans="1:25">
      <c r="A423" s="142"/>
      <c r="B423" s="78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</row>
    <row r="424" spans="1:25">
      <c r="A424" s="142"/>
      <c r="B424" s="78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</row>
    <row r="425" spans="1:25">
      <c r="A425" s="142"/>
      <c r="B425" s="78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</row>
    <row r="426" spans="1:25">
      <c r="A426" s="142"/>
      <c r="B426" s="78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</row>
    <row r="427" spans="1:25">
      <c r="A427" s="142"/>
      <c r="B427" s="78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</row>
    <row r="428" spans="1:25">
      <c r="A428" s="142"/>
      <c r="B428" s="78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</row>
    <row r="429" spans="1:25">
      <c r="A429" s="142"/>
      <c r="B429" s="78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</row>
    <row r="430" spans="1:25">
      <c r="A430" s="142"/>
      <c r="B430" s="78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5">
      <c r="A431" s="142"/>
      <c r="B431" s="78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5">
      <c r="A432" s="142"/>
      <c r="B432" s="78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>
      <c r="A433" s="142"/>
      <c r="B433" s="78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</row>
    <row r="434" spans="1:25">
      <c r="A434" s="142"/>
      <c r="B434" s="78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</row>
    <row r="435" spans="1:25">
      <c r="A435" s="142"/>
      <c r="B435" s="78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</row>
    <row r="436" spans="1:25">
      <c r="A436" s="142"/>
      <c r="B436" s="78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</row>
    <row r="437" spans="1:25">
      <c r="A437" s="142"/>
      <c r="B437" s="78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</row>
    <row r="438" spans="1:25">
      <c r="A438" s="142"/>
      <c r="B438" s="78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</row>
    <row r="439" spans="1:25">
      <c r="A439" s="142"/>
      <c r="B439" s="78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</row>
    <row r="440" spans="1:25">
      <c r="A440" s="142"/>
      <c r="B440" s="78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</row>
    <row r="441" spans="1:25">
      <c r="A441" s="142"/>
      <c r="B441" s="78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</row>
    <row r="442" spans="1:25">
      <c r="A442" s="142"/>
      <c r="B442" s="78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</row>
    <row r="443" spans="1:25">
      <c r="A443" s="142"/>
      <c r="B443" s="78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</row>
    <row r="444" spans="1:25">
      <c r="A444" s="142"/>
      <c r="B444" s="78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</row>
    <row r="445" spans="1:25">
      <c r="A445" s="142"/>
      <c r="B445" s="78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</row>
    <row r="446" spans="1:25">
      <c r="A446" s="142"/>
      <c r="B446" s="78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</row>
    <row r="447" spans="1:25">
      <c r="A447" s="142"/>
      <c r="B447" s="78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</row>
    <row r="448" spans="1:25">
      <c r="A448" s="142"/>
      <c r="B448" s="78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</row>
    <row r="449" spans="1:25">
      <c r="A449" s="142"/>
      <c r="B449" s="78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</row>
    <row r="450" spans="1:25">
      <c r="A450" s="142"/>
      <c r="B450" s="78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</row>
    <row r="451" spans="1:25">
      <c r="A451" s="142"/>
      <c r="B451" s="78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</row>
    <row r="452" spans="1:25">
      <c r="A452" s="142"/>
      <c r="B452" s="78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</row>
    <row r="453" spans="1:25">
      <c r="A453" s="142"/>
      <c r="B453" s="78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</row>
    <row r="454" spans="1:25">
      <c r="A454" s="142"/>
      <c r="B454" s="78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</row>
    <row r="455" spans="1:25">
      <c r="A455" s="142"/>
      <c r="B455" s="78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</row>
    <row r="456" spans="1:25">
      <c r="A456" s="142"/>
      <c r="B456" s="78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</row>
    <row r="457" spans="1:25">
      <c r="A457" s="142"/>
      <c r="B457" s="78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</row>
    <row r="458" spans="1:25">
      <c r="A458" s="142"/>
      <c r="B458" s="78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</row>
    <row r="459" spans="1:25">
      <c r="A459" s="142"/>
      <c r="B459" s="78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</row>
    <row r="460" spans="1:25">
      <c r="A460" s="142"/>
      <c r="B460" s="78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</row>
    <row r="461" spans="1:25">
      <c r="A461" s="142"/>
      <c r="B461" s="78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</row>
    <row r="462" spans="1:25">
      <c r="A462" s="142"/>
      <c r="B462" s="78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</row>
    <row r="463" spans="1:25">
      <c r="A463" s="142"/>
      <c r="B463" s="78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</row>
    <row r="464" spans="1:25">
      <c r="A464" s="142"/>
      <c r="B464" s="78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</row>
    <row r="465" spans="1:25">
      <c r="A465" s="142"/>
      <c r="B465" s="78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</row>
    <row r="466" spans="1:25">
      <c r="A466" s="142"/>
      <c r="B466" s="78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</row>
    <row r="467" spans="1:25">
      <c r="A467" s="142"/>
      <c r="B467" s="78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</row>
    <row r="468" spans="1:25">
      <c r="A468" s="142"/>
      <c r="B468" s="78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</row>
    <row r="469" spans="1:25">
      <c r="A469" s="142"/>
      <c r="B469" s="78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</row>
    <row r="470" spans="1:25">
      <c r="A470" s="142"/>
      <c r="B470" s="78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</row>
    <row r="471" spans="1:25">
      <c r="A471" s="142"/>
      <c r="B471" s="78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</row>
    <row r="472" spans="1:25">
      <c r="A472" s="142"/>
      <c r="B472" s="78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</row>
    <row r="473" spans="1:25">
      <c r="A473" s="142"/>
      <c r="B473" s="78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</row>
    <row r="474" spans="1:25">
      <c r="A474" s="142"/>
      <c r="B474" s="78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</row>
    <row r="475" spans="1:25">
      <c r="A475" s="142"/>
      <c r="B475" s="78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</row>
    <row r="476" spans="1:25">
      <c r="A476" s="142"/>
      <c r="B476" s="78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</row>
    <row r="477" spans="1:25">
      <c r="A477" s="142"/>
      <c r="B477" s="78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</row>
    <row r="478" spans="1:25">
      <c r="A478" s="142"/>
      <c r="B478" s="78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</row>
    <row r="479" spans="1:25">
      <c r="A479" s="142"/>
      <c r="B479" s="78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</row>
    <row r="480" spans="1:25">
      <c r="A480" s="142"/>
      <c r="B480" s="78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</row>
    <row r="481" spans="1:25">
      <c r="A481" s="142"/>
      <c r="B481" s="78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</row>
    <row r="482" spans="1:25">
      <c r="A482" s="142"/>
      <c r="B482" s="78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</row>
    <row r="483" spans="1:25">
      <c r="A483" s="142"/>
      <c r="B483" s="78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</row>
    <row r="484" spans="1:25">
      <c r="A484" s="142"/>
      <c r="B484" s="78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</row>
    <row r="485" spans="1:25">
      <c r="A485" s="142"/>
      <c r="B485" s="78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</row>
    <row r="486" spans="1:25">
      <c r="A486" s="142"/>
      <c r="B486" s="78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</row>
    <row r="487" spans="1:25">
      <c r="A487" s="142"/>
      <c r="B487" s="78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</row>
    <row r="488" spans="1:25">
      <c r="A488" s="142"/>
      <c r="B488" s="78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</row>
    <row r="489" spans="1:25">
      <c r="A489" s="142"/>
      <c r="B489" s="78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</row>
    <row r="490" spans="1:25">
      <c r="A490" s="142"/>
      <c r="B490" s="78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</row>
    <row r="491" spans="1:25">
      <c r="A491" s="142"/>
      <c r="B491" s="78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</row>
    <row r="492" spans="1:25">
      <c r="A492" s="142"/>
      <c r="B492" s="78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</row>
    <row r="493" spans="1:25">
      <c r="A493" s="142"/>
      <c r="B493" s="78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</row>
    <row r="494" spans="1:25">
      <c r="A494" s="142"/>
      <c r="B494" s="78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</row>
    <row r="495" spans="1:25">
      <c r="A495" s="142"/>
      <c r="B495" s="78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</row>
    <row r="496" spans="1:25">
      <c r="A496" s="142"/>
      <c r="B496" s="78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</row>
    <row r="497" spans="1:25">
      <c r="A497" s="142"/>
      <c r="B497" s="78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</row>
    <row r="498" spans="1:25">
      <c r="A498" s="142"/>
      <c r="B498" s="78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</row>
    <row r="499" spans="1:25">
      <c r="A499" s="142"/>
      <c r="B499" s="78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</row>
    <row r="500" spans="1:25">
      <c r="A500" s="142"/>
      <c r="B500" s="78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</row>
    <row r="501" spans="1:25">
      <c r="A501" s="142"/>
      <c r="B501" s="78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</row>
    <row r="502" spans="1:25">
      <c r="A502" s="142"/>
      <c r="B502" s="78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</row>
    <row r="503" spans="1:25">
      <c r="A503" s="142"/>
      <c r="B503" s="78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</row>
    <row r="504" spans="1:25">
      <c r="A504" s="142"/>
      <c r="B504" s="78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</row>
    <row r="505" spans="1:25">
      <c r="A505" s="142"/>
      <c r="B505" s="78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</row>
    <row r="506" spans="1:25">
      <c r="A506" s="142"/>
      <c r="B506" s="78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</row>
    <row r="507" spans="1:25">
      <c r="A507" s="142"/>
      <c r="B507" s="78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</row>
    <row r="508" spans="1:25">
      <c r="A508" s="142"/>
      <c r="B508" s="78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</row>
    <row r="509" spans="1:25">
      <c r="A509" s="142"/>
      <c r="B509" s="78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</row>
    <row r="510" spans="1:25">
      <c r="A510" s="142"/>
      <c r="B510" s="78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</row>
    <row r="511" spans="1:25">
      <c r="A511" s="142"/>
      <c r="B511" s="78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</row>
    <row r="512" spans="1:25">
      <c r="A512" s="142"/>
      <c r="B512" s="78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</row>
    <row r="513" spans="1:25">
      <c r="A513" s="142"/>
      <c r="B513" s="78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</row>
    <row r="514" spans="1:25">
      <c r="A514" s="142"/>
      <c r="B514" s="78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</row>
    <row r="515" spans="1:25">
      <c r="A515" s="142"/>
      <c r="B515" s="78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</row>
    <row r="516" spans="1:25">
      <c r="A516" s="142"/>
      <c r="B516" s="78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</row>
    <row r="517" spans="1:25">
      <c r="A517" s="142"/>
      <c r="B517" s="78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</row>
    <row r="518" spans="1:25">
      <c r="A518" s="142"/>
      <c r="B518" s="78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</row>
    <row r="519" spans="1:25">
      <c r="A519" s="142"/>
      <c r="B519" s="78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</row>
    <row r="520" spans="1:25">
      <c r="A520" s="142"/>
      <c r="B520" s="78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</row>
    <row r="521" spans="1:25">
      <c r="A521" s="142"/>
      <c r="B521" s="78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</row>
    <row r="522" spans="1:25">
      <c r="A522" s="142"/>
      <c r="B522" s="78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</row>
    <row r="523" spans="1:25">
      <c r="A523" s="142"/>
      <c r="B523" s="78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</row>
    <row r="524" spans="1:25">
      <c r="A524" s="142"/>
      <c r="B524" s="78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</row>
    <row r="525" spans="1:25">
      <c r="A525" s="142"/>
      <c r="B525" s="78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</row>
    <row r="526" spans="1:25">
      <c r="A526" s="142"/>
      <c r="B526" s="78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</row>
    <row r="527" spans="1:25">
      <c r="A527" s="142"/>
      <c r="B527" s="78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</row>
    <row r="528" spans="1:25">
      <c r="A528" s="142"/>
      <c r="B528" s="78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1:25">
      <c r="A529" s="142"/>
      <c r="B529" s="78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</row>
    <row r="530" spans="1:25">
      <c r="A530" s="142"/>
      <c r="B530" s="78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</row>
    <row r="531" spans="1:25">
      <c r="A531" s="142"/>
      <c r="B531" s="78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</row>
    <row r="532" spans="1:25">
      <c r="A532" s="142"/>
      <c r="B532" s="78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</row>
    <row r="533" spans="1:25">
      <c r="A533" s="142"/>
      <c r="B533" s="78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</row>
    <row r="534" spans="1:25">
      <c r="A534" s="142"/>
      <c r="B534" s="78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</row>
    <row r="535" spans="1:25">
      <c r="A535" s="142"/>
      <c r="B535" s="78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</row>
    <row r="536" spans="1:25">
      <c r="A536" s="142"/>
      <c r="B536" s="78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</row>
    <row r="537" spans="1:25">
      <c r="A537" s="142"/>
      <c r="B537" s="78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</row>
    <row r="538" spans="1:25">
      <c r="A538" s="142"/>
      <c r="B538" s="78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</row>
    <row r="539" spans="1:25">
      <c r="A539" s="142"/>
      <c r="B539" s="78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</row>
    <row r="540" spans="1:25">
      <c r="A540" s="142"/>
      <c r="B540" s="78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</row>
    <row r="541" spans="1:25">
      <c r="A541" s="142"/>
      <c r="B541" s="78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1:25">
      <c r="A542" s="142"/>
      <c r="B542" s="78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</row>
    <row r="543" spans="1:25">
      <c r="A543" s="142"/>
      <c r="B543" s="78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</row>
    <row r="544" spans="1:25">
      <c r="A544" s="142"/>
      <c r="B544" s="78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</row>
    <row r="545" spans="1:25">
      <c r="A545" s="142"/>
      <c r="B545" s="78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</row>
    <row r="546" spans="1:25">
      <c r="A546" s="142"/>
      <c r="B546" s="78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</row>
    <row r="547" spans="1:25">
      <c r="A547" s="142"/>
      <c r="B547" s="78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</row>
    <row r="548" spans="1:25">
      <c r="A548" s="142"/>
      <c r="B548" s="78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</row>
    <row r="549" spans="1:25">
      <c r="A549" s="142"/>
      <c r="B549" s="78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</row>
    <row r="550" spans="1:25">
      <c r="A550" s="142"/>
      <c r="B550" s="78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</row>
    <row r="551" spans="1:25">
      <c r="A551" s="142"/>
      <c r="B551" s="78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</row>
    <row r="552" spans="1:25">
      <c r="A552" s="142"/>
      <c r="B552" s="78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</row>
    <row r="553" spans="1:25">
      <c r="A553" s="142"/>
      <c r="B553" s="78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</row>
    <row r="554" spans="1:25">
      <c r="A554" s="142"/>
      <c r="B554" s="78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</row>
    <row r="555" spans="1:25">
      <c r="A555" s="142"/>
      <c r="B555" s="78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</row>
    <row r="556" spans="1:25">
      <c r="A556" s="142"/>
      <c r="B556" s="78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</row>
    <row r="557" spans="1:25">
      <c r="A557" s="142"/>
      <c r="B557" s="78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</row>
    <row r="558" spans="1:25">
      <c r="A558" s="142"/>
      <c r="B558" s="78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</row>
    <row r="559" spans="1:25">
      <c r="A559" s="142"/>
      <c r="B559" s="78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</row>
    <row r="560" spans="1:25">
      <c r="A560" s="142"/>
      <c r="B560" s="78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</row>
    <row r="561" spans="1:25">
      <c r="A561" s="142"/>
      <c r="B561" s="78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</row>
    <row r="562" spans="1:25">
      <c r="A562" s="142"/>
      <c r="B562" s="78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</row>
    <row r="563" spans="1:25">
      <c r="A563" s="142"/>
      <c r="B563" s="78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</row>
    <row r="564" spans="1:25">
      <c r="A564" s="142"/>
      <c r="B564" s="78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</row>
    <row r="565" spans="1:25">
      <c r="A565" s="142"/>
      <c r="B565" s="78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</row>
    <row r="566" spans="1:25">
      <c r="A566" s="142"/>
      <c r="B566" s="78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</row>
    <row r="567" spans="1:25">
      <c r="A567" s="142"/>
      <c r="B567" s="78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</row>
    <row r="568" spans="1:25">
      <c r="A568" s="142"/>
      <c r="B568" s="78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</row>
    <row r="569" spans="1:25">
      <c r="A569" s="142"/>
      <c r="B569" s="78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</row>
    <row r="570" spans="1:25">
      <c r="A570" s="142"/>
      <c r="B570" s="78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</row>
    <row r="571" spans="1:25">
      <c r="A571" s="142"/>
      <c r="B571" s="78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</row>
    <row r="572" spans="1:25">
      <c r="A572" s="142"/>
      <c r="B572" s="78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</row>
    <row r="573" spans="1:25">
      <c r="A573" s="142"/>
      <c r="B573" s="78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</row>
    <row r="574" spans="1:25">
      <c r="A574" s="142"/>
      <c r="B574" s="78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</row>
    <row r="575" spans="1:25">
      <c r="A575" s="142"/>
      <c r="B575" s="78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</row>
    <row r="576" spans="1:25">
      <c r="A576" s="142"/>
      <c r="B576" s="78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</row>
    <row r="577" spans="1:25">
      <c r="A577" s="142"/>
      <c r="B577" s="78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</row>
    <row r="578" spans="1:25">
      <c r="A578" s="142"/>
      <c r="B578" s="78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</row>
    <row r="579" spans="1:25">
      <c r="A579" s="142"/>
      <c r="B579" s="78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</row>
    <row r="580" spans="1:25">
      <c r="A580" s="142"/>
      <c r="B580" s="78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</row>
    <row r="581" spans="1:25">
      <c r="A581" s="142"/>
      <c r="B581" s="78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</row>
    <row r="582" spans="1:25">
      <c r="A582" s="142"/>
      <c r="B582" s="78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</row>
    <row r="583" spans="1:25">
      <c r="A583" s="142"/>
      <c r="B583" s="78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</row>
    <row r="584" spans="1:25">
      <c r="A584" s="142"/>
      <c r="B584" s="78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</row>
    <row r="585" spans="1:25">
      <c r="A585" s="142"/>
      <c r="B585" s="78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</row>
    <row r="586" spans="1:25">
      <c r="A586" s="142"/>
      <c r="B586" s="78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</row>
    <row r="587" spans="1:25">
      <c r="A587" s="142"/>
      <c r="B587" s="78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</row>
    <row r="588" spans="1:25">
      <c r="A588" s="142"/>
      <c r="B588" s="78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</row>
    <row r="589" spans="1:25">
      <c r="A589" s="142"/>
      <c r="B589" s="78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</row>
    <row r="590" spans="1:25">
      <c r="A590" s="142"/>
      <c r="B590" s="78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</row>
    <row r="591" spans="1:25">
      <c r="A591" s="142"/>
      <c r="B591" s="78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</row>
    <row r="592" spans="1:25">
      <c r="A592" s="142"/>
      <c r="B592" s="78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</row>
    <row r="593" spans="1:25">
      <c r="A593" s="142"/>
      <c r="B593" s="78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</row>
    <row r="594" spans="1:25">
      <c r="A594" s="142"/>
      <c r="B594" s="78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</row>
    <row r="595" spans="1:25">
      <c r="A595" s="142"/>
      <c r="B595" s="78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</row>
    <row r="596" spans="1:25">
      <c r="A596" s="142"/>
      <c r="B596" s="78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</row>
    <row r="597" spans="1:25">
      <c r="A597" s="142"/>
      <c r="B597" s="78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</row>
    <row r="598" spans="1:25">
      <c r="A598" s="142"/>
      <c r="B598" s="78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</row>
    <row r="599" spans="1:25">
      <c r="A599" s="142"/>
      <c r="B599" s="78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</row>
    <row r="600" spans="1:25">
      <c r="A600" s="142"/>
      <c r="B600" s="78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</row>
    <row r="601" spans="1:25">
      <c r="A601" s="142"/>
      <c r="B601" s="78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</row>
    <row r="602" spans="1:25">
      <c r="A602" s="142"/>
      <c r="B602" s="78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</row>
    <row r="603" spans="1:25">
      <c r="A603" s="142"/>
      <c r="B603" s="78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</row>
    <row r="604" spans="1:25">
      <c r="A604" s="142"/>
      <c r="B604" s="78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</row>
    <row r="605" spans="1:25">
      <c r="A605" s="142"/>
      <c r="B605" s="78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</row>
    <row r="606" spans="1:25">
      <c r="A606" s="142"/>
      <c r="B606" s="78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</row>
    <row r="607" spans="1:25">
      <c r="A607" s="142"/>
      <c r="B607" s="78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</row>
    <row r="608" spans="1:25">
      <c r="A608" s="142"/>
      <c r="B608" s="78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</row>
    <row r="609" spans="1:25">
      <c r="A609" s="142"/>
      <c r="B609" s="78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</row>
    <row r="610" spans="1:25">
      <c r="A610" s="142"/>
      <c r="B610" s="78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</row>
    <row r="611" spans="1:25">
      <c r="A611" s="142"/>
      <c r="B611" s="78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</row>
    <row r="612" spans="1:25">
      <c r="A612" s="142"/>
      <c r="B612" s="78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</row>
    <row r="613" spans="1:25">
      <c r="A613" s="142"/>
      <c r="B613" s="78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</row>
    <row r="614" spans="1:25">
      <c r="A614" s="142"/>
      <c r="B614" s="78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</row>
    <row r="615" spans="1:25">
      <c r="A615" s="142"/>
      <c r="B615" s="78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</row>
    <row r="616" spans="1:25">
      <c r="A616" s="142"/>
      <c r="B616" s="78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</row>
    <row r="617" spans="1:25">
      <c r="A617" s="142"/>
      <c r="B617" s="78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</row>
    <row r="618" spans="1:25">
      <c r="A618" s="142"/>
      <c r="B618" s="78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</row>
    <row r="619" spans="1:25">
      <c r="A619" s="142"/>
      <c r="B619" s="78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</row>
    <row r="620" spans="1:25">
      <c r="A620" s="142"/>
      <c r="B620" s="78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</row>
    <row r="621" spans="1:25">
      <c r="A621" s="142"/>
      <c r="B621" s="78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</row>
    <row r="622" spans="1:25">
      <c r="A622" s="142"/>
      <c r="B622" s="78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</row>
    <row r="623" spans="1:25">
      <c r="A623" s="142"/>
      <c r="B623" s="78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</row>
    <row r="624" spans="1:25">
      <c r="A624" s="142"/>
      <c r="B624" s="78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</row>
    <row r="625" spans="1:25">
      <c r="A625" s="142"/>
      <c r="B625" s="78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</row>
    <row r="626" spans="1:25">
      <c r="A626" s="142"/>
      <c r="B626" s="78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</row>
    <row r="627" spans="1:25">
      <c r="A627" s="142"/>
      <c r="B627" s="78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</row>
    <row r="628" spans="1:25">
      <c r="A628" s="142"/>
      <c r="B628" s="78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</row>
    <row r="629" spans="1:25">
      <c r="A629" s="142"/>
      <c r="B629" s="78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</row>
    <row r="630" spans="1:25">
      <c r="A630" s="142"/>
      <c r="B630" s="78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</row>
    <row r="631" spans="1:25">
      <c r="A631" s="142"/>
      <c r="B631" s="78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1:25">
      <c r="A632" s="142"/>
      <c r="B632" s="78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1:25">
      <c r="A633" s="142"/>
      <c r="B633" s="78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1:25">
      <c r="A634" s="142"/>
      <c r="B634" s="78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1:25">
      <c r="A635" s="142"/>
      <c r="B635" s="78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1:25">
      <c r="A636" s="142"/>
      <c r="B636" s="78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1:25">
      <c r="A637" s="142"/>
      <c r="B637" s="78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1:25">
      <c r="A638" s="142"/>
      <c r="B638" s="78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1:25">
      <c r="A639" s="142"/>
      <c r="B639" s="78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1:25">
      <c r="A640" s="142"/>
      <c r="B640" s="78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1:25">
      <c r="A641" s="142"/>
      <c r="B641" s="78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1:25">
      <c r="A642" s="142"/>
      <c r="B642" s="78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1:25">
      <c r="A643" s="142"/>
      <c r="B643" s="78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1:25">
      <c r="A644" s="142"/>
      <c r="B644" s="78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1:25">
      <c r="A645" s="142"/>
      <c r="B645" s="78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1:25">
      <c r="A646" s="142"/>
      <c r="B646" s="78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1:25">
      <c r="A647" s="142"/>
      <c r="B647" s="78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1:25">
      <c r="A648" s="142"/>
      <c r="B648" s="78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1:25">
      <c r="A649" s="142"/>
      <c r="B649" s="78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1:25">
      <c r="A650" s="142"/>
      <c r="B650" s="78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1:25">
      <c r="A651" s="142"/>
      <c r="B651" s="78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1:25">
      <c r="A652" s="142"/>
      <c r="B652" s="78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1:25">
      <c r="A653" s="142"/>
      <c r="B653" s="78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1:25">
      <c r="A654" s="142"/>
      <c r="B654" s="78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1:25">
      <c r="A655" s="142"/>
      <c r="B655" s="78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1:25">
      <c r="A656" s="142"/>
      <c r="B656" s="78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1:25">
      <c r="A657" s="142"/>
      <c r="B657" s="78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1:25">
      <c r="A658" s="142"/>
      <c r="B658" s="78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1:25">
      <c r="A659" s="142"/>
      <c r="B659" s="78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1:25">
      <c r="A660" s="142"/>
      <c r="B660" s="78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1:25">
      <c r="A661" s="142"/>
      <c r="B661" s="78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1:25">
      <c r="A662" s="142"/>
      <c r="B662" s="78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1:25">
      <c r="A663" s="142"/>
      <c r="B663" s="78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1:25">
      <c r="A664" s="142"/>
      <c r="B664" s="78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1:25">
      <c r="A665" s="142"/>
      <c r="B665" s="78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1:25">
      <c r="A666" s="142"/>
      <c r="B666" s="78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1:25">
      <c r="A667" s="142"/>
      <c r="B667" s="78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1:25">
      <c r="A668" s="142"/>
      <c r="B668" s="78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1:25">
      <c r="A669" s="142"/>
      <c r="B669" s="78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1:25">
      <c r="A670" s="142"/>
      <c r="B670" s="78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1:25">
      <c r="A671" s="142"/>
      <c r="B671" s="78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1:25">
      <c r="A672" s="142"/>
      <c r="B672" s="78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1:25">
      <c r="A673" s="142"/>
      <c r="B673" s="78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1:25">
      <c r="A674" s="142"/>
      <c r="B674" s="78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1:25">
      <c r="A675" s="142"/>
      <c r="B675" s="78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1:25">
      <c r="A676" s="142"/>
      <c r="B676" s="78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1:25">
      <c r="A677" s="142"/>
      <c r="B677" s="78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1:25">
      <c r="A678" s="142"/>
      <c r="B678" s="78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1:25">
      <c r="A679" s="142"/>
      <c r="B679" s="78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1:25">
      <c r="A680" s="142"/>
      <c r="B680" s="78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1:25">
      <c r="A681" s="142"/>
      <c r="B681" s="78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1:25">
      <c r="A682" s="142"/>
      <c r="B682" s="78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1:25">
      <c r="A683" s="142"/>
      <c r="B683" s="78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1:25">
      <c r="A684" s="142"/>
      <c r="B684" s="78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1:25">
      <c r="A685" s="142"/>
      <c r="B685" s="78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1:25">
      <c r="A686" s="142"/>
      <c r="B686" s="78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1:25">
      <c r="A687" s="142"/>
      <c r="B687" s="78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1:25">
      <c r="A688" s="142"/>
      <c r="B688" s="78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1:25">
      <c r="A689" s="142"/>
      <c r="B689" s="78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1:25">
      <c r="A690" s="142"/>
      <c r="B690" s="78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1:25">
      <c r="A691" s="142"/>
      <c r="B691" s="78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1:25">
      <c r="A692" s="142"/>
      <c r="B692" s="78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1:25">
      <c r="A693" s="142"/>
      <c r="B693" s="78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1:25">
      <c r="A694" s="142"/>
      <c r="B694" s="78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1:25">
      <c r="A695" s="142"/>
      <c r="B695" s="78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1:25">
      <c r="A696" s="142"/>
      <c r="B696" s="78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1:25">
      <c r="A697" s="142"/>
      <c r="B697" s="78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1:25">
      <c r="A698" s="142"/>
      <c r="B698" s="78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1:25">
      <c r="A699" s="142"/>
      <c r="B699" s="78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1:25">
      <c r="A700" s="142"/>
      <c r="B700" s="78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1:25">
      <c r="A701" s="142"/>
      <c r="B701" s="78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1:25">
      <c r="A702" s="142"/>
      <c r="B702" s="78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1:25">
      <c r="A703" s="142"/>
      <c r="B703" s="78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1:25">
      <c r="A704" s="142"/>
      <c r="B704" s="78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1:25">
      <c r="A705" s="142"/>
      <c r="B705" s="78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1:25">
      <c r="A706" s="142"/>
      <c r="B706" s="78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1:25">
      <c r="A707" s="142"/>
      <c r="B707" s="78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1:25">
      <c r="A708" s="142"/>
      <c r="B708" s="78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1:25">
      <c r="A709" s="142"/>
      <c r="B709" s="78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1:25">
      <c r="A710" s="142"/>
      <c r="B710" s="78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1:25">
      <c r="A711" s="142"/>
      <c r="B711" s="78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1:25">
      <c r="A712" s="142"/>
      <c r="B712" s="78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1:25">
      <c r="A713" s="142"/>
      <c r="B713" s="78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1:25">
      <c r="A714" s="142"/>
      <c r="B714" s="78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1:25">
      <c r="A715" s="142"/>
      <c r="B715" s="78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1:25">
      <c r="A716" s="142"/>
      <c r="B716" s="78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1:25">
      <c r="A717" s="142"/>
      <c r="B717" s="78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1:25">
      <c r="A718" s="142"/>
      <c r="B718" s="78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1:25">
      <c r="A719" s="142"/>
      <c r="B719" s="78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1:25">
      <c r="A720" s="142"/>
      <c r="B720" s="78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1:25">
      <c r="A721" s="142"/>
      <c r="B721" s="78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1:25">
      <c r="A722" s="142"/>
      <c r="B722" s="78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1:25">
      <c r="A723" s="142"/>
      <c r="B723" s="78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1:25">
      <c r="A724" s="142"/>
      <c r="B724" s="78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1:25">
      <c r="A725" s="142"/>
      <c r="B725" s="78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1:25">
      <c r="A726" s="142"/>
      <c r="B726" s="78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1:25">
      <c r="A727" s="142"/>
      <c r="B727" s="78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1:25">
      <c r="A728" s="142"/>
      <c r="B728" s="78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1:25">
      <c r="A729" s="142"/>
      <c r="B729" s="78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1:25">
      <c r="A730" s="142"/>
      <c r="B730" s="78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1:25">
      <c r="A731" s="142"/>
      <c r="B731" s="78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1:25">
      <c r="A732" s="142"/>
      <c r="B732" s="78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1:25">
      <c r="A733" s="142"/>
      <c r="B733" s="78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1:25">
      <c r="A734" s="142"/>
      <c r="B734" s="78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1:25">
      <c r="A735" s="142"/>
      <c r="B735" s="78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1:25">
      <c r="A736" s="142"/>
      <c r="B736" s="78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1:25">
      <c r="A737" s="142"/>
      <c r="B737" s="78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1:25">
      <c r="A738" s="142"/>
      <c r="B738" s="78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1:25">
      <c r="A739" s="142"/>
      <c r="B739" s="78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1:25">
      <c r="A740" s="142"/>
      <c r="B740" s="78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1:25">
      <c r="A741" s="142"/>
      <c r="B741" s="78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1:25">
      <c r="A742" s="142"/>
      <c r="B742" s="78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1:25">
      <c r="A743" s="142"/>
      <c r="B743" s="78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1:25">
      <c r="A744" s="142"/>
      <c r="B744" s="78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1:25">
      <c r="A745" s="142"/>
      <c r="B745" s="78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1:25">
      <c r="A746" s="142"/>
      <c r="B746" s="78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1:25">
      <c r="A747" s="142"/>
      <c r="B747" s="78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  <row r="748" spans="1:25">
      <c r="A748" s="142"/>
      <c r="B748" s="78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</row>
    <row r="749" spans="1:25">
      <c r="A749" s="142"/>
      <c r="B749" s="78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</row>
    <row r="750" spans="1:25">
      <c r="A750" s="142"/>
      <c r="B750" s="78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</row>
    <row r="751" spans="1:25">
      <c r="A751" s="142"/>
      <c r="B751" s="78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</row>
    <row r="752" spans="1:25">
      <c r="A752" s="142"/>
      <c r="B752" s="78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</row>
    <row r="753" spans="1:25">
      <c r="A753" s="142"/>
      <c r="B753" s="78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</row>
    <row r="754" spans="1:25">
      <c r="A754" s="142"/>
      <c r="B754" s="78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</row>
    <row r="755" spans="1:25">
      <c r="A755" s="142"/>
      <c r="B755" s="78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</row>
    <row r="756" spans="1:25">
      <c r="A756" s="142"/>
      <c r="B756" s="78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</row>
    <row r="757" spans="1:25">
      <c r="A757" s="142"/>
      <c r="B757" s="78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</row>
    <row r="758" spans="1:25">
      <c r="A758" s="142"/>
      <c r="B758" s="78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</row>
    <row r="759" spans="1:25">
      <c r="A759" s="142"/>
      <c r="B759" s="78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</row>
    <row r="760" spans="1:25">
      <c r="A760" s="142"/>
      <c r="B760" s="78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</row>
    <row r="761" spans="1:25">
      <c r="A761" s="142"/>
      <c r="B761" s="78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</row>
    <row r="762" spans="1:25">
      <c r="A762" s="142"/>
      <c r="B762" s="78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</row>
    <row r="763" spans="1:25">
      <c r="A763" s="142"/>
      <c r="B763" s="78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</row>
    <row r="764" spans="1:25">
      <c r="A764" s="142"/>
      <c r="B764" s="78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</row>
    <row r="765" spans="1:25">
      <c r="A765" s="142"/>
      <c r="B765" s="78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</row>
    <row r="766" spans="1:25">
      <c r="A766" s="142"/>
      <c r="B766" s="78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</row>
    <row r="767" spans="1:25">
      <c r="A767" s="142"/>
      <c r="B767" s="78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</row>
    <row r="768" spans="1:25">
      <c r="A768" s="142"/>
      <c r="B768" s="78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</row>
    <row r="769" spans="1:25">
      <c r="A769" s="142"/>
      <c r="B769" s="78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</row>
    <row r="770" spans="1:25">
      <c r="A770" s="142"/>
      <c r="B770" s="78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</row>
    <row r="771" spans="1:25">
      <c r="A771" s="142"/>
      <c r="B771" s="78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</row>
    <row r="772" spans="1:25">
      <c r="A772" s="142"/>
      <c r="B772" s="78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</row>
    <row r="773" spans="1:25">
      <c r="A773" s="142"/>
      <c r="B773" s="78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</row>
    <row r="774" spans="1:25">
      <c r="A774" s="142"/>
      <c r="B774" s="78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</row>
    <row r="775" spans="1:25">
      <c r="A775" s="142"/>
      <c r="B775" s="78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</row>
    <row r="776" spans="1:25">
      <c r="A776" s="142"/>
      <c r="B776" s="78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</row>
    <row r="777" spans="1:25">
      <c r="A777" s="142"/>
      <c r="B777" s="78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</row>
    <row r="778" spans="1:25">
      <c r="A778" s="142"/>
      <c r="B778" s="78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</row>
    <row r="779" spans="1:25">
      <c r="A779" s="142"/>
      <c r="B779" s="78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</row>
    <row r="780" spans="1:25">
      <c r="A780" s="142"/>
      <c r="B780" s="78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</row>
    <row r="781" spans="1:25">
      <c r="A781" s="142"/>
      <c r="B781" s="78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</row>
    <row r="782" spans="1:25">
      <c r="A782" s="142"/>
      <c r="B782" s="78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</row>
    <row r="783" spans="1:25">
      <c r="A783" s="142"/>
      <c r="B783" s="78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</row>
    <row r="784" spans="1:25">
      <c r="A784" s="142"/>
      <c r="B784" s="78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</row>
    <row r="785" spans="1:25">
      <c r="A785" s="142"/>
      <c r="B785" s="78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</row>
    <row r="786" spans="1:25">
      <c r="A786" s="142"/>
      <c r="B786" s="78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</row>
    <row r="787" spans="1:25">
      <c r="A787" s="142"/>
      <c r="B787" s="78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</row>
    <row r="788" spans="1:25">
      <c r="A788" s="142"/>
      <c r="B788" s="78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</row>
    <row r="789" spans="1:25">
      <c r="A789" s="142"/>
      <c r="B789" s="78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</row>
    <row r="790" spans="1:25">
      <c r="A790" s="142"/>
      <c r="B790" s="78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</row>
    <row r="791" spans="1:25">
      <c r="A791" s="142"/>
      <c r="B791" s="78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</row>
    <row r="792" spans="1:25">
      <c r="A792" s="142"/>
      <c r="B792" s="78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</row>
    <row r="793" spans="1:25">
      <c r="A793" s="142"/>
      <c r="B793" s="78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</row>
    <row r="794" spans="1:25">
      <c r="A794" s="142"/>
      <c r="B794" s="78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</row>
    <row r="795" spans="1:25">
      <c r="A795" s="142"/>
      <c r="B795" s="78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</row>
    <row r="796" spans="1:25">
      <c r="A796" s="142"/>
      <c r="B796" s="78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</row>
    <row r="797" spans="1:25">
      <c r="A797" s="142"/>
      <c r="B797" s="78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</row>
    <row r="798" spans="1:25">
      <c r="A798" s="142"/>
      <c r="B798" s="78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</row>
    <row r="799" spans="1:25">
      <c r="A799" s="142"/>
      <c r="B799" s="78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</row>
    <row r="800" spans="1:25">
      <c r="A800" s="142"/>
      <c r="B800" s="78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</row>
    <row r="801" spans="1:25">
      <c r="A801" s="142"/>
      <c r="B801" s="78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</row>
    <row r="802" spans="1:25">
      <c r="A802" s="142"/>
      <c r="B802" s="78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</row>
    <row r="803" spans="1:25">
      <c r="A803" s="142"/>
      <c r="B803" s="78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</row>
    <row r="804" spans="1:25">
      <c r="A804" s="142"/>
      <c r="B804" s="78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</row>
    <row r="805" spans="1:25">
      <c r="A805" s="142"/>
      <c r="B805" s="78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</row>
    <row r="806" spans="1:25">
      <c r="A806" s="142"/>
      <c r="B806" s="78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</row>
    <row r="807" spans="1:25">
      <c r="A807" s="142"/>
      <c r="B807" s="78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</row>
    <row r="808" spans="1:25">
      <c r="A808" s="142"/>
      <c r="B808" s="78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</row>
    <row r="809" spans="1:25">
      <c r="A809" s="142"/>
      <c r="B809" s="78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</row>
    <row r="810" spans="1:25">
      <c r="A810" s="142"/>
      <c r="B810" s="78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</row>
    <row r="811" spans="1:25">
      <c r="A811" s="142"/>
      <c r="B811" s="78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</row>
    <row r="812" spans="1:25">
      <c r="A812" s="142"/>
      <c r="B812" s="78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</row>
    <row r="813" spans="1:25">
      <c r="A813" s="142"/>
      <c r="B813" s="78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</row>
    <row r="814" spans="1:25">
      <c r="A814" s="142"/>
      <c r="B814" s="78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</row>
    <row r="815" spans="1:25">
      <c r="A815" s="142"/>
      <c r="B815" s="78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</row>
    <row r="816" spans="1:25">
      <c r="A816" s="142"/>
      <c r="B816" s="78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</row>
    <row r="817" spans="1:25">
      <c r="A817" s="142"/>
      <c r="B817" s="78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</row>
    <row r="818" spans="1:25">
      <c r="A818" s="142"/>
      <c r="B818" s="78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</row>
    <row r="819" spans="1:25">
      <c r="A819" s="142"/>
      <c r="B819" s="78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</row>
    <row r="820" spans="1:25">
      <c r="A820" s="142"/>
      <c r="B820" s="78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</row>
    <row r="821" spans="1:25">
      <c r="A821" s="142"/>
      <c r="B821" s="78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</row>
    <row r="822" spans="1:25">
      <c r="A822" s="142"/>
      <c r="B822" s="78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</row>
    <row r="823" spans="1:25">
      <c r="A823" s="142"/>
      <c r="B823" s="78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</row>
    <row r="824" spans="1:25">
      <c r="A824" s="142"/>
      <c r="B824" s="78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</row>
    <row r="825" spans="1:25">
      <c r="A825" s="142"/>
      <c r="B825" s="78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</row>
    <row r="826" spans="1:25">
      <c r="A826" s="142"/>
      <c r="B826" s="78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</row>
    <row r="827" spans="1:25">
      <c r="A827" s="142"/>
      <c r="B827" s="78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</row>
    <row r="828" spans="1:25">
      <c r="A828" s="142"/>
      <c r="B828" s="78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</row>
    <row r="829" spans="1:25">
      <c r="A829" s="142"/>
      <c r="B829" s="78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</row>
    <row r="830" spans="1:25">
      <c r="A830" s="142"/>
      <c r="B830" s="78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</row>
    <row r="831" spans="1:25">
      <c r="A831" s="142"/>
      <c r="B831" s="78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</row>
    <row r="832" spans="1:25">
      <c r="A832" s="142"/>
      <c r="B832" s="78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</row>
    <row r="833" spans="1:25">
      <c r="A833" s="142"/>
      <c r="B833" s="78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</row>
    <row r="834" spans="1:25">
      <c r="A834" s="142"/>
      <c r="B834" s="78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</row>
    <row r="835" spans="1:25">
      <c r="A835" s="142"/>
      <c r="B835" s="78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</row>
    <row r="836" spans="1:25">
      <c r="A836" s="142"/>
      <c r="B836" s="78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</row>
    <row r="837" spans="1:25">
      <c r="A837" s="142"/>
      <c r="B837" s="78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</row>
    <row r="838" spans="1:25">
      <c r="A838" s="142"/>
      <c r="B838" s="78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</row>
    <row r="839" spans="1:25">
      <c r="A839" s="142"/>
      <c r="B839" s="78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</row>
    <row r="840" spans="1:25">
      <c r="A840" s="142"/>
      <c r="B840" s="78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</row>
    <row r="841" spans="1:25">
      <c r="A841" s="142"/>
      <c r="B841" s="78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</row>
    <row r="842" spans="1:25">
      <c r="A842" s="142"/>
      <c r="B842" s="78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</row>
    <row r="843" spans="1:25">
      <c r="A843" s="142"/>
      <c r="B843" s="78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</row>
    <row r="844" spans="1:25">
      <c r="A844" s="142"/>
      <c r="B844" s="78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</row>
    <row r="845" spans="1:25">
      <c r="A845" s="142"/>
      <c r="B845" s="78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</row>
    <row r="846" spans="1:25">
      <c r="A846" s="142"/>
      <c r="B846" s="78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</row>
    <row r="847" spans="1:25">
      <c r="A847" s="142"/>
      <c r="B847" s="78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</row>
    <row r="848" spans="1:25">
      <c r="A848" s="142"/>
      <c r="B848" s="78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</row>
    <row r="849" spans="1:25">
      <c r="A849" s="142"/>
      <c r="B849" s="78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</row>
    <row r="850" spans="1:25">
      <c r="A850" s="142"/>
      <c r="B850" s="78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</row>
    <row r="851" spans="1:25">
      <c r="A851" s="142"/>
      <c r="B851" s="78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</row>
    <row r="852" spans="1:25">
      <c r="A852" s="142"/>
      <c r="B852" s="78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</row>
    <row r="853" spans="1:25">
      <c r="A853" s="142"/>
      <c r="B853" s="78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</row>
    <row r="854" spans="1:25">
      <c r="A854" s="142"/>
      <c r="B854" s="78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</row>
    <row r="855" spans="1:25">
      <c r="A855" s="142"/>
      <c r="B855" s="78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</row>
    <row r="856" spans="1:25">
      <c r="A856" s="142"/>
      <c r="B856" s="78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</row>
    <row r="857" spans="1:25">
      <c r="A857" s="142"/>
      <c r="B857" s="78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</row>
    <row r="858" spans="1:25">
      <c r="A858" s="142"/>
      <c r="B858" s="78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</row>
    <row r="859" spans="1:25">
      <c r="A859" s="142"/>
      <c r="B859" s="78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</row>
    <row r="860" spans="1:25">
      <c r="A860" s="142"/>
      <c r="B860" s="78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</row>
    <row r="861" spans="1:25">
      <c r="A861" s="142"/>
      <c r="B861" s="78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</row>
    <row r="862" spans="1:25">
      <c r="A862" s="142"/>
      <c r="B862" s="78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</row>
    <row r="863" spans="1:25">
      <c r="A863" s="142"/>
      <c r="B863" s="78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</row>
    <row r="864" spans="1:25">
      <c r="A864" s="142"/>
      <c r="B864" s="78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</row>
    <row r="865" spans="1:25">
      <c r="A865" s="142"/>
      <c r="B865" s="78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</row>
    <row r="866" spans="1:25">
      <c r="A866" s="142"/>
      <c r="B866" s="78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</row>
    <row r="867" spans="1:25">
      <c r="A867" s="142"/>
      <c r="B867" s="78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</row>
    <row r="868" spans="1:25">
      <c r="A868" s="142"/>
      <c r="B868" s="78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</row>
    <row r="869" spans="1:25">
      <c r="A869" s="142"/>
      <c r="B869" s="78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</row>
    <row r="870" spans="1:25">
      <c r="A870" s="142"/>
      <c r="B870" s="78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</row>
    <row r="871" spans="1:25">
      <c r="A871" s="142"/>
      <c r="B871" s="78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</row>
    <row r="872" spans="1:25">
      <c r="A872" s="142"/>
      <c r="B872" s="78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</row>
    <row r="873" spans="1:25">
      <c r="A873" s="142"/>
      <c r="B873" s="78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</row>
    <row r="874" spans="1:25">
      <c r="A874" s="142"/>
      <c r="B874" s="78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</row>
    <row r="875" spans="1:25">
      <c r="A875" s="142"/>
      <c r="B875" s="78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</row>
    <row r="876" spans="1:25">
      <c r="A876" s="142"/>
      <c r="B876" s="78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</row>
    <row r="877" spans="1:25">
      <c r="A877" s="142"/>
      <c r="B877" s="78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</row>
    <row r="878" spans="1:25">
      <c r="A878" s="142"/>
      <c r="B878" s="78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</row>
    <row r="879" spans="1:25">
      <c r="A879" s="142"/>
      <c r="B879" s="78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</row>
    <row r="880" spans="1:25">
      <c r="A880" s="142"/>
      <c r="B880" s="78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</row>
    <row r="881" spans="1:25">
      <c r="A881" s="142"/>
      <c r="B881" s="78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</row>
    <row r="882" spans="1:25">
      <c r="A882" s="142"/>
      <c r="B882" s="78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</row>
    <row r="883" spans="1:25">
      <c r="A883" s="142"/>
      <c r="B883" s="78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</row>
    <row r="884" spans="1:25">
      <c r="A884" s="142"/>
      <c r="B884" s="78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</row>
    <row r="885" spans="1:25">
      <c r="A885" s="142"/>
      <c r="B885" s="78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</row>
    <row r="886" spans="1:25">
      <c r="A886" s="142"/>
      <c r="B886" s="78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</row>
    <row r="887" spans="1:25">
      <c r="A887" s="142"/>
      <c r="B887" s="78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</row>
    <row r="888" spans="1:25">
      <c r="A888" s="142"/>
      <c r="B888" s="78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</row>
    <row r="889" spans="1:25">
      <c r="A889" s="142"/>
      <c r="B889" s="78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</row>
    <row r="890" spans="1:25">
      <c r="A890" s="142"/>
      <c r="B890" s="78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</row>
    <row r="891" spans="1:25">
      <c r="A891" s="142"/>
      <c r="B891" s="78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</row>
    <row r="892" spans="1:25">
      <c r="A892" s="142"/>
      <c r="B892" s="78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</row>
    <row r="893" spans="1:25">
      <c r="A893" s="142"/>
      <c r="B893" s="78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</row>
    <row r="894" spans="1:25">
      <c r="A894" s="142"/>
      <c r="B894" s="78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</row>
    <row r="895" spans="1:25">
      <c r="A895" s="142"/>
      <c r="B895" s="78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</row>
    <row r="896" spans="1:25">
      <c r="A896" s="142"/>
      <c r="B896" s="78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</row>
    <row r="897" spans="1:25">
      <c r="A897" s="142"/>
      <c r="B897" s="78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</row>
    <row r="898" spans="1:25">
      <c r="A898" s="142"/>
      <c r="B898" s="78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</row>
    <row r="899" spans="1:25">
      <c r="A899" s="142"/>
      <c r="B899" s="78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</row>
    <row r="900" spans="1:25">
      <c r="A900" s="142"/>
      <c r="B900" s="78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</row>
    <row r="901" spans="1:25">
      <c r="A901" s="142"/>
      <c r="B901" s="78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</row>
    <row r="902" spans="1:25">
      <c r="A902" s="142"/>
      <c r="B902" s="78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</row>
    <row r="903" spans="1:25">
      <c r="A903" s="142"/>
      <c r="B903" s="78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</row>
    <row r="904" spans="1:25">
      <c r="A904" s="142"/>
      <c r="B904" s="78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</row>
    <row r="905" spans="1:25">
      <c r="A905" s="142"/>
      <c r="B905" s="78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</row>
    <row r="906" spans="1:25">
      <c r="A906" s="142"/>
      <c r="B906" s="78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</row>
    <row r="907" spans="1:25">
      <c r="A907" s="142"/>
      <c r="B907" s="78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</row>
    <row r="908" spans="1:25">
      <c r="A908" s="142"/>
      <c r="B908" s="78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</row>
    <row r="909" spans="1:25">
      <c r="A909" s="142"/>
      <c r="B909" s="78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</row>
    <row r="910" spans="1:25">
      <c r="A910" s="142"/>
      <c r="B910" s="78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</row>
    <row r="911" spans="1:25">
      <c r="A911" s="142"/>
      <c r="B911" s="78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</row>
    <row r="912" spans="1:25">
      <c r="A912" s="142"/>
      <c r="B912" s="78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</row>
    <row r="913" spans="1:25">
      <c r="A913" s="142"/>
      <c r="B913" s="78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</row>
    <row r="914" spans="1:25">
      <c r="A914" s="142"/>
      <c r="B914" s="78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</row>
    <row r="915" spans="1:25">
      <c r="A915" s="142"/>
      <c r="B915" s="78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</row>
    <row r="916" spans="1:25">
      <c r="A916" s="142"/>
      <c r="B916" s="78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</row>
    <row r="917" spans="1:25">
      <c r="A917" s="142"/>
      <c r="B917" s="78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</row>
    <row r="918" spans="1:25">
      <c r="A918" s="142"/>
      <c r="B918" s="78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</row>
    <row r="919" spans="1:25">
      <c r="A919" s="142"/>
      <c r="B919" s="78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</row>
    <row r="920" spans="1:25">
      <c r="A920" s="142"/>
      <c r="B920" s="78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</row>
    <row r="921" spans="1:25">
      <c r="A921" s="142"/>
      <c r="B921" s="78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</row>
    <row r="922" spans="1:25">
      <c r="A922" s="142"/>
      <c r="B922" s="78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</row>
    <row r="923" spans="1:25">
      <c r="A923" s="142"/>
      <c r="B923" s="78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</row>
    <row r="924" spans="1:25">
      <c r="A924" s="142"/>
      <c r="B924" s="78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</row>
    <row r="925" spans="1:25">
      <c r="A925" s="142"/>
      <c r="B925" s="78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</row>
    <row r="926" spans="1:25">
      <c r="A926" s="142"/>
      <c r="B926" s="78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</row>
    <row r="927" spans="1:25">
      <c r="A927" s="142"/>
      <c r="B927" s="78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</row>
    <row r="928" spans="1:25">
      <c r="A928" s="142"/>
      <c r="B928" s="78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</row>
    <row r="929" spans="1:25">
      <c r="A929" s="142"/>
      <c r="B929" s="78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</row>
    <row r="930" spans="1:25">
      <c r="A930" s="142"/>
      <c r="B930" s="78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</row>
    <row r="931" spans="1:25">
      <c r="A931" s="142"/>
      <c r="B931" s="78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</row>
    <row r="932" spans="1:25">
      <c r="A932" s="142"/>
      <c r="B932" s="78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</row>
    <row r="933" spans="1:25">
      <c r="A933" s="142"/>
      <c r="B933" s="78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</row>
    <row r="934" spans="1:25">
      <c r="A934" s="142"/>
      <c r="B934" s="78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</row>
    <row r="935" spans="1:25">
      <c r="A935" s="142"/>
      <c r="B935" s="78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</row>
    <row r="936" spans="1:25">
      <c r="A936" s="142"/>
      <c r="B936" s="78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</row>
    <row r="937" spans="1:25">
      <c r="A937" s="142"/>
      <c r="B937" s="78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</row>
    <row r="938" spans="1:25">
      <c r="A938" s="142"/>
      <c r="B938" s="78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</row>
    <row r="939" spans="1:25">
      <c r="A939" s="142"/>
      <c r="B939" s="78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</row>
    <row r="940" spans="1:25">
      <c r="A940" s="142"/>
      <c r="B940" s="78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</row>
    <row r="941" spans="1:25">
      <c r="A941" s="142"/>
      <c r="B941" s="78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</row>
    <row r="942" spans="1:25">
      <c r="A942" s="142"/>
      <c r="B942" s="78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</row>
    <row r="943" spans="1:25">
      <c r="A943" s="142"/>
      <c r="B943" s="78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</row>
    <row r="944" spans="1:25">
      <c r="A944" s="142"/>
      <c r="B944" s="78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</row>
    <row r="945" spans="1:25">
      <c r="A945" s="142"/>
      <c r="B945" s="78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</row>
    <row r="946" spans="1:25">
      <c r="A946" s="142"/>
      <c r="B946" s="78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</row>
    <row r="947" spans="1:25">
      <c r="A947" s="142"/>
      <c r="B947" s="78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</row>
    <row r="948" spans="1:25">
      <c r="A948" s="142"/>
      <c r="B948" s="78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</row>
    <row r="949" spans="1:25">
      <c r="A949" s="142"/>
      <c r="B949" s="78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</row>
    <row r="950" spans="1:25">
      <c r="A950" s="142"/>
      <c r="B950" s="78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</row>
    <row r="951" spans="1:25">
      <c r="A951" s="142"/>
      <c r="B951" s="78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</row>
    <row r="952" spans="1:25">
      <c r="A952" s="142"/>
      <c r="B952" s="78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</row>
    <row r="953" spans="1:25">
      <c r="A953" s="142"/>
      <c r="B953" s="78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</row>
    <row r="954" spans="1:25">
      <c r="A954" s="142"/>
      <c r="B954" s="78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</row>
    <row r="955" spans="1:25">
      <c r="A955" s="142"/>
      <c r="B955" s="78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</row>
    <row r="956" spans="1:25">
      <c r="A956" s="142"/>
      <c r="B956" s="78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</row>
    <row r="957" spans="1:25">
      <c r="A957" s="142"/>
      <c r="B957" s="78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</row>
    <row r="958" spans="1:25">
      <c r="A958" s="142"/>
      <c r="B958" s="78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</row>
    <row r="959" spans="1:25">
      <c r="A959" s="142"/>
      <c r="B959" s="78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</row>
    <row r="960" spans="1:25">
      <c r="A960" s="142"/>
      <c r="B960" s="78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</row>
    <row r="961" spans="1:25">
      <c r="A961" s="142"/>
      <c r="B961" s="78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</row>
    <row r="962" spans="1:25">
      <c r="A962" s="142"/>
      <c r="B962" s="78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</row>
    <row r="963" spans="1:25">
      <c r="A963" s="142"/>
      <c r="B963" s="78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</row>
    <row r="964" spans="1:25">
      <c r="A964" s="142"/>
      <c r="B964" s="78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</row>
    <row r="965" spans="1:25">
      <c r="A965" s="142"/>
      <c r="B965" s="78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</row>
    <row r="966" spans="1:25">
      <c r="A966" s="142"/>
      <c r="B966" s="78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</row>
    <row r="967" spans="1:25">
      <c r="A967" s="142"/>
      <c r="B967" s="78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</row>
    <row r="968" spans="1:25">
      <c r="A968" s="142"/>
      <c r="B968" s="78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</row>
    <row r="969" spans="1:25">
      <c r="A969" s="142"/>
      <c r="B969" s="78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</row>
    <row r="970" spans="1:25">
      <c r="A970" s="142"/>
      <c r="B970" s="78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</row>
    <row r="971" spans="1:25">
      <c r="A971" s="142"/>
      <c r="B971" s="78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</row>
    <row r="972" spans="1:25">
      <c r="A972" s="142"/>
      <c r="B972" s="78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</row>
    <row r="973" spans="1:25">
      <c r="A973" s="142"/>
      <c r="B973" s="78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</row>
    <row r="974" spans="1:25">
      <c r="A974" s="142"/>
      <c r="B974" s="78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</row>
    <row r="975" spans="1:25">
      <c r="A975" s="142"/>
      <c r="B975" s="78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</row>
    <row r="976" spans="1:25">
      <c r="A976" s="142"/>
      <c r="B976" s="78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</row>
    <row r="977" spans="1:25">
      <c r="A977" s="142"/>
      <c r="B977" s="78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</row>
    <row r="978" spans="1:25">
      <c r="A978" s="142"/>
      <c r="B978" s="78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</row>
    <row r="979" spans="1:25">
      <c r="A979" s="142"/>
      <c r="B979" s="78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</row>
    <row r="980" spans="1:25">
      <c r="A980" s="142"/>
      <c r="B980" s="78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</row>
    <row r="981" spans="1:25">
      <c r="A981" s="142"/>
      <c r="B981" s="78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</row>
    <row r="982" spans="1:25">
      <c r="A982" s="142"/>
      <c r="B982" s="78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</row>
    <row r="983" spans="1:25">
      <c r="A983" s="142"/>
      <c r="B983" s="78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</row>
    <row r="984" spans="1:25">
      <c r="A984" s="142"/>
      <c r="B984" s="78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</row>
    <row r="985" spans="1:25">
      <c r="A985" s="142"/>
      <c r="B985" s="78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</row>
    <row r="986" spans="1:25">
      <c r="A986" s="142"/>
      <c r="B986" s="78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</row>
    <row r="987" spans="1:25">
      <c r="A987" s="142"/>
      <c r="B987" s="78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</row>
    <row r="988" spans="1:25">
      <c r="A988" s="142"/>
      <c r="B988" s="78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</row>
    <row r="989" spans="1:25">
      <c r="A989" s="142"/>
      <c r="B989" s="78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</row>
    <row r="990" spans="1:25">
      <c r="A990" s="142"/>
      <c r="B990" s="78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</row>
    <row r="991" spans="1:25">
      <c r="A991" s="142"/>
      <c r="B991" s="78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</row>
    <row r="992" spans="1:25">
      <c r="A992" s="142"/>
      <c r="B992" s="78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</row>
    <row r="993" spans="1:25">
      <c r="A993" s="142"/>
      <c r="B993" s="78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</row>
    <row r="994" spans="1:25">
      <c r="A994" s="142"/>
      <c r="B994" s="78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</row>
    <row r="995" spans="1:25">
      <c r="A995" s="142"/>
      <c r="B995" s="78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</row>
    <row r="996" spans="1:25">
      <c r="A996" s="142"/>
      <c r="B996" s="78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</row>
    <row r="997" spans="1:25">
      <c r="A997" s="142"/>
      <c r="B997" s="78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</row>
    <row r="998" spans="1:25">
      <c r="A998" s="142"/>
      <c r="B998" s="78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</row>
    <row r="999" spans="1:25">
      <c r="A999" s="142"/>
      <c r="B999" s="78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</row>
    <row r="1000" spans="1:25">
      <c r="A1000" s="142"/>
      <c r="B1000" s="78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</row>
    <row r="1001" spans="1:25">
      <c r="A1001" s="142"/>
      <c r="B1001" s="784"/>
      <c r="C1001" s="134"/>
      <c r="D1001" s="134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</row>
  </sheetData>
  <sheetProtection password="CA9F" sheet="1"/>
  <mergeCells count="12">
    <mergeCell ref="D1:H3"/>
    <mergeCell ref="A5:H5"/>
    <mergeCell ref="A7:C7"/>
    <mergeCell ref="F7:H7"/>
    <mergeCell ref="D36:E36"/>
    <mergeCell ref="D37:E37"/>
    <mergeCell ref="D38:E38"/>
    <mergeCell ref="D39:E39"/>
    <mergeCell ref="D40:E40"/>
    <mergeCell ref="A30:C30"/>
    <mergeCell ref="A11:A28"/>
    <mergeCell ref="B9:C9"/>
  </mergeCells>
  <dataValidations count="2">
    <dataValidation type="decimal" allowBlank="1" showInputMessage="1" showErrorMessage="1" sqref="H11:H30 E30:G30">
      <formula1>0</formula1>
      <formula2>1E+33</formula2>
    </dataValidation>
    <dataValidation type="decimal" allowBlank="1" showInputMessage="1" showErrorMessage="1" sqref="E11:G29">
      <formula1>0</formula1>
      <formula2>1.11111111111111E+34</formula2>
    </dataValidation>
  </dataValidations>
  <pageMargins left="0.7" right="0.7" top="0.75" bottom="0.75" header="0.3" footer="0.3"/>
  <pageSetup scale="87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Y1003"/>
  <sheetViews>
    <sheetView topLeftCell="A4" workbookViewId="0">
      <selection activeCell="H33" sqref="H33"/>
    </sheetView>
  </sheetViews>
  <sheetFormatPr defaultColWidth="15.1796875" defaultRowHeight="10.5"/>
  <cols>
    <col min="1" max="1" width="6.54296875" style="135" customWidth="1"/>
    <col min="2" max="2" width="5.453125" style="135" customWidth="1"/>
    <col min="3" max="3" width="25.26953125" style="153" customWidth="1"/>
    <col min="4" max="4" width="6.453125" style="135" customWidth="1"/>
    <col min="5" max="8" width="14.81640625" style="135" customWidth="1"/>
    <col min="9" max="25" width="7.453125" style="135" customWidth="1"/>
    <col min="26" max="16384" width="15.1796875" style="135"/>
  </cols>
  <sheetData>
    <row r="1" spans="1:25">
      <c r="A1" s="133"/>
      <c r="B1" s="134"/>
      <c r="C1" s="137"/>
      <c r="D1" s="1059" t="s">
        <v>1005</v>
      </c>
      <c r="E1" s="1059"/>
      <c r="F1" s="1059"/>
      <c r="G1" s="1059"/>
      <c r="H1" s="1059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</row>
    <row r="2" spans="1:25">
      <c r="A2" s="133"/>
      <c r="B2" s="134"/>
      <c r="C2" s="137"/>
      <c r="D2" s="1059"/>
      <c r="E2" s="1059"/>
      <c r="F2" s="1059"/>
      <c r="G2" s="1059"/>
      <c r="H2" s="1059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>
      <c r="A3" s="133"/>
      <c r="B3" s="134"/>
      <c r="C3" s="137"/>
      <c r="D3" s="1059"/>
      <c r="E3" s="1059"/>
      <c r="F3" s="1059"/>
      <c r="G3" s="1059"/>
      <c r="H3" s="1059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4" spans="1:25">
      <c r="A4" s="133"/>
      <c r="B4" s="134"/>
      <c r="C4" s="137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25.5" customHeight="1">
      <c r="A5" s="1099" t="s">
        <v>662</v>
      </c>
      <c r="B5" s="1100"/>
      <c r="C5" s="1100"/>
      <c r="D5" s="1100"/>
      <c r="E5" s="1100"/>
      <c r="F5" s="1100"/>
      <c r="G5" s="1100"/>
      <c r="H5" s="1100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>
      <c r="A6" s="133"/>
      <c r="B6" s="134"/>
      <c r="C6" s="137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</row>
    <row r="7" spans="1:25">
      <c r="A7" s="1068" t="str">
        <f>+i.04108!A7</f>
        <v>Даатгагчийн нэр:</v>
      </c>
      <c r="B7" s="1111"/>
      <c r="C7" s="1111"/>
      <c r="D7" s="243"/>
      <c r="E7" s="230"/>
      <c r="F7" s="1110" t="str">
        <f>+i.04108!F7</f>
        <v>..... оны .... сарын ...-ны өдөр</v>
      </c>
      <c r="G7" s="1110"/>
      <c r="H7" s="1110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>
      <c r="A8" s="141"/>
      <c r="B8" s="134"/>
      <c r="C8" s="137"/>
      <c r="D8" s="134"/>
      <c r="E8" s="142"/>
      <c r="F8" s="134"/>
      <c r="G8" s="154"/>
      <c r="H8" s="143" t="s">
        <v>1</v>
      </c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ht="21">
      <c r="A9" s="132" t="s">
        <v>661</v>
      </c>
      <c r="B9" s="1108" t="s">
        <v>642</v>
      </c>
      <c r="C9" s="1112"/>
      <c r="D9" s="130" t="s">
        <v>4</v>
      </c>
      <c r="E9" s="130" t="s">
        <v>631</v>
      </c>
      <c r="F9" s="130" t="s">
        <v>632</v>
      </c>
      <c r="G9" s="130" t="s">
        <v>633</v>
      </c>
      <c r="H9" s="130" t="s">
        <v>634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s="156" customFormat="1">
      <c r="A10" s="155" t="s">
        <v>6</v>
      </c>
      <c r="B10" s="146" t="s">
        <v>7</v>
      </c>
      <c r="C10" s="146" t="s">
        <v>8</v>
      </c>
      <c r="D10" s="164" t="s">
        <v>9</v>
      </c>
      <c r="E10" s="131">
        <v>1</v>
      </c>
      <c r="F10" s="131">
        <v>2</v>
      </c>
      <c r="G10" s="131">
        <v>3</v>
      </c>
      <c r="H10" s="131">
        <v>4</v>
      </c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</row>
    <row r="11" spans="1:25">
      <c r="A11" s="1107" t="s">
        <v>635</v>
      </c>
      <c r="B11" s="778" t="s">
        <v>11</v>
      </c>
      <c r="C11" s="157" t="s">
        <v>643</v>
      </c>
      <c r="D11" s="158">
        <v>1</v>
      </c>
      <c r="E11" s="215"/>
      <c r="F11" s="215"/>
      <c r="G11" s="215"/>
      <c r="H11" s="217">
        <f>E11+F11-G11</f>
        <v>0</v>
      </c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>
      <c r="A12" s="1096"/>
      <c r="B12" s="785">
        <f t="shared" ref="B12:B19" si="0">+B11+0.1</f>
        <v>1.2000000000000002</v>
      </c>
      <c r="C12" s="157" t="s">
        <v>962</v>
      </c>
      <c r="D12" s="158">
        <f>+D11+1</f>
        <v>2</v>
      </c>
      <c r="E12" s="215"/>
      <c r="F12" s="215"/>
      <c r="G12" s="215"/>
      <c r="H12" s="217">
        <f>E12+F12-G12</f>
        <v>0</v>
      </c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>
      <c r="A13" s="1096"/>
      <c r="B13" s="785">
        <f t="shared" si="0"/>
        <v>1.3000000000000003</v>
      </c>
      <c r="C13" s="157" t="s">
        <v>644</v>
      </c>
      <c r="D13" s="158">
        <f>+D12+1</f>
        <v>3</v>
      </c>
      <c r="E13" s="215"/>
      <c r="F13" s="215"/>
      <c r="G13" s="215"/>
      <c r="H13" s="217">
        <f>E13+F13-G13</f>
        <v>0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>
      <c r="A14" s="1096"/>
      <c r="B14" s="785">
        <f t="shared" si="0"/>
        <v>1.4000000000000004</v>
      </c>
      <c r="C14" s="157" t="s">
        <v>962</v>
      </c>
      <c r="D14" s="158">
        <f>+D13+1</f>
        <v>4</v>
      </c>
      <c r="E14" s="215"/>
      <c r="F14" s="215"/>
      <c r="G14" s="215"/>
      <c r="H14" s="217">
        <f>E14+F14-G14</f>
        <v>0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ht="12" customHeight="1">
      <c r="A15" s="1096"/>
      <c r="B15" s="785">
        <f t="shared" si="0"/>
        <v>1.5000000000000004</v>
      </c>
      <c r="C15" s="157" t="s">
        <v>645</v>
      </c>
      <c r="D15" s="158">
        <f t="shared" ref="D15:D29" si="1">+D14+1</f>
        <v>5</v>
      </c>
      <c r="E15" s="215"/>
      <c r="F15" s="215"/>
      <c r="G15" s="215"/>
      <c r="H15" s="217">
        <f t="shared" ref="H15:H29" si="2">E15+F15-G15</f>
        <v>0</v>
      </c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>
      <c r="A16" s="1096"/>
      <c r="B16" s="785">
        <f t="shared" si="0"/>
        <v>1.6000000000000005</v>
      </c>
      <c r="C16" s="157" t="s">
        <v>646</v>
      </c>
      <c r="D16" s="158">
        <f t="shared" si="1"/>
        <v>6</v>
      </c>
      <c r="E16" s="215"/>
      <c r="F16" s="215"/>
      <c r="G16" s="215"/>
      <c r="H16" s="217">
        <f t="shared" si="2"/>
        <v>0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>
      <c r="A17" s="1096"/>
      <c r="B17" s="785">
        <f t="shared" si="0"/>
        <v>1.7000000000000006</v>
      </c>
      <c r="C17" s="157" t="s">
        <v>647</v>
      </c>
      <c r="D17" s="158">
        <f t="shared" si="1"/>
        <v>7</v>
      </c>
      <c r="E17" s="215"/>
      <c r="F17" s="215"/>
      <c r="G17" s="215"/>
      <c r="H17" s="217">
        <f t="shared" si="2"/>
        <v>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>
      <c r="A18" s="1096"/>
      <c r="B18" s="785">
        <f t="shared" si="0"/>
        <v>1.8000000000000007</v>
      </c>
      <c r="C18" s="157" t="s">
        <v>648</v>
      </c>
      <c r="D18" s="158">
        <f t="shared" si="1"/>
        <v>8</v>
      </c>
      <c r="E18" s="215"/>
      <c r="F18" s="215"/>
      <c r="G18" s="215"/>
      <c r="H18" s="217">
        <f t="shared" si="2"/>
        <v>0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>
      <c r="A19" s="1096"/>
      <c r="B19" s="785">
        <f t="shared" si="0"/>
        <v>1.9000000000000008</v>
      </c>
      <c r="C19" s="157" t="s">
        <v>649</v>
      </c>
      <c r="D19" s="158">
        <f t="shared" si="1"/>
        <v>9</v>
      </c>
      <c r="E19" s="215"/>
      <c r="F19" s="215"/>
      <c r="G19" s="215"/>
      <c r="H19" s="217">
        <f t="shared" si="2"/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>
      <c r="A20" s="1096"/>
      <c r="B20" s="778">
        <v>1.1000000000000001</v>
      </c>
      <c r="C20" s="157" t="s">
        <v>650</v>
      </c>
      <c r="D20" s="158">
        <f t="shared" si="1"/>
        <v>10</v>
      </c>
      <c r="E20" s="215"/>
      <c r="F20" s="215"/>
      <c r="G20" s="215"/>
      <c r="H20" s="217">
        <f t="shared" si="2"/>
        <v>0</v>
      </c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ht="21.75" customHeight="1">
      <c r="A21" s="1096"/>
      <c r="B21" s="778">
        <f>+B20+0.01</f>
        <v>1.1100000000000001</v>
      </c>
      <c r="C21" s="157" t="s">
        <v>913</v>
      </c>
      <c r="D21" s="158">
        <f t="shared" si="1"/>
        <v>11</v>
      </c>
      <c r="E21" s="215"/>
      <c r="F21" s="215"/>
      <c r="G21" s="215"/>
      <c r="H21" s="217">
        <f t="shared" si="2"/>
        <v>0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>
      <c r="A22" s="1096"/>
      <c r="B22" s="778">
        <f t="shared" ref="B22:B29" si="3">+B21+0.01</f>
        <v>1.1200000000000001</v>
      </c>
      <c r="C22" s="157" t="s">
        <v>652</v>
      </c>
      <c r="D22" s="158">
        <f t="shared" si="1"/>
        <v>12</v>
      </c>
      <c r="E22" s="215"/>
      <c r="F22" s="215"/>
      <c r="G22" s="215"/>
      <c r="H22" s="217">
        <f t="shared" si="2"/>
        <v>0</v>
      </c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>
      <c r="A23" s="1096"/>
      <c r="B23" s="778">
        <f t="shared" si="3"/>
        <v>1.1300000000000001</v>
      </c>
      <c r="C23" s="157" t="s">
        <v>653</v>
      </c>
      <c r="D23" s="158">
        <f t="shared" si="1"/>
        <v>13</v>
      </c>
      <c r="E23" s="215"/>
      <c r="F23" s="215"/>
      <c r="G23" s="215"/>
      <c r="H23" s="217">
        <f t="shared" si="2"/>
        <v>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>
      <c r="A24" s="1096"/>
      <c r="B24" s="778">
        <f t="shared" si="3"/>
        <v>1.1400000000000001</v>
      </c>
      <c r="C24" s="157" t="s">
        <v>654</v>
      </c>
      <c r="D24" s="158">
        <f t="shared" si="1"/>
        <v>14</v>
      </c>
      <c r="E24" s="215"/>
      <c r="F24" s="215"/>
      <c r="G24" s="215"/>
      <c r="H24" s="217">
        <f t="shared" si="2"/>
        <v>0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>
      <c r="A25" s="1096"/>
      <c r="B25" s="778">
        <f t="shared" si="3"/>
        <v>1.1500000000000001</v>
      </c>
      <c r="C25" s="157" t="s">
        <v>655</v>
      </c>
      <c r="D25" s="158">
        <f t="shared" si="1"/>
        <v>15</v>
      </c>
      <c r="E25" s="215"/>
      <c r="F25" s="215"/>
      <c r="G25" s="215"/>
      <c r="H25" s="217">
        <f t="shared" si="2"/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ht="21">
      <c r="A26" s="1096"/>
      <c r="B26" s="778">
        <f t="shared" si="3"/>
        <v>1.1600000000000001</v>
      </c>
      <c r="C26" s="157" t="s">
        <v>656</v>
      </c>
      <c r="D26" s="158">
        <f t="shared" si="1"/>
        <v>16</v>
      </c>
      <c r="E26" s="215"/>
      <c r="F26" s="215"/>
      <c r="G26" s="215"/>
      <c r="H26" s="217">
        <f t="shared" si="2"/>
        <v>0</v>
      </c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ht="42">
      <c r="A27" s="1096"/>
      <c r="B27" s="778">
        <f t="shared" si="3"/>
        <v>1.1700000000000002</v>
      </c>
      <c r="C27" s="159" t="s">
        <v>657</v>
      </c>
      <c r="D27" s="158">
        <f t="shared" si="1"/>
        <v>17</v>
      </c>
      <c r="E27" s="215"/>
      <c r="F27" s="215"/>
      <c r="G27" s="215"/>
      <c r="H27" s="217">
        <f t="shared" si="2"/>
        <v>0</v>
      </c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1:25" ht="31.5">
      <c r="A28" s="1096"/>
      <c r="B28" s="778">
        <f t="shared" si="3"/>
        <v>1.1800000000000002</v>
      </c>
      <c r="C28" s="157" t="s">
        <v>658</v>
      </c>
      <c r="D28" s="158">
        <f t="shared" si="1"/>
        <v>18</v>
      </c>
      <c r="E28" s="215"/>
      <c r="F28" s="215"/>
      <c r="G28" s="215"/>
      <c r="H28" s="217">
        <f t="shared" si="2"/>
        <v>0</v>
      </c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1:25" ht="31.5">
      <c r="A29" s="151" t="s">
        <v>639</v>
      </c>
      <c r="B29" s="778">
        <f t="shared" si="3"/>
        <v>1.1900000000000002</v>
      </c>
      <c r="C29" s="161" t="s">
        <v>659</v>
      </c>
      <c r="D29" s="158">
        <f t="shared" si="1"/>
        <v>19</v>
      </c>
      <c r="E29" s="215"/>
      <c r="F29" s="215"/>
      <c r="G29" s="215"/>
      <c r="H29" s="217">
        <f t="shared" si="2"/>
        <v>0</v>
      </c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1:25">
      <c r="A30" s="1094" t="s">
        <v>626</v>
      </c>
      <c r="B30" s="1095"/>
      <c r="C30" s="1106"/>
      <c r="D30" s="162">
        <f>+D29+1</f>
        <v>20</v>
      </c>
      <c r="E30" s="228">
        <f>SUM(E11:E29)-E12-E14</f>
        <v>0</v>
      </c>
      <c r="F30" s="228">
        <f>SUM(F11:F29)-F12-F14</f>
        <v>0</v>
      </c>
      <c r="G30" s="228">
        <f>SUM(G11:G29)-G12-G14</f>
        <v>0</v>
      </c>
      <c r="H30" s="217">
        <f>E30+F30-G30</f>
        <v>0</v>
      </c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</row>
    <row r="31" spans="1:25" ht="18" customHeight="1">
      <c r="A31" s="248"/>
      <c r="B31" s="230"/>
      <c r="C31" s="254"/>
      <c r="D31" s="230"/>
      <c r="E31" s="1013"/>
      <c r="F31" s="1013"/>
      <c r="G31" s="1013"/>
      <c r="H31" s="1013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</row>
    <row r="32" spans="1:25" s="163" customFormat="1" ht="13">
      <c r="A32" s="225"/>
      <c r="B32" s="225"/>
      <c r="C32" s="49" t="s">
        <v>910</v>
      </c>
      <c r="D32" s="225"/>
      <c r="E32" s="225"/>
      <c r="F32" s="225"/>
      <c r="G32" s="244"/>
      <c r="H32" s="245"/>
    </row>
    <row r="33" spans="1:25" s="163" customFormat="1" ht="16.5" customHeight="1">
      <c r="A33" s="225"/>
      <c r="B33" s="225"/>
      <c r="C33" s="49"/>
      <c r="D33" s="225"/>
      <c r="E33" s="225"/>
      <c r="F33" s="225"/>
      <c r="G33" s="245"/>
      <c r="H33" s="245"/>
    </row>
    <row r="34" spans="1:25" s="163" customFormat="1" ht="13">
      <c r="A34" s="224"/>
      <c r="B34" s="224"/>
      <c r="C34" s="224" t="str">
        <f>+i.04109!C34</f>
        <v xml:space="preserve">ТАЙЛАН ГАРГАСАН:    </v>
      </c>
      <c r="D34" s="224"/>
      <c r="E34" s="224"/>
      <c r="F34" s="224"/>
      <c r="G34" s="246"/>
      <c r="H34" s="245"/>
    </row>
    <row r="35" spans="1:25" s="163" customFormat="1" ht="13">
      <c r="A35" s="224"/>
      <c r="B35" s="224"/>
      <c r="C35" s="224"/>
      <c r="D35" s="224"/>
      <c r="E35" s="224"/>
      <c r="F35" s="224"/>
      <c r="G35" s="246"/>
      <c r="H35" s="245"/>
    </row>
    <row r="36" spans="1:25" ht="13">
      <c r="A36" s="225"/>
      <c r="B36" s="225"/>
      <c r="C36" s="225" t="str">
        <f>+i.04108!C36</f>
        <v xml:space="preserve"> Гүйцэтгэх захирал</v>
      </c>
      <c r="D36" s="225" t="str">
        <f>+i.04108!D36</f>
        <v xml:space="preserve">/................................../   </v>
      </c>
      <c r="E36" s="225"/>
      <c r="F36" s="225" t="str">
        <f>+i.04108!F36</f>
        <v>/................................./</v>
      </c>
      <c r="G36" s="225"/>
      <c r="H36" s="230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</row>
    <row r="37" spans="1:25" ht="13">
      <c r="A37" s="225"/>
      <c r="B37" s="225"/>
      <c r="C37" s="225"/>
      <c r="D37" s="225"/>
      <c r="E37" s="225"/>
      <c r="F37" s="225"/>
      <c r="G37" s="225"/>
      <c r="H37" s="230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</row>
    <row r="38" spans="1:25" ht="13">
      <c r="A38" s="255"/>
      <c r="B38" s="224"/>
      <c r="C38" s="225" t="str">
        <f>+i.04108!C38</f>
        <v xml:space="preserve"> Ерөнхий нягтлан бодогч  </v>
      </c>
      <c r="D38" s="225" t="str">
        <f>+i.04108!D38</f>
        <v xml:space="preserve">/.................................../   </v>
      </c>
      <c r="E38" s="225"/>
      <c r="F38" s="225" t="str">
        <f>+i.04108!F38</f>
        <v>/................................/</v>
      </c>
      <c r="G38" s="225"/>
      <c r="H38" s="230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</row>
    <row r="39" spans="1:25" ht="13">
      <c r="A39" s="231"/>
      <c r="B39" s="256"/>
      <c r="C39" s="225"/>
      <c r="D39" s="225"/>
      <c r="E39" s="225"/>
      <c r="F39" s="225"/>
      <c r="G39" s="225"/>
      <c r="H39" s="230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</row>
    <row r="40" spans="1:25" ht="13">
      <c r="A40" s="226"/>
      <c r="B40" s="242"/>
      <c r="C40" s="225" t="str">
        <f>+i.04108!C40</f>
        <v>...................................................</v>
      </c>
      <c r="D40" s="225" t="str">
        <f>+i.04108!D40</f>
        <v xml:space="preserve">/................................../   </v>
      </c>
      <c r="E40" s="225"/>
      <c r="F40" s="225" t="str">
        <f>+i.04108!F40</f>
        <v>/................................/</v>
      </c>
      <c r="G40" s="225"/>
      <c r="H40" s="230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</row>
    <row r="41" spans="1:25">
      <c r="A41" s="248"/>
      <c r="B41" s="230"/>
      <c r="C41" s="229"/>
      <c r="D41" s="230"/>
      <c r="E41" s="230"/>
      <c r="F41" s="230"/>
      <c r="G41" s="230"/>
      <c r="H41" s="230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</row>
    <row r="42" spans="1:25">
      <c r="A42" s="249"/>
      <c r="B42" s="230"/>
      <c r="C42" s="229"/>
      <c r="D42" s="230"/>
      <c r="E42" s="230"/>
      <c r="F42" s="230"/>
      <c r="G42" s="230"/>
      <c r="H42" s="230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</row>
    <row r="43" spans="1:25">
      <c r="A43" s="248"/>
      <c r="B43" s="230"/>
      <c r="C43" s="229"/>
      <c r="D43" s="230"/>
      <c r="E43" s="230"/>
      <c r="F43" s="230"/>
      <c r="G43" s="230"/>
      <c r="H43" s="230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</row>
    <row r="44" spans="1:25" ht="13">
      <c r="A44" s="248"/>
      <c r="B44" s="230"/>
      <c r="C44" s="229"/>
      <c r="D44" s="230"/>
      <c r="E44" s="230"/>
      <c r="F44" s="230"/>
      <c r="G44" s="244"/>
      <c r="H44" s="230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</row>
    <row r="45" spans="1:25">
      <c r="A45" s="248"/>
      <c r="B45" s="230"/>
      <c r="C45" s="229"/>
      <c r="D45" s="230"/>
      <c r="E45" s="230"/>
      <c r="F45" s="230"/>
      <c r="G45" s="230"/>
      <c r="H45" s="230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</row>
    <row r="46" spans="1:25">
      <c r="A46" s="248"/>
      <c r="B46" s="230"/>
      <c r="C46" s="229"/>
      <c r="D46" s="230"/>
      <c r="E46" s="230"/>
      <c r="F46" s="230"/>
      <c r="G46" s="230"/>
      <c r="H46" s="230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</row>
    <row r="47" spans="1:25">
      <c r="A47" s="248"/>
      <c r="B47" s="230"/>
      <c r="C47" s="229"/>
      <c r="D47" s="230"/>
      <c r="E47" s="230"/>
      <c r="F47" s="230"/>
      <c r="G47" s="230"/>
      <c r="H47" s="230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</row>
    <row r="48" spans="1:25">
      <c r="A48" s="248"/>
      <c r="B48" s="230"/>
      <c r="C48" s="229"/>
      <c r="D48" s="230"/>
      <c r="E48" s="230"/>
      <c r="F48" s="230"/>
      <c r="G48" s="230"/>
      <c r="H48" s="230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</row>
    <row r="49" spans="1:25">
      <c r="A49" s="248"/>
      <c r="B49" s="230"/>
      <c r="C49" s="229"/>
      <c r="D49" s="230"/>
      <c r="E49" s="230"/>
      <c r="F49" s="230"/>
      <c r="G49" s="230"/>
      <c r="H49" s="230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</row>
    <row r="50" spans="1:25">
      <c r="A50" s="248"/>
      <c r="B50" s="230"/>
      <c r="C50" s="229"/>
      <c r="D50" s="230"/>
      <c r="E50" s="230"/>
      <c r="F50" s="230"/>
      <c r="G50" s="230"/>
      <c r="H50" s="230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</row>
    <row r="51" spans="1:25">
      <c r="A51" s="248"/>
      <c r="B51" s="230"/>
      <c r="C51" s="229"/>
      <c r="D51" s="230"/>
      <c r="E51" s="230"/>
      <c r="F51" s="230"/>
      <c r="G51" s="230"/>
      <c r="H51" s="230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</row>
    <row r="52" spans="1:25">
      <c r="A52" s="248"/>
      <c r="B52" s="230"/>
      <c r="C52" s="229"/>
      <c r="D52" s="230"/>
      <c r="E52" s="230"/>
      <c r="F52" s="230"/>
      <c r="G52" s="230"/>
      <c r="H52" s="230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</row>
    <row r="53" spans="1:25">
      <c r="A53" s="248"/>
      <c r="B53" s="230"/>
      <c r="C53" s="229"/>
      <c r="D53" s="230"/>
      <c r="E53" s="230"/>
      <c r="F53" s="230"/>
      <c r="G53" s="230"/>
      <c r="H53" s="230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</row>
    <row r="54" spans="1:25">
      <c r="A54" s="142"/>
      <c r="B54" s="134"/>
      <c r="C54" s="137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</row>
    <row r="55" spans="1:25">
      <c r="A55" s="142"/>
      <c r="B55" s="134"/>
      <c r="C55" s="137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</row>
    <row r="56" spans="1:25">
      <c r="A56" s="142"/>
      <c r="B56" s="134"/>
      <c r="C56" s="137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</row>
    <row r="57" spans="1:25">
      <c r="A57" s="142"/>
      <c r="B57" s="134"/>
      <c r="C57" s="137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</row>
    <row r="58" spans="1:25">
      <c r="A58" s="142"/>
      <c r="B58" s="134"/>
      <c r="C58" s="137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</row>
    <row r="59" spans="1:25">
      <c r="A59" s="142"/>
      <c r="B59" s="134"/>
      <c r="C59" s="137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</row>
    <row r="60" spans="1:25">
      <c r="A60" s="142"/>
      <c r="B60" s="134"/>
      <c r="C60" s="137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</row>
    <row r="61" spans="1:25">
      <c r="A61" s="142"/>
      <c r="B61" s="134"/>
      <c r="C61" s="137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</row>
    <row r="62" spans="1:25">
      <c r="A62" s="142"/>
      <c r="B62" s="134"/>
      <c r="C62" s="137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</row>
    <row r="63" spans="1:25">
      <c r="A63" s="142"/>
      <c r="B63" s="134"/>
      <c r="C63" s="137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</row>
    <row r="64" spans="1:25">
      <c r="A64" s="142"/>
      <c r="B64" s="134"/>
      <c r="C64" s="137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</row>
    <row r="65" spans="1:25">
      <c r="A65" s="142"/>
      <c r="B65" s="134"/>
      <c r="C65" s="137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</row>
    <row r="66" spans="1:25">
      <c r="A66" s="142"/>
      <c r="B66" s="134"/>
      <c r="C66" s="13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</row>
    <row r="67" spans="1:25">
      <c r="A67" s="142"/>
      <c r="B67" s="134"/>
      <c r="C67" s="137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</row>
    <row r="68" spans="1:25">
      <c r="A68" s="142"/>
      <c r="B68" s="134"/>
      <c r="C68" s="137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</row>
    <row r="69" spans="1:25">
      <c r="A69" s="142"/>
      <c r="B69" s="134"/>
      <c r="C69" s="137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</row>
    <row r="70" spans="1:25">
      <c r="A70" s="142"/>
      <c r="B70" s="134"/>
      <c r="C70" s="137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</row>
    <row r="71" spans="1:25">
      <c r="A71" s="142"/>
      <c r="B71" s="134"/>
      <c r="C71" s="137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</row>
    <row r="72" spans="1:25">
      <c r="A72" s="142"/>
      <c r="B72" s="134"/>
      <c r="C72" s="137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</row>
    <row r="73" spans="1:25">
      <c r="A73" s="142"/>
      <c r="B73" s="134"/>
      <c r="C73" s="137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</row>
    <row r="74" spans="1:25">
      <c r="A74" s="142"/>
      <c r="B74" s="134"/>
      <c r="C74" s="137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</row>
    <row r="75" spans="1:25">
      <c r="A75" s="142"/>
      <c r="B75" s="134"/>
      <c r="C75" s="137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</row>
    <row r="76" spans="1:25">
      <c r="A76" s="142"/>
      <c r="B76" s="134"/>
      <c r="C76" s="137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</row>
    <row r="77" spans="1:25">
      <c r="A77" s="142"/>
      <c r="B77" s="134"/>
      <c r="C77" s="137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  <row r="78" spans="1:25">
      <c r="A78" s="142"/>
      <c r="B78" s="134"/>
      <c r="C78" s="137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</row>
    <row r="79" spans="1:25">
      <c r="A79" s="142"/>
      <c r="B79" s="134"/>
      <c r="C79" s="137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</row>
    <row r="80" spans="1:25">
      <c r="A80" s="142"/>
      <c r="B80" s="134"/>
      <c r="C80" s="137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</row>
    <row r="81" spans="1:25">
      <c r="A81" s="142"/>
      <c r="B81" s="134"/>
      <c r="C81" s="137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</row>
    <row r="82" spans="1:25">
      <c r="A82" s="142"/>
      <c r="B82" s="134"/>
      <c r="C82" s="137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</row>
    <row r="83" spans="1:25">
      <c r="A83" s="142"/>
      <c r="B83" s="134"/>
      <c r="C83" s="137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</row>
    <row r="84" spans="1:25">
      <c r="A84" s="142"/>
      <c r="B84" s="134"/>
      <c r="C84" s="137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</row>
    <row r="85" spans="1:25">
      <c r="A85" s="142"/>
      <c r="B85" s="134"/>
      <c r="C85" s="137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</row>
    <row r="86" spans="1:25">
      <c r="A86" s="142"/>
      <c r="B86" s="134"/>
      <c r="C86" s="137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</row>
    <row r="87" spans="1:25">
      <c r="A87" s="142"/>
      <c r="B87" s="134"/>
      <c r="C87" s="137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</row>
    <row r="88" spans="1:25">
      <c r="A88" s="142"/>
      <c r="B88" s="134"/>
      <c r="C88" s="137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</row>
    <row r="89" spans="1:25">
      <c r="A89" s="142"/>
      <c r="B89" s="134"/>
      <c r="C89" s="137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</row>
    <row r="90" spans="1:25">
      <c r="A90" s="142"/>
      <c r="B90" s="134"/>
      <c r="C90" s="137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</row>
    <row r="91" spans="1:25">
      <c r="A91" s="142"/>
      <c r="B91" s="134"/>
      <c r="C91" s="137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</row>
    <row r="92" spans="1:25">
      <c r="A92" s="142"/>
      <c r="B92" s="134"/>
      <c r="C92" s="137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</row>
    <row r="93" spans="1:25">
      <c r="A93" s="142"/>
      <c r="B93" s="134"/>
      <c r="C93" s="137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</row>
    <row r="94" spans="1:25">
      <c r="A94" s="142"/>
      <c r="B94" s="134"/>
      <c r="C94" s="137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</row>
    <row r="95" spans="1:25">
      <c r="A95" s="142"/>
      <c r="B95" s="134"/>
      <c r="C95" s="137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</row>
    <row r="96" spans="1:25">
      <c r="A96" s="142"/>
      <c r="B96" s="134"/>
      <c r="C96" s="137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</row>
    <row r="97" spans="1:25">
      <c r="A97" s="142"/>
      <c r="B97" s="134"/>
      <c r="C97" s="137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</row>
    <row r="98" spans="1:25">
      <c r="A98" s="142"/>
      <c r="B98" s="134"/>
      <c r="C98" s="137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</row>
    <row r="99" spans="1:25">
      <c r="A99" s="142"/>
      <c r="B99" s="134"/>
      <c r="C99" s="137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</row>
    <row r="100" spans="1:25">
      <c r="A100" s="142"/>
      <c r="B100" s="134"/>
      <c r="C100" s="137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>
      <c r="A101" s="142"/>
      <c r="B101" s="134"/>
      <c r="C101" s="137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>
      <c r="A102" s="142"/>
      <c r="B102" s="134"/>
      <c r="C102" s="137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>
      <c r="A103" s="142"/>
      <c r="B103" s="134"/>
      <c r="C103" s="137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</row>
    <row r="104" spans="1:25">
      <c r="A104" s="142"/>
      <c r="B104" s="134"/>
      <c r="C104" s="137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</row>
    <row r="105" spans="1:25">
      <c r="A105" s="142"/>
      <c r="B105" s="134"/>
      <c r="C105" s="137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</row>
    <row r="106" spans="1:25">
      <c r="A106" s="142"/>
      <c r="B106" s="134"/>
      <c r="C106" s="137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>
      <c r="A107" s="142"/>
      <c r="B107" s="134"/>
      <c r="C107" s="137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>
      <c r="A108" s="142"/>
      <c r="B108" s="134"/>
      <c r="C108" s="137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</row>
    <row r="109" spans="1:25">
      <c r="A109" s="142"/>
      <c r="B109" s="134"/>
      <c r="C109" s="137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</row>
    <row r="110" spans="1:25">
      <c r="A110" s="142"/>
      <c r="B110" s="134"/>
      <c r="C110" s="137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</row>
    <row r="111" spans="1:25">
      <c r="A111" s="142"/>
      <c r="B111" s="134"/>
      <c r="C111" s="13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</row>
    <row r="112" spans="1:25">
      <c r="A112" s="142"/>
      <c r="B112" s="134"/>
      <c r="C112" s="137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</row>
    <row r="113" spans="1:25">
      <c r="A113" s="142"/>
      <c r="B113" s="134"/>
      <c r="C113" s="137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</row>
    <row r="114" spans="1:25">
      <c r="A114" s="142"/>
      <c r="B114" s="134"/>
      <c r="C114" s="137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</row>
    <row r="115" spans="1:25">
      <c r="A115" s="142"/>
      <c r="B115" s="134"/>
      <c r="C115" s="137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5">
      <c r="A116" s="142"/>
      <c r="B116" s="134"/>
      <c r="C116" s="137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</row>
    <row r="117" spans="1:25">
      <c r="A117" s="142"/>
      <c r="B117" s="134"/>
      <c r="C117" s="137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</row>
    <row r="118" spans="1:25">
      <c r="A118" s="142"/>
      <c r="B118" s="134"/>
      <c r="C118" s="137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</row>
    <row r="119" spans="1:25">
      <c r="A119" s="142"/>
      <c r="B119" s="134"/>
      <c r="C119" s="137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</row>
    <row r="120" spans="1:25">
      <c r="A120" s="142"/>
      <c r="B120" s="134"/>
      <c r="C120" s="137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</row>
    <row r="121" spans="1:25">
      <c r="A121" s="142"/>
      <c r="B121" s="134"/>
      <c r="C121" s="137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</row>
    <row r="122" spans="1:25">
      <c r="A122" s="142"/>
      <c r="B122" s="134"/>
      <c r="C122" s="137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</row>
    <row r="123" spans="1:25">
      <c r="A123" s="142"/>
      <c r="B123" s="134"/>
      <c r="C123" s="137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</row>
    <row r="124" spans="1:25">
      <c r="A124" s="142"/>
      <c r="B124" s="134"/>
      <c r="C124" s="137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</row>
    <row r="125" spans="1:25">
      <c r="A125" s="142"/>
      <c r="B125" s="134"/>
      <c r="C125" s="137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</row>
    <row r="126" spans="1:25">
      <c r="A126" s="142"/>
      <c r="B126" s="134"/>
      <c r="C126" s="137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</row>
    <row r="127" spans="1:25">
      <c r="A127" s="142"/>
      <c r="B127" s="134"/>
      <c r="C127" s="137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</row>
    <row r="128" spans="1:25">
      <c r="A128" s="142"/>
      <c r="B128" s="134"/>
      <c r="C128" s="137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</row>
    <row r="129" spans="1:25">
      <c r="A129" s="142"/>
      <c r="B129" s="134"/>
      <c r="C129" s="137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</row>
    <row r="130" spans="1:25">
      <c r="A130" s="142"/>
      <c r="B130" s="134"/>
      <c r="C130" s="137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</row>
    <row r="131" spans="1:25">
      <c r="A131" s="142"/>
      <c r="B131" s="134"/>
      <c r="C131" s="137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</row>
    <row r="132" spans="1:25">
      <c r="A132" s="142"/>
      <c r="B132" s="134"/>
      <c r="C132" s="137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</row>
    <row r="133" spans="1:25">
      <c r="A133" s="142"/>
      <c r="B133" s="134"/>
      <c r="C133" s="137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</row>
    <row r="134" spans="1:25">
      <c r="A134" s="142"/>
      <c r="B134" s="134"/>
      <c r="C134" s="137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</row>
    <row r="135" spans="1:25">
      <c r="A135" s="142"/>
      <c r="B135" s="134"/>
      <c r="C135" s="137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</row>
    <row r="136" spans="1:25">
      <c r="A136" s="142"/>
      <c r="B136" s="134"/>
      <c r="C136" s="137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</row>
    <row r="137" spans="1:25">
      <c r="A137" s="142"/>
      <c r="B137" s="134"/>
      <c r="C137" s="137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</row>
    <row r="138" spans="1:25">
      <c r="A138" s="142"/>
      <c r="B138" s="134"/>
      <c r="C138" s="137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</row>
    <row r="139" spans="1:25">
      <c r="A139" s="142"/>
      <c r="B139" s="134"/>
      <c r="C139" s="137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</row>
    <row r="140" spans="1:25">
      <c r="A140" s="142"/>
      <c r="B140" s="134"/>
      <c r="C140" s="137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</row>
    <row r="141" spans="1:25">
      <c r="A141" s="142"/>
      <c r="B141" s="134"/>
      <c r="C141" s="137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</row>
    <row r="142" spans="1:25">
      <c r="A142" s="142"/>
      <c r="B142" s="134"/>
      <c r="C142" s="137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</row>
    <row r="143" spans="1:25">
      <c r="A143" s="142"/>
      <c r="B143" s="134"/>
      <c r="C143" s="137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</row>
    <row r="144" spans="1:25">
      <c r="A144" s="142"/>
      <c r="B144" s="134"/>
      <c r="C144" s="137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</row>
    <row r="145" spans="1:25">
      <c r="A145" s="142"/>
      <c r="B145" s="134"/>
      <c r="C145" s="137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</row>
    <row r="146" spans="1:25">
      <c r="A146" s="142"/>
      <c r="B146" s="134"/>
      <c r="C146" s="137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</row>
    <row r="147" spans="1:25">
      <c r="A147" s="142"/>
      <c r="B147" s="134"/>
      <c r="C147" s="137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</row>
    <row r="148" spans="1:25">
      <c r="A148" s="142"/>
      <c r="B148" s="134"/>
      <c r="C148" s="137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</row>
    <row r="149" spans="1:25">
      <c r="A149" s="142"/>
      <c r="B149" s="134"/>
      <c r="C149" s="137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</row>
    <row r="150" spans="1:25">
      <c r="A150" s="142"/>
      <c r="B150" s="134"/>
      <c r="C150" s="137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</row>
    <row r="151" spans="1:25">
      <c r="A151" s="142"/>
      <c r="B151" s="134"/>
      <c r="C151" s="137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</row>
    <row r="152" spans="1:25">
      <c r="A152" s="142"/>
      <c r="B152" s="134"/>
      <c r="C152" s="137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</row>
    <row r="153" spans="1:25">
      <c r="A153" s="142"/>
      <c r="B153" s="134"/>
      <c r="C153" s="137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</row>
    <row r="154" spans="1:25">
      <c r="A154" s="142"/>
      <c r="B154" s="134"/>
      <c r="C154" s="137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5">
      <c r="A155" s="142"/>
      <c r="B155" s="134"/>
      <c r="C155" s="137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5">
      <c r="A156" s="142"/>
      <c r="B156" s="134"/>
      <c r="C156" s="137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5">
      <c r="A157" s="142"/>
      <c r="B157" s="134"/>
      <c r="C157" s="137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</row>
    <row r="158" spans="1:25">
      <c r="A158" s="142"/>
      <c r="B158" s="134"/>
      <c r="C158" s="137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</row>
    <row r="159" spans="1:25">
      <c r="A159" s="142"/>
      <c r="B159" s="134"/>
      <c r="C159" s="137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</row>
    <row r="160" spans="1:25">
      <c r="A160" s="142"/>
      <c r="B160" s="134"/>
      <c r="C160" s="137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>
      <c r="A161" s="142"/>
      <c r="B161" s="134"/>
      <c r="C161" s="137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>
      <c r="A162" s="142"/>
      <c r="B162" s="134"/>
      <c r="C162" s="137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>
      <c r="A163" s="142"/>
      <c r="B163" s="134"/>
      <c r="C163" s="137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>
      <c r="A164" s="142"/>
      <c r="B164" s="134"/>
      <c r="C164" s="137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>
      <c r="A165" s="142"/>
      <c r="B165" s="134"/>
      <c r="C165" s="137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>
      <c r="A166" s="142"/>
      <c r="B166" s="134"/>
      <c r="C166" s="137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>
      <c r="A167" s="142"/>
      <c r="B167" s="134"/>
      <c r="C167" s="137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>
      <c r="A168" s="142"/>
      <c r="B168" s="134"/>
      <c r="C168" s="137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>
      <c r="A169" s="142"/>
      <c r="B169" s="134"/>
      <c r="C169" s="137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>
      <c r="A170" s="142"/>
      <c r="B170" s="134"/>
      <c r="C170" s="137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>
      <c r="A171" s="142"/>
      <c r="B171" s="134"/>
      <c r="C171" s="137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>
      <c r="A172" s="142"/>
      <c r="B172" s="134"/>
      <c r="C172" s="137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>
      <c r="A173" s="142"/>
      <c r="B173" s="134"/>
      <c r="C173" s="137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>
      <c r="A174" s="142"/>
      <c r="B174" s="134"/>
      <c r="C174" s="137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>
      <c r="A175" s="142"/>
      <c r="B175" s="134"/>
      <c r="C175" s="137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>
      <c r="A176" s="142"/>
      <c r="B176" s="134"/>
      <c r="C176" s="137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>
      <c r="A177" s="142"/>
      <c r="B177" s="134"/>
      <c r="C177" s="137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>
      <c r="A178" s="142"/>
      <c r="B178" s="134"/>
      <c r="C178" s="137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>
      <c r="A179" s="142"/>
      <c r="B179" s="134"/>
      <c r="C179" s="137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>
      <c r="A180" s="142"/>
      <c r="B180" s="134"/>
      <c r="C180" s="137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>
      <c r="A181" s="142"/>
      <c r="B181" s="134"/>
      <c r="C181" s="137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>
      <c r="A182" s="142"/>
      <c r="B182" s="134"/>
      <c r="C182" s="137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>
      <c r="A183" s="142"/>
      <c r="B183" s="134"/>
      <c r="C183" s="137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>
      <c r="A184" s="142"/>
      <c r="B184" s="134"/>
      <c r="C184" s="137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>
      <c r="A185" s="142"/>
      <c r="B185" s="134"/>
      <c r="C185" s="137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>
      <c r="A186" s="142"/>
      <c r="B186" s="134"/>
      <c r="C186" s="137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>
      <c r="A187" s="142"/>
      <c r="B187" s="134"/>
      <c r="C187" s="137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>
      <c r="A188" s="142"/>
      <c r="B188" s="134"/>
      <c r="C188" s="137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>
      <c r="A189" s="142"/>
      <c r="B189" s="134"/>
      <c r="C189" s="137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>
      <c r="A190" s="142"/>
      <c r="B190" s="134"/>
      <c r="C190" s="137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>
      <c r="A191" s="142"/>
      <c r="B191" s="134"/>
      <c r="C191" s="137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>
      <c r="A192" s="142"/>
      <c r="B192" s="134"/>
      <c r="C192" s="137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>
      <c r="A193" s="142"/>
      <c r="B193" s="134"/>
      <c r="C193" s="137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>
      <c r="A194" s="142"/>
      <c r="B194" s="134"/>
      <c r="C194" s="137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>
      <c r="A195" s="142"/>
      <c r="B195" s="134"/>
      <c r="C195" s="137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>
      <c r="A196" s="142"/>
      <c r="B196" s="134"/>
      <c r="C196" s="137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>
      <c r="A197" s="142"/>
      <c r="B197" s="134"/>
      <c r="C197" s="137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>
      <c r="A198" s="142"/>
      <c r="B198" s="134"/>
      <c r="C198" s="137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>
      <c r="A199" s="142"/>
      <c r="B199" s="134"/>
      <c r="C199" s="137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>
      <c r="A200" s="142"/>
      <c r="B200" s="134"/>
      <c r="C200" s="137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>
      <c r="A201" s="142"/>
      <c r="B201" s="134"/>
      <c r="C201" s="137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>
      <c r="A202" s="142"/>
      <c r="B202" s="134"/>
      <c r="C202" s="137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>
      <c r="A203" s="142"/>
      <c r="B203" s="134"/>
      <c r="C203" s="137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>
      <c r="A204" s="142"/>
      <c r="B204" s="134"/>
      <c r="C204" s="137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>
      <c r="A205" s="142"/>
      <c r="B205" s="134"/>
      <c r="C205" s="137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>
      <c r="A206" s="142"/>
      <c r="B206" s="134"/>
      <c r="C206" s="137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>
      <c r="A207" s="142"/>
      <c r="B207" s="134"/>
      <c r="C207" s="137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>
      <c r="A208" s="142"/>
      <c r="B208" s="134"/>
      <c r="C208" s="137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>
      <c r="A209" s="142"/>
      <c r="B209" s="134"/>
      <c r="C209" s="137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>
      <c r="A210" s="142"/>
      <c r="B210" s="134"/>
      <c r="C210" s="137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>
      <c r="A211" s="142"/>
      <c r="B211" s="134"/>
      <c r="C211" s="137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>
      <c r="A212" s="142"/>
      <c r="B212" s="134"/>
      <c r="C212" s="137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>
      <c r="A213" s="142"/>
      <c r="B213" s="134"/>
      <c r="C213" s="137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</row>
    <row r="214" spans="1:25">
      <c r="A214" s="142"/>
      <c r="B214" s="134"/>
      <c r="C214" s="137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</row>
    <row r="215" spans="1:25">
      <c r="A215" s="142"/>
      <c r="B215" s="134"/>
      <c r="C215" s="137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</row>
    <row r="216" spans="1:25">
      <c r="A216" s="142"/>
      <c r="B216" s="134"/>
      <c r="C216" s="137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</row>
    <row r="217" spans="1:25">
      <c r="A217" s="142"/>
      <c r="B217" s="134"/>
      <c r="C217" s="137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</row>
    <row r="218" spans="1:25">
      <c r="A218" s="142"/>
      <c r="B218" s="134"/>
      <c r="C218" s="137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</row>
    <row r="219" spans="1:25">
      <c r="A219" s="142"/>
      <c r="B219" s="134"/>
      <c r="C219" s="137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</row>
    <row r="220" spans="1:25">
      <c r="A220" s="142"/>
      <c r="B220" s="134"/>
      <c r="C220" s="137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</row>
    <row r="221" spans="1:25">
      <c r="A221" s="142"/>
      <c r="B221" s="134"/>
      <c r="C221" s="137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</row>
    <row r="222" spans="1:25">
      <c r="A222" s="142"/>
      <c r="B222" s="134"/>
      <c r="C222" s="137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</row>
    <row r="223" spans="1:25">
      <c r="A223" s="142"/>
      <c r="B223" s="134"/>
      <c r="C223" s="137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</row>
    <row r="224" spans="1:25">
      <c r="A224" s="142"/>
      <c r="B224" s="134"/>
      <c r="C224" s="137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</row>
    <row r="225" spans="1:25">
      <c r="A225" s="142"/>
      <c r="B225" s="134"/>
      <c r="C225" s="137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</row>
    <row r="226" spans="1:25">
      <c r="A226" s="142"/>
      <c r="B226" s="134"/>
      <c r="C226" s="137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</row>
    <row r="227" spans="1:25">
      <c r="A227" s="142"/>
      <c r="B227" s="134"/>
      <c r="C227" s="137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</row>
    <row r="228" spans="1:25">
      <c r="A228" s="142"/>
      <c r="B228" s="134"/>
      <c r="C228" s="137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</row>
    <row r="229" spans="1:25">
      <c r="A229" s="142"/>
      <c r="B229" s="134"/>
      <c r="C229" s="137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</row>
    <row r="230" spans="1:25">
      <c r="A230" s="142"/>
      <c r="B230" s="134"/>
      <c r="C230" s="137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</row>
    <row r="231" spans="1:25">
      <c r="A231" s="142"/>
      <c r="B231" s="134"/>
      <c r="C231" s="137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</row>
    <row r="232" spans="1:25">
      <c r="A232" s="142"/>
      <c r="B232" s="134"/>
      <c r="C232" s="137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</row>
    <row r="233" spans="1:25">
      <c r="A233" s="142"/>
      <c r="B233" s="134"/>
      <c r="C233" s="137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</row>
    <row r="234" spans="1:25">
      <c r="A234" s="142"/>
      <c r="B234" s="134"/>
      <c r="C234" s="137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</row>
    <row r="235" spans="1:25">
      <c r="A235" s="142"/>
      <c r="B235" s="134"/>
      <c r="C235" s="137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</row>
    <row r="236" spans="1:25">
      <c r="A236" s="142"/>
      <c r="B236" s="134"/>
      <c r="C236" s="137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</row>
    <row r="237" spans="1:25">
      <c r="A237" s="142"/>
      <c r="B237" s="134"/>
      <c r="C237" s="137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</row>
    <row r="238" spans="1:25">
      <c r="A238" s="142"/>
      <c r="B238" s="134"/>
      <c r="C238" s="137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</row>
    <row r="239" spans="1:25">
      <c r="A239" s="142"/>
      <c r="B239" s="134"/>
      <c r="C239" s="137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</row>
    <row r="240" spans="1:25">
      <c r="A240" s="142"/>
      <c r="B240" s="134"/>
      <c r="C240" s="137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</row>
    <row r="241" spans="1:25">
      <c r="A241" s="142"/>
      <c r="B241" s="134"/>
      <c r="C241" s="137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</row>
    <row r="242" spans="1:25">
      <c r="A242" s="142"/>
      <c r="B242" s="134"/>
      <c r="C242" s="137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</row>
    <row r="243" spans="1:25">
      <c r="A243" s="142"/>
      <c r="B243" s="134"/>
      <c r="C243" s="137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</row>
    <row r="244" spans="1:25">
      <c r="A244" s="142"/>
      <c r="B244" s="134"/>
      <c r="C244" s="137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</row>
    <row r="245" spans="1:25">
      <c r="A245" s="142"/>
      <c r="B245" s="134"/>
      <c r="C245" s="137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</row>
    <row r="246" spans="1:25">
      <c r="A246" s="142"/>
      <c r="B246" s="134"/>
      <c r="C246" s="137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</row>
    <row r="247" spans="1:25">
      <c r="A247" s="142"/>
      <c r="B247" s="134"/>
      <c r="C247" s="137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</row>
    <row r="248" spans="1:25">
      <c r="A248" s="142"/>
      <c r="B248" s="134"/>
      <c r="C248" s="137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</row>
    <row r="249" spans="1:25">
      <c r="A249" s="142"/>
      <c r="B249" s="134"/>
      <c r="C249" s="137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</row>
    <row r="250" spans="1:25">
      <c r="A250" s="142"/>
      <c r="B250" s="134"/>
      <c r="C250" s="137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</row>
    <row r="251" spans="1:25">
      <c r="A251" s="142"/>
      <c r="B251" s="134"/>
      <c r="C251" s="137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</row>
    <row r="252" spans="1:25">
      <c r="A252" s="142"/>
      <c r="B252" s="134"/>
      <c r="C252" s="137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</row>
    <row r="253" spans="1:25">
      <c r="A253" s="142"/>
      <c r="B253" s="134"/>
      <c r="C253" s="137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</row>
    <row r="254" spans="1:25">
      <c r="A254" s="142"/>
      <c r="B254" s="134"/>
      <c r="C254" s="137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</row>
    <row r="255" spans="1:25">
      <c r="A255" s="142"/>
      <c r="B255" s="134"/>
      <c r="C255" s="137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</row>
    <row r="256" spans="1:25">
      <c r="A256" s="142"/>
      <c r="B256" s="134"/>
      <c r="C256" s="137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</row>
    <row r="257" spans="1:25">
      <c r="A257" s="142"/>
      <c r="B257" s="134"/>
      <c r="C257" s="137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</row>
    <row r="258" spans="1:25">
      <c r="A258" s="142"/>
      <c r="B258" s="134"/>
      <c r="C258" s="137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</row>
    <row r="259" spans="1:25">
      <c r="A259" s="142"/>
      <c r="B259" s="134"/>
      <c r="C259" s="137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</row>
    <row r="260" spans="1:25">
      <c r="A260" s="142"/>
      <c r="B260" s="134"/>
      <c r="C260" s="137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</row>
    <row r="261" spans="1:25">
      <c r="A261" s="142"/>
      <c r="B261" s="134"/>
      <c r="C261" s="137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</row>
    <row r="262" spans="1:25">
      <c r="A262" s="142"/>
      <c r="B262" s="134"/>
      <c r="C262" s="137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</row>
    <row r="263" spans="1:25">
      <c r="A263" s="142"/>
      <c r="B263" s="134"/>
      <c r="C263" s="137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</row>
    <row r="264" spans="1:25">
      <c r="A264" s="142"/>
      <c r="B264" s="134"/>
      <c r="C264" s="137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</row>
    <row r="265" spans="1:25">
      <c r="A265" s="142"/>
      <c r="B265" s="134"/>
      <c r="C265" s="137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</row>
    <row r="266" spans="1:25">
      <c r="A266" s="142"/>
      <c r="B266" s="134"/>
      <c r="C266" s="137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</row>
    <row r="267" spans="1:25">
      <c r="A267" s="142"/>
      <c r="B267" s="134"/>
      <c r="C267" s="137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</row>
    <row r="268" spans="1:25">
      <c r="A268" s="142"/>
      <c r="B268" s="134"/>
      <c r="C268" s="137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1:25">
      <c r="A269" s="142"/>
      <c r="B269" s="134"/>
      <c r="C269" s="137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</row>
    <row r="270" spans="1:25">
      <c r="A270" s="142"/>
      <c r="B270" s="134"/>
      <c r="C270" s="137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</row>
    <row r="271" spans="1:25">
      <c r="A271" s="142"/>
      <c r="B271" s="134"/>
      <c r="C271" s="137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</row>
    <row r="272" spans="1:25">
      <c r="A272" s="142"/>
      <c r="B272" s="134"/>
      <c r="C272" s="137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</row>
    <row r="273" spans="1:25">
      <c r="A273" s="142"/>
      <c r="B273" s="134"/>
      <c r="C273" s="137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</row>
    <row r="274" spans="1:25">
      <c r="A274" s="142"/>
      <c r="B274" s="134"/>
      <c r="C274" s="137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</row>
    <row r="275" spans="1:25">
      <c r="A275" s="142"/>
      <c r="B275" s="134"/>
      <c r="C275" s="137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</row>
    <row r="276" spans="1:25">
      <c r="A276" s="142"/>
      <c r="B276" s="134"/>
      <c r="C276" s="137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</row>
    <row r="277" spans="1:25">
      <c r="A277" s="142"/>
      <c r="B277" s="134"/>
      <c r="C277" s="137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</row>
    <row r="278" spans="1:25">
      <c r="A278" s="142"/>
      <c r="B278" s="134"/>
      <c r="C278" s="137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</row>
    <row r="279" spans="1:25">
      <c r="A279" s="142"/>
      <c r="B279" s="134"/>
      <c r="C279" s="137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</row>
    <row r="280" spans="1:25">
      <c r="A280" s="142"/>
      <c r="B280" s="134"/>
      <c r="C280" s="137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</row>
    <row r="281" spans="1:25">
      <c r="A281" s="142"/>
      <c r="B281" s="134"/>
      <c r="C281" s="137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</row>
    <row r="282" spans="1:25">
      <c r="A282" s="142"/>
      <c r="B282" s="134"/>
      <c r="C282" s="137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</row>
    <row r="283" spans="1:25">
      <c r="A283" s="142"/>
      <c r="B283" s="134"/>
      <c r="C283" s="137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</row>
    <row r="284" spans="1:25">
      <c r="A284" s="142"/>
      <c r="B284" s="134"/>
      <c r="C284" s="137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</row>
    <row r="285" spans="1:25">
      <c r="A285" s="142"/>
      <c r="B285" s="134"/>
      <c r="C285" s="137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</row>
    <row r="286" spans="1:25">
      <c r="A286" s="142"/>
      <c r="B286" s="134"/>
      <c r="C286" s="137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</row>
    <row r="287" spans="1:25">
      <c r="A287" s="142"/>
      <c r="B287" s="134"/>
      <c r="C287" s="137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</row>
    <row r="288" spans="1:25">
      <c r="A288" s="142"/>
      <c r="B288" s="134"/>
      <c r="C288" s="137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</row>
    <row r="289" spans="1:25">
      <c r="A289" s="142"/>
      <c r="B289" s="134"/>
      <c r="C289" s="137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</row>
    <row r="290" spans="1:25">
      <c r="A290" s="142"/>
      <c r="B290" s="134"/>
      <c r="C290" s="137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</row>
    <row r="291" spans="1:25">
      <c r="A291" s="142"/>
      <c r="B291" s="134"/>
      <c r="C291" s="137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</row>
    <row r="292" spans="1:25">
      <c r="A292" s="142"/>
      <c r="B292" s="134"/>
      <c r="C292" s="137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</row>
    <row r="293" spans="1:25">
      <c r="A293" s="142"/>
      <c r="B293" s="134"/>
      <c r="C293" s="137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</row>
    <row r="294" spans="1:25">
      <c r="A294" s="142"/>
      <c r="B294" s="134"/>
      <c r="C294" s="137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</row>
    <row r="295" spans="1:25">
      <c r="A295" s="142"/>
      <c r="B295" s="134"/>
      <c r="C295" s="137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</row>
    <row r="296" spans="1:25">
      <c r="A296" s="142"/>
      <c r="B296" s="134"/>
      <c r="C296" s="137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</row>
    <row r="297" spans="1:25">
      <c r="A297" s="142"/>
      <c r="B297" s="134"/>
      <c r="C297" s="137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</row>
    <row r="298" spans="1:25">
      <c r="A298" s="142"/>
      <c r="B298" s="134"/>
      <c r="C298" s="137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</row>
    <row r="299" spans="1:25">
      <c r="A299" s="142"/>
      <c r="B299" s="134"/>
      <c r="C299" s="137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</row>
    <row r="300" spans="1:25">
      <c r="A300" s="142"/>
      <c r="B300" s="134"/>
      <c r="C300" s="137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</row>
    <row r="301" spans="1:25">
      <c r="A301" s="142"/>
      <c r="B301" s="134"/>
      <c r="C301" s="137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</row>
    <row r="302" spans="1:25">
      <c r="A302" s="142"/>
      <c r="B302" s="134"/>
      <c r="C302" s="137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</row>
    <row r="303" spans="1:25">
      <c r="A303" s="142"/>
      <c r="B303" s="134"/>
      <c r="C303" s="137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</row>
    <row r="304" spans="1:25">
      <c r="A304" s="142"/>
      <c r="B304" s="134"/>
      <c r="C304" s="137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</row>
    <row r="305" spans="1:25">
      <c r="A305" s="142"/>
      <c r="B305" s="134"/>
      <c r="C305" s="137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</row>
    <row r="306" spans="1:25">
      <c r="A306" s="142"/>
      <c r="B306" s="134"/>
      <c r="C306" s="137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</row>
    <row r="307" spans="1:25">
      <c r="A307" s="142"/>
      <c r="B307" s="134"/>
      <c r="C307" s="137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</row>
    <row r="308" spans="1:25">
      <c r="A308" s="142"/>
      <c r="B308" s="134"/>
      <c r="C308" s="137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</row>
    <row r="309" spans="1:25">
      <c r="A309" s="142"/>
      <c r="B309" s="134"/>
      <c r="C309" s="137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</row>
    <row r="310" spans="1:25">
      <c r="A310" s="142"/>
      <c r="B310" s="134"/>
      <c r="C310" s="137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</row>
    <row r="311" spans="1:25">
      <c r="A311" s="142"/>
      <c r="B311" s="134"/>
      <c r="C311" s="137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</row>
    <row r="312" spans="1:25">
      <c r="A312" s="142"/>
      <c r="B312" s="134"/>
      <c r="C312" s="137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</row>
    <row r="313" spans="1:25">
      <c r="A313" s="142"/>
      <c r="B313" s="134"/>
      <c r="C313" s="137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</row>
    <row r="314" spans="1:25">
      <c r="A314" s="142"/>
      <c r="B314" s="134"/>
      <c r="C314" s="137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</row>
    <row r="315" spans="1:25">
      <c r="A315" s="142"/>
      <c r="B315" s="134"/>
      <c r="C315" s="137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</row>
    <row r="316" spans="1:25">
      <c r="A316" s="142"/>
      <c r="B316" s="134"/>
      <c r="C316" s="137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</row>
    <row r="317" spans="1:25">
      <c r="A317" s="142"/>
      <c r="B317" s="134"/>
      <c r="C317" s="137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</row>
    <row r="318" spans="1:25">
      <c r="A318" s="142"/>
      <c r="B318" s="134"/>
      <c r="C318" s="137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</row>
    <row r="319" spans="1:25">
      <c r="A319" s="142"/>
      <c r="B319" s="134"/>
      <c r="C319" s="137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</row>
    <row r="320" spans="1:25">
      <c r="A320" s="142"/>
      <c r="B320" s="134"/>
      <c r="C320" s="137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</row>
    <row r="321" spans="1:25">
      <c r="A321" s="142"/>
      <c r="B321" s="134"/>
      <c r="C321" s="137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</row>
    <row r="322" spans="1:25">
      <c r="A322" s="142"/>
      <c r="B322" s="134"/>
      <c r="C322" s="137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</row>
    <row r="323" spans="1:25">
      <c r="A323" s="142"/>
      <c r="B323" s="134"/>
      <c r="C323" s="137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</row>
    <row r="324" spans="1:25">
      <c r="A324" s="142"/>
      <c r="B324" s="134"/>
      <c r="C324" s="137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</row>
    <row r="325" spans="1:25">
      <c r="A325" s="142"/>
      <c r="B325" s="134"/>
      <c r="C325" s="137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</row>
    <row r="326" spans="1:25">
      <c r="A326" s="142"/>
      <c r="B326" s="134"/>
      <c r="C326" s="137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</row>
    <row r="327" spans="1:25">
      <c r="A327" s="142"/>
      <c r="B327" s="134"/>
      <c r="C327" s="137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</row>
    <row r="328" spans="1:25">
      <c r="A328" s="142"/>
      <c r="B328" s="134"/>
      <c r="C328" s="137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</row>
    <row r="329" spans="1:25">
      <c r="A329" s="142"/>
      <c r="B329" s="134"/>
      <c r="C329" s="137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</row>
    <row r="330" spans="1:25">
      <c r="A330" s="142"/>
      <c r="B330" s="134"/>
      <c r="C330" s="137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</row>
    <row r="331" spans="1:25">
      <c r="A331" s="142"/>
      <c r="B331" s="134"/>
      <c r="C331" s="137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</row>
    <row r="332" spans="1:25">
      <c r="A332" s="142"/>
      <c r="B332" s="134"/>
      <c r="C332" s="137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</row>
    <row r="333" spans="1:25">
      <c r="A333" s="142"/>
      <c r="B333" s="134"/>
      <c r="C333" s="137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</row>
    <row r="334" spans="1:25">
      <c r="A334" s="142"/>
      <c r="B334" s="134"/>
      <c r="C334" s="137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</row>
    <row r="335" spans="1:25">
      <c r="A335" s="142"/>
      <c r="B335" s="134"/>
      <c r="C335" s="137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</row>
    <row r="336" spans="1:25">
      <c r="A336" s="142"/>
      <c r="B336" s="134"/>
      <c r="C336" s="137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</row>
    <row r="337" spans="1:25">
      <c r="A337" s="142"/>
      <c r="B337" s="134"/>
      <c r="C337" s="137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</row>
    <row r="338" spans="1:25">
      <c r="A338" s="142"/>
      <c r="B338" s="134"/>
      <c r="C338" s="137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</row>
    <row r="339" spans="1:25">
      <c r="A339" s="142"/>
      <c r="B339" s="134"/>
      <c r="C339" s="137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</row>
    <row r="340" spans="1:25">
      <c r="A340" s="142"/>
      <c r="B340" s="134"/>
      <c r="C340" s="137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</row>
    <row r="341" spans="1:25">
      <c r="A341" s="142"/>
      <c r="B341" s="134"/>
      <c r="C341" s="137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</row>
    <row r="342" spans="1:25">
      <c r="A342" s="142"/>
      <c r="B342" s="134"/>
      <c r="C342" s="137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</row>
    <row r="343" spans="1:25">
      <c r="A343" s="142"/>
      <c r="B343" s="134"/>
      <c r="C343" s="137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</row>
    <row r="344" spans="1:25">
      <c r="A344" s="142"/>
      <c r="B344" s="134"/>
      <c r="C344" s="137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</row>
    <row r="345" spans="1:25">
      <c r="A345" s="142"/>
      <c r="B345" s="134"/>
      <c r="C345" s="137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</row>
    <row r="346" spans="1:25">
      <c r="A346" s="142"/>
      <c r="B346" s="134"/>
      <c r="C346" s="137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</row>
    <row r="347" spans="1:25">
      <c r="A347" s="142"/>
      <c r="B347" s="134"/>
      <c r="C347" s="137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</row>
    <row r="348" spans="1:25">
      <c r="A348" s="142"/>
      <c r="B348" s="134"/>
      <c r="C348" s="137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</row>
    <row r="349" spans="1:25">
      <c r="A349" s="142"/>
      <c r="B349" s="134"/>
      <c r="C349" s="137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</row>
    <row r="350" spans="1:25">
      <c r="A350" s="142"/>
      <c r="B350" s="134"/>
      <c r="C350" s="137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</row>
    <row r="351" spans="1:25">
      <c r="A351" s="142"/>
      <c r="B351" s="134"/>
      <c r="C351" s="137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</row>
    <row r="352" spans="1:25">
      <c r="A352" s="142"/>
      <c r="B352" s="134"/>
      <c r="C352" s="137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</row>
    <row r="353" spans="1:25">
      <c r="A353" s="142"/>
      <c r="B353" s="134"/>
      <c r="C353" s="137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</row>
    <row r="354" spans="1:25">
      <c r="A354" s="142"/>
      <c r="B354" s="134"/>
      <c r="C354" s="137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</row>
    <row r="355" spans="1:25">
      <c r="A355" s="142"/>
      <c r="B355" s="134"/>
      <c r="C355" s="137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</row>
    <row r="356" spans="1:25">
      <c r="A356" s="142"/>
      <c r="B356" s="134"/>
      <c r="C356" s="137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</row>
    <row r="357" spans="1:25">
      <c r="A357" s="142"/>
      <c r="B357" s="134"/>
      <c r="C357" s="137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</row>
    <row r="358" spans="1:25">
      <c r="A358" s="142"/>
      <c r="B358" s="134"/>
      <c r="C358" s="137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</row>
    <row r="359" spans="1:25">
      <c r="A359" s="142"/>
      <c r="B359" s="134"/>
      <c r="C359" s="137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</row>
    <row r="360" spans="1:25">
      <c r="A360" s="142"/>
      <c r="B360" s="134"/>
      <c r="C360" s="137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</row>
    <row r="361" spans="1:25">
      <c r="A361" s="142"/>
      <c r="B361" s="134"/>
      <c r="C361" s="137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</row>
    <row r="362" spans="1:25">
      <c r="A362" s="142"/>
      <c r="B362" s="134"/>
      <c r="C362" s="137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</row>
    <row r="363" spans="1:25">
      <c r="A363" s="142"/>
      <c r="B363" s="134"/>
      <c r="C363" s="137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</row>
    <row r="364" spans="1:25">
      <c r="A364" s="142"/>
      <c r="B364" s="134"/>
      <c r="C364" s="137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</row>
    <row r="365" spans="1:25">
      <c r="A365" s="142"/>
      <c r="B365" s="134"/>
      <c r="C365" s="137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</row>
    <row r="366" spans="1:25">
      <c r="A366" s="142"/>
      <c r="B366" s="134"/>
      <c r="C366" s="137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</row>
    <row r="367" spans="1:25">
      <c r="A367" s="142"/>
      <c r="B367" s="134"/>
      <c r="C367" s="137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</row>
    <row r="368" spans="1:25">
      <c r="A368" s="142"/>
      <c r="B368" s="134"/>
      <c r="C368" s="137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</row>
    <row r="369" spans="1:25">
      <c r="A369" s="142"/>
      <c r="B369" s="134"/>
      <c r="C369" s="137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</row>
    <row r="370" spans="1:25">
      <c r="A370" s="142"/>
      <c r="B370" s="134"/>
      <c r="C370" s="137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</row>
    <row r="371" spans="1:25">
      <c r="A371" s="142"/>
      <c r="B371" s="134"/>
      <c r="C371" s="137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</row>
    <row r="372" spans="1:25">
      <c r="A372" s="142"/>
      <c r="B372" s="134"/>
      <c r="C372" s="137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</row>
    <row r="373" spans="1:25">
      <c r="A373" s="142"/>
      <c r="B373" s="134"/>
      <c r="C373" s="137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</row>
    <row r="374" spans="1:25">
      <c r="A374" s="142"/>
      <c r="B374" s="134"/>
      <c r="C374" s="137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</row>
    <row r="375" spans="1:25">
      <c r="A375" s="142"/>
      <c r="B375" s="134"/>
      <c r="C375" s="137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</row>
    <row r="376" spans="1:25">
      <c r="A376" s="142"/>
      <c r="B376" s="134"/>
      <c r="C376" s="137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</row>
    <row r="377" spans="1:25">
      <c r="A377" s="142"/>
      <c r="B377" s="134"/>
      <c r="C377" s="137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</row>
    <row r="378" spans="1:25">
      <c r="A378" s="142"/>
      <c r="B378" s="134"/>
      <c r="C378" s="137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</row>
    <row r="379" spans="1:25">
      <c r="A379" s="142"/>
      <c r="B379" s="134"/>
      <c r="C379" s="137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</row>
    <row r="380" spans="1:25">
      <c r="A380" s="142"/>
      <c r="B380" s="134"/>
      <c r="C380" s="137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</row>
    <row r="381" spans="1:25">
      <c r="A381" s="142"/>
      <c r="B381" s="134"/>
      <c r="C381" s="137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</row>
    <row r="382" spans="1:25">
      <c r="A382" s="142"/>
      <c r="B382" s="134"/>
      <c r="C382" s="137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</row>
    <row r="383" spans="1:25">
      <c r="A383" s="142"/>
      <c r="B383" s="134"/>
      <c r="C383" s="137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</row>
    <row r="384" spans="1:25">
      <c r="A384" s="142"/>
      <c r="B384" s="134"/>
      <c r="C384" s="137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</row>
    <row r="385" spans="1:25">
      <c r="A385" s="142"/>
      <c r="B385" s="134"/>
      <c r="C385" s="137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</row>
    <row r="386" spans="1:25">
      <c r="A386" s="142"/>
      <c r="B386" s="134"/>
      <c r="C386" s="137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</row>
    <row r="387" spans="1:25">
      <c r="A387" s="142"/>
      <c r="B387" s="134"/>
      <c r="C387" s="137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</row>
    <row r="388" spans="1:25">
      <c r="A388" s="142"/>
      <c r="B388" s="134"/>
      <c r="C388" s="137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</row>
    <row r="389" spans="1:25">
      <c r="A389" s="142"/>
      <c r="B389" s="134"/>
      <c r="C389" s="137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</row>
    <row r="390" spans="1:25">
      <c r="A390" s="142"/>
      <c r="B390" s="134"/>
      <c r="C390" s="137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</row>
    <row r="391" spans="1:25">
      <c r="A391" s="142"/>
      <c r="B391" s="134"/>
      <c r="C391" s="137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</row>
    <row r="392" spans="1:25">
      <c r="A392" s="142"/>
      <c r="B392" s="134"/>
      <c r="C392" s="137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</row>
    <row r="393" spans="1:25">
      <c r="A393" s="142"/>
      <c r="B393" s="134"/>
      <c r="C393" s="137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</row>
    <row r="394" spans="1:25">
      <c r="A394" s="142"/>
      <c r="B394" s="134"/>
      <c r="C394" s="137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</row>
    <row r="395" spans="1:25">
      <c r="A395" s="142"/>
      <c r="B395" s="134"/>
      <c r="C395" s="137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</row>
    <row r="396" spans="1:25">
      <c r="A396" s="142"/>
      <c r="B396" s="134"/>
      <c r="C396" s="137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</row>
    <row r="397" spans="1:25">
      <c r="A397" s="142"/>
      <c r="B397" s="134"/>
      <c r="C397" s="137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</row>
    <row r="398" spans="1:25">
      <c r="A398" s="142"/>
      <c r="B398" s="134"/>
      <c r="C398" s="137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</row>
    <row r="399" spans="1:25">
      <c r="A399" s="142"/>
      <c r="B399" s="134"/>
      <c r="C399" s="137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</row>
    <row r="400" spans="1:25">
      <c r="A400" s="142"/>
      <c r="B400" s="134"/>
      <c r="C400" s="137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</row>
    <row r="401" spans="1:25">
      <c r="A401" s="142"/>
      <c r="B401" s="134"/>
      <c r="C401" s="137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</row>
    <row r="402" spans="1:25">
      <c r="A402" s="142"/>
      <c r="B402" s="134"/>
      <c r="C402" s="137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</row>
    <row r="403" spans="1:25">
      <c r="A403" s="142"/>
      <c r="B403" s="134"/>
      <c r="C403" s="137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</row>
    <row r="404" spans="1:25">
      <c r="A404" s="142"/>
      <c r="B404" s="134"/>
      <c r="C404" s="137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</row>
    <row r="405" spans="1:25">
      <c r="A405" s="142"/>
      <c r="B405" s="134"/>
      <c r="C405" s="137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</row>
    <row r="406" spans="1:25">
      <c r="A406" s="142"/>
      <c r="B406" s="134"/>
      <c r="C406" s="137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</row>
    <row r="407" spans="1:25">
      <c r="A407" s="142"/>
      <c r="B407" s="134"/>
      <c r="C407" s="137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</row>
    <row r="408" spans="1:25">
      <c r="A408" s="142"/>
      <c r="B408" s="134"/>
      <c r="C408" s="137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</row>
    <row r="409" spans="1:25">
      <c r="A409" s="142"/>
      <c r="B409" s="134"/>
      <c r="C409" s="137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</row>
    <row r="410" spans="1:25">
      <c r="A410" s="142"/>
      <c r="B410" s="134"/>
      <c r="C410" s="137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</row>
    <row r="411" spans="1:25">
      <c r="A411" s="142"/>
      <c r="B411" s="134"/>
      <c r="C411" s="137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</row>
    <row r="412" spans="1:25">
      <c r="A412" s="142"/>
      <c r="B412" s="134"/>
      <c r="C412" s="137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</row>
    <row r="413" spans="1:25">
      <c r="A413" s="142"/>
      <c r="B413" s="134"/>
      <c r="C413" s="137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</row>
    <row r="414" spans="1:25">
      <c r="A414" s="142"/>
      <c r="B414" s="134"/>
      <c r="C414" s="137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</row>
    <row r="415" spans="1:25">
      <c r="A415" s="142"/>
      <c r="B415" s="134"/>
      <c r="C415" s="137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</row>
    <row r="416" spans="1:25">
      <c r="A416" s="142"/>
      <c r="B416" s="134"/>
      <c r="C416" s="137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</row>
    <row r="417" spans="1:25">
      <c r="A417" s="142"/>
      <c r="B417" s="134"/>
      <c r="C417" s="137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</row>
    <row r="418" spans="1:25">
      <c r="A418" s="142"/>
      <c r="B418" s="134"/>
      <c r="C418" s="137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</row>
    <row r="419" spans="1:25">
      <c r="A419" s="142"/>
      <c r="B419" s="134"/>
      <c r="C419" s="137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</row>
    <row r="420" spans="1:25">
      <c r="A420" s="142"/>
      <c r="B420" s="134"/>
      <c r="C420" s="137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</row>
    <row r="421" spans="1:25">
      <c r="A421" s="142"/>
      <c r="B421" s="134"/>
      <c r="C421" s="137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</row>
    <row r="422" spans="1:25">
      <c r="A422" s="142"/>
      <c r="B422" s="134"/>
      <c r="C422" s="137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</row>
    <row r="423" spans="1:25">
      <c r="A423" s="142"/>
      <c r="B423" s="134"/>
      <c r="C423" s="137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</row>
    <row r="424" spans="1:25">
      <c r="A424" s="142"/>
      <c r="B424" s="134"/>
      <c r="C424" s="137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</row>
    <row r="425" spans="1:25">
      <c r="A425" s="142"/>
      <c r="B425" s="134"/>
      <c r="C425" s="137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</row>
    <row r="426" spans="1:25">
      <c r="A426" s="142"/>
      <c r="B426" s="134"/>
      <c r="C426" s="137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</row>
    <row r="427" spans="1:25">
      <c r="A427" s="142"/>
      <c r="B427" s="134"/>
      <c r="C427" s="137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</row>
    <row r="428" spans="1:25">
      <c r="A428" s="142"/>
      <c r="B428" s="134"/>
      <c r="C428" s="137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</row>
    <row r="429" spans="1:25">
      <c r="A429" s="142"/>
      <c r="B429" s="134"/>
      <c r="C429" s="137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</row>
    <row r="430" spans="1:25">
      <c r="A430" s="142"/>
      <c r="B430" s="134"/>
      <c r="C430" s="137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5">
      <c r="A431" s="142"/>
      <c r="B431" s="134"/>
      <c r="C431" s="137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5">
      <c r="A432" s="142"/>
      <c r="B432" s="134"/>
      <c r="C432" s="137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>
      <c r="A433" s="142"/>
      <c r="B433" s="134"/>
      <c r="C433" s="137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</row>
    <row r="434" spans="1:25">
      <c r="A434" s="142"/>
      <c r="B434" s="134"/>
      <c r="C434" s="137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</row>
    <row r="435" spans="1:25">
      <c r="A435" s="142"/>
      <c r="B435" s="134"/>
      <c r="C435" s="137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</row>
    <row r="436" spans="1:25">
      <c r="A436" s="142"/>
      <c r="B436" s="134"/>
      <c r="C436" s="137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</row>
    <row r="437" spans="1:25">
      <c r="A437" s="142"/>
      <c r="B437" s="134"/>
      <c r="C437" s="137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</row>
    <row r="438" spans="1:25">
      <c r="A438" s="142"/>
      <c r="B438" s="134"/>
      <c r="C438" s="137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</row>
    <row r="439" spans="1:25">
      <c r="A439" s="142"/>
      <c r="B439" s="134"/>
      <c r="C439" s="137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</row>
    <row r="440" spans="1:25">
      <c r="A440" s="142"/>
      <c r="B440" s="134"/>
      <c r="C440" s="137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</row>
    <row r="441" spans="1:25">
      <c r="A441" s="142"/>
      <c r="B441" s="134"/>
      <c r="C441" s="137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</row>
    <row r="442" spans="1:25">
      <c r="A442" s="142"/>
      <c r="B442" s="134"/>
      <c r="C442" s="137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</row>
    <row r="443" spans="1:25">
      <c r="A443" s="142"/>
      <c r="B443" s="134"/>
      <c r="C443" s="137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</row>
    <row r="444" spans="1:25">
      <c r="A444" s="142"/>
      <c r="B444" s="134"/>
      <c r="C444" s="137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</row>
    <row r="445" spans="1:25">
      <c r="A445" s="142"/>
      <c r="B445" s="134"/>
      <c r="C445" s="137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</row>
    <row r="446" spans="1:25">
      <c r="A446" s="142"/>
      <c r="B446" s="134"/>
      <c r="C446" s="137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</row>
    <row r="447" spans="1:25">
      <c r="A447" s="142"/>
      <c r="B447" s="134"/>
      <c r="C447" s="137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</row>
    <row r="448" spans="1:25">
      <c r="A448" s="142"/>
      <c r="B448" s="134"/>
      <c r="C448" s="137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</row>
    <row r="449" spans="1:25">
      <c r="A449" s="142"/>
      <c r="B449" s="134"/>
      <c r="C449" s="137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</row>
    <row r="450" spans="1:25">
      <c r="A450" s="142"/>
      <c r="B450" s="134"/>
      <c r="C450" s="137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</row>
    <row r="451" spans="1:25">
      <c r="A451" s="142"/>
      <c r="B451" s="134"/>
      <c r="C451" s="137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</row>
    <row r="452" spans="1:25">
      <c r="A452" s="142"/>
      <c r="B452" s="134"/>
      <c r="C452" s="137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</row>
    <row r="453" spans="1:25">
      <c r="A453" s="142"/>
      <c r="B453" s="134"/>
      <c r="C453" s="137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</row>
    <row r="454" spans="1:25">
      <c r="A454" s="142"/>
      <c r="B454" s="134"/>
      <c r="C454" s="137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</row>
    <row r="455" spans="1:25">
      <c r="A455" s="142"/>
      <c r="B455" s="134"/>
      <c r="C455" s="137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</row>
    <row r="456" spans="1:25">
      <c r="A456" s="142"/>
      <c r="B456" s="134"/>
      <c r="C456" s="137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</row>
    <row r="457" spans="1:25">
      <c r="A457" s="142"/>
      <c r="B457" s="134"/>
      <c r="C457" s="137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</row>
    <row r="458" spans="1:25">
      <c r="A458" s="142"/>
      <c r="B458" s="134"/>
      <c r="C458" s="137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</row>
    <row r="459" spans="1:25">
      <c r="A459" s="142"/>
      <c r="B459" s="134"/>
      <c r="C459" s="137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</row>
    <row r="460" spans="1:25">
      <c r="A460" s="142"/>
      <c r="B460" s="134"/>
      <c r="C460" s="137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</row>
    <row r="461" spans="1:25">
      <c r="A461" s="142"/>
      <c r="B461" s="134"/>
      <c r="C461" s="137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</row>
    <row r="462" spans="1:25">
      <c r="A462" s="142"/>
      <c r="B462" s="134"/>
      <c r="C462" s="137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</row>
    <row r="463" spans="1:25">
      <c r="A463" s="142"/>
      <c r="B463" s="134"/>
      <c r="C463" s="137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</row>
    <row r="464" spans="1:25">
      <c r="A464" s="142"/>
      <c r="B464" s="134"/>
      <c r="C464" s="137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</row>
    <row r="465" spans="1:25">
      <c r="A465" s="142"/>
      <c r="B465" s="134"/>
      <c r="C465" s="137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</row>
    <row r="466" spans="1:25">
      <c r="A466" s="142"/>
      <c r="B466" s="134"/>
      <c r="C466" s="137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</row>
    <row r="467" spans="1:25">
      <c r="A467" s="142"/>
      <c r="B467" s="134"/>
      <c r="C467" s="137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</row>
    <row r="468" spans="1:25">
      <c r="A468" s="142"/>
      <c r="B468" s="134"/>
      <c r="C468" s="137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</row>
    <row r="469" spans="1:25">
      <c r="A469" s="142"/>
      <c r="B469" s="134"/>
      <c r="C469" s="137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</row>
    <row r="470" spans="1:25">
      <c r="A470" s="142"/>
      <c r="B470" s="134"/>
      <c r="C470" s="137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</row>
    <row r="471" spans="1:25">
      <c r="A471" s="142"/>
      <c r="B471" s="134"/>
      <c r="C471" s="137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</row>
    <row r="472" spans="1:25">
      <c r="A472" s="142"/>
      <c r="B472" s="134"/>
      <c r="C472" s="137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</row>
    <row r="473" spans="1:25">
      <c r="A473" s="142"/>
      <c r="B473" s="134"/>
      <c r="C473" s="137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</row>
    <row r="474" spans="1:25">
      <c r="A474" s="142"/>
      <c r="B474" s="134"/>
      <c r="C474" s="137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</row>
    <row r="475" spans="1:25">
      <c r="A475" s="142"/>
      <c r="B475" s="134"/>
      <c r="C475" s="137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</row>
    <row r="476" spans="1:25">
      <c r="A476" s="142"/>
      <c r="B476" s="134"/>
      <c r="C476" s="137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</row>
    <row r="477" spans="1:25">
      <c r="A477" s="142"/>
      <c r="B477" s="134"/>
      <c r="C477" s="137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</row>
    <row r="478" spans="1:25">
      <c r="A478" s="142"/>
      <c r="B478" s="134"/>
      <c r="C478" s="137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</row>
    <row r="479" spans="1:25">
      <c r="A479" s="142"/>
      <c r="B479" s="134"/>
      <c r="C479" s="137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</row>
    <row r="480" spans="1:25">
      <c r="A480" s="142"/>
      <c r="B480" s="134"/>
      <c r="C480" s="137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</row>
    <row r="481" spans="1:25">
      <c r="A481" s="142"/>
      <c r="B481" s="134"/>
      <c r="C481" s="137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</row>
    <row r="482" spans="1:25">
      <c r="A482" s="142"/>
      <c r="B482" s="134"/>
      <c r="C482" s="137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</row>
    <row r="483" spans="1:25">
      <c r="A483" s="142"/>
      <c r="B483" s="134"/>
      <c r="C483" s="137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</row>
    <row r="484" spans="1:25">
      <c r="A484" s="142"/>
      <c r="B484" s="134"/>
      <c r="C484" s="137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</row>
    <row r="485" spans="1:25">
      <c r="A485" s="142"/>
      <c r="B485" s="134"/>
      <c r="C485" s="137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</row>
    <row r="486" spans="1:25">
      <c r="A486" s="142"/>
      <c r="B486" s="134"/>
      <c r="C486" s="137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</row>
    <row r="487" spans="1:25">
      <c r="A487" s="142"/>
      <c r="B487" s="134"/>
      <c r="C487" s="137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</row>
    <row r="488" spans="1:25">
      <c r="A488" s="142"/>
      <c r="B488" s="134"/>
      <c r="C488" s="137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</row>
    <row r="489" spans="1:25">
      <c r="A489" s="142"/>
      <c r="B489" s="134"/>
      <c r="C489" s="137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</row>
    <row r="490" spans="1:25">
      <c r="A490" s="142"/>
      <c r="B490" s="134"/>
      <c r="C490" s="137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</row>
    <row r="491" spans="1:25">
      <c r="A491" s="142"/>
      <c r="B491" s="134"/>
      <c r="C491" s="137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</row>
    <row r="492" spans="1:25">
      <c r="A492" s="142"/>
      <c r="B492" s="134"/>
      <c r="C492" s="137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</row>
    <row r="493" spans="1:25">
      <c r="A493" s="142"/>
      <c r="B493" s="134"/>
      <c r="C493" s="137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</row>
    <row r="494" spans="1:25">
      <c r="A494" s="142"/>
      <c r="B494" s="134"/>
      <c r="C494" s="137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</row>
    <row r="495" spans="1:25">
      <c r="A495" s="142"/>
      <c r="B495" s="134"/>
      <c r="C495" s="137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</row>
    <row r="496" spans="1:25">
      <c r="A496" s="142"/>
      <c r="B496" s="134"/>
      <c r="C496" s="137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</row>
    <row r="497" spans="1:25">
      <c r="A497" s="142"/>
      <c r="B497" s="134"/>
      <c r="C497" s="137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</row>
    <row r="498" spans="1:25">
      <c r="A498" s="142"/>
      <c r="B498" s="134"/>
      <c r="C498" s="137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</row>
    <row r="499" spans="1:25">
      <c r="A499" s="142"/>
      <c r="B499" s="134"/>
      <c r="C499" s="137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</row>
    <row r="500" spans="1:25">
      <c r="A500" s="142"/>
      <c r="B500" s="134"/>
      <c r="C500" s="137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</row>
    <row r="501" spans="1:25">
      <c r="A501" s="142"/>
      <c r="B501" s="134"/>
      <c r="C501" s="137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</row>
    <row r="502" spans="1:25">
      <c r="A502" s="142"/>
      <c r="B502" s="134"/>
      <c r="C502" s="137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</row>
    <row r="503" spans="1:25">
      <c r="A503" s="142"/>
      <c r="B503" s="134"/>
      <c r="C503" s="137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</row>
    <row r="504" spans="1:25">
      <c r="A504" s="142"/>
      <c r="B504" s="134"/>
      <c r="C504" s="137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</row>
    <row r="505" spans="1:25">
      <c r="A505" s="142"/>
      <c r="B505" s="134"/>
      <c r="C505" s="137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</row>
    <row r="506" spans="1:25">
      <c r="A506" s="142"/>
      <c r="B506" s="134"/>
      <c r="C506" s="137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</row>
    <row r="507" spans="1:25">
      <c r="A507" s="142"/>
      <c r="B507" s="134"/>
      <c r="C507" s="137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</row>
    <row r="508" spans="1:25">
      <c r="A508" s="142"/>
      <c r="B508" s="134"/>
      <c r="C508" s="137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</row>
    <row r="509" spans="1:25">
      <c r="A509" s="142"/>
      <c r="B509" s="134"/>
      <c r="C509" s="137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</row>
    <row r="510" spans="1:25">
      <c r="A510" s="142"/>
      <c r="B510" s="134"/>
      <c r="C510" s="137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</row>
    <row r="511" spans="1:25">
      <c r="A511" s="142"/>
      <c r="B511" s="134"/>
      <c r="C511" s="137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</row>
    <row r="512" spans="1:25">
      <c r="A512" s="142"/>
      <c r="B512" s="134"/>
      <c r="C512" s="137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</row>
    <row r="513" spans="1:25">
      <c r="A513" s="142"/>
      <c r="B513" s="134"/>
      <c r="C513" s="137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</row>
    <row r="514" spans="1:25">
      <c r="A514" s="142"/>
      <c r="B514" s="134"/>
      <c r="C514" s="137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</row>
    <row r="515" spans="1:25">
      <c r="A515" s="142"/>
      <c r="B515" s="134"/>
      <c r="C515" s="137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</row>
    <row r="516" spans="1:25">
      <c r="A516" s="142"/>
      <c r="B516" s="134"/>
      <c r="C516" s="137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</row>
    <row r="517" spans="1:25">
      <c r="A517" s="142"/>
      <c r="B517" s="134"/>
      <c r="C517" s="137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</row>
    <row r="518" spans="1:25">
      <c r="A518" s="142"/>
      <c r="B518" s="134"/>
      <c r="C518" s="137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</row>
    <row r="519" spans="1:25">
      <c r="A519" s="142"/>
      <c r="B519" s="134"/>
      <c r="C519" s="137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</row>
    <row r="520" spans="1:25">
      <c r="A520" s="142"/>
      <c r="B520" s="134"/>
      <c r="C520" s="137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</row>
    <row r="521" spans="1:25">
      <c r="A521" s="142"/>
      <c r="B521" s="134"/>
      <c r="C521" s="137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</row>
    <row r="522" spans="1:25">
      <c r="A522" s="142"/>
      <c r="B522" s="134"/>
      <c r="C522" s="137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</row>
    <row r="523" spans="1:25">
      <c r="A523" s="142"/>
      <c r="B523" s="134"/>
      <c r="C523" s="137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</row>
    <row r="524" spans="1:25">
      <c r="A524" s="142"/>
      <c r="B524" s="134"/>
      <c r="C524" s="137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</row>
    <row r="525" spans="1:25">
      <c r="A525" s="142"/>
      <c r="B525" s="134"/>
      <c r="C525" s="137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</row>
    <row r="526" spans="1:25">
      <c r="A526" s="142"/>
      <c r="B526" s="134"/>
      <c r="C526" s="137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</row>
    <row r="527" spans="1:25">
      <c r="A527" s="142"/>
      <c r="B527" s="134"/>
      <c r="C527" s="137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</row>
    <row r="528" spans="1:25">
      <c r="A528" s="142"/>
      <c r="B528" s="134"/>
      <c r="C528" s="137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1:25">
      <c r="A529" s="142"/>
      <c r="B529" s="134"/>
      <c r="C529" s="137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</row>
    <row r="530" spans="1:25">
      <c r="A530" s="142"/>
      <c r="B530" s="134"/>
      <c r="C530" s="137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</row>
    <row r="531" spans="1:25">
      <c r="A531" s="142"/>
      <c r="B531" s="134"/>
      <c r="C531" s="137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</row>
    <row r="532" spans="1:25">
      <c r="A532" s="142"/>
      <c r="B532" s="134"/>
      <c r="C532" s="137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</row>
    <row r="533" spans="1:25">
      <c r="A533" s="142"/>
      <c r="B533" s="134"/>
      <c r="C533" s="137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</row>
    <row r="534" spans="1:25">
      <c r="A534" s="142"/>
      <c r="B534" s="134"/>
      <c r="C534" s="137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</row>
    <row r="535" spans="1:25">
      <c r="A535" s="142"/>
      <c r="B535" s="134"/>
      <c r="C535" s="137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</row>
    <row r="536" spans="1:25">
      <c r="A536" s="142"/>
      <c r="B536" s="134"/>
      <c r="C536" s="137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</row>
    <row r="537" spans="1:25">
      <c r="A537" s="142"/>
      <c r="B537" s="134"/>
      <c r="C537" s="137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</row>
    <row r="538" spans="1:25">
      <c r="A538" s="142"/>
      <c r="B538" s="134"/>
      <c r="C538" s="137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</row>
    <row r="539" spans="1:25">
      <c r="A539" s="142"/>
      <c r="B539" s="134"/>
      <c r="C539" s="137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</row>
    <row r="540" spans="1:25">
      <c r="A540" s="142"/>
      <c r="B540" s="134"/>
      <c r="C540" s="137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</row>
    <row r="541" spans="1:25">
      <c r="A541" s="142"/>
      <c r="B541" s="134"/>
      <c r="C541" s="137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1:25">
      <c r="A542" s="142"/>
      <c r="B542" s="134"/>
      <c r="C542" s="137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</row>
    <row r="543" spans="1:25">
      <c r="A543" s="142"/>
      <c r="B543" s="134"/>
      <c r="C543" s="137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</row>
    <row r="544" spans="1:25">
      <c r="A544" s="142"/>
      <c r="B544" s="134"/>
      <c r="C544" s="137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</row>
    <row r="545" spans="1:25">
      <c r="A545" s="142"/>
      <c r="B545" s="134"/>
      <c r="C545" s="137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</row>
    <row r="546" spans="1:25">
      <c r="A546" s="142"/>
      <c r="B546" s="134"/>
      <c r="C546" s="137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</row>
    <row r="547" spans="1:25">
      <c r="A547" s="142"/>
      <c r="B547" s="134"/>
      <c r="C547" s="137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</row>
    <row r="548" spans="1:25">
      <c r="A548" s="142"/>
      <c r="B548" s="134"/>
      <c r="C548" s="137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</row>
    <row r="549" spans="1:25">
      <c r="A549" s="142"/>
      <c r="B549" s="134"/>
      <c r="C549" s="137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</row>
    <row r="550" spans="1:25">
      <c r="A550" s="142"/>
      <c r="B550" s="134"/>
      <c r="C550" s="137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</row>
    <row r="551" spans="1:25">
      <c r="A551" s="142"/>
      <c r="B551" s="134"/>
      <c r="C551" s="137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</row>
    <row r="552" spans="1:25">
      <c r="A552" s="142"/>
      <c r="B552" s="134"/>
      <c r="C552" s="137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</row>
    <row r="553" spans="1:25">
      <c r="A553" s="142"/>
      <c r="B553" s="134"/>
      <c r="C553" s="137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</row>
    <row r="554" spans="1:25">
      <c r="A554" s="142"/>
      <c r="B554" s="134"/>
      <c r="C554" s="137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</row>
    <row r="555" spans="1:25">
      <c r="A555" s="142"/>
      <c r="B555" s="134"/>
      <c r="C555" s="137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</row>
    <row r="556" spans="1:25">
      <c r="A556" s="142"/>
      <c r="B556" s="134"/>
      <c r="C556" s="137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</row>
    <row r="557" spans="1:25">
      <c r="A557" s="142"/>
      <c r="B557" s="134"/>
      <c r="C557" s="137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</row>
    <row r="558" spans="1:25">
      <c r="A558" s="142"/>
      <c r="B558" s="134"/>
      <c r="C558" s="137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</row>
    <row r="559" spans="1:25">
      <c r="A559" s="142"/>
      <c r="B559" s="134"/>
      <c r="C559" s="137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</row>
    <row r="560" spans="1:25">
      <c r="A560" s="142"/>
      <c r="B560" s="134"/>
      <c r="C560" s="137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</row>
    <row r="561" spans="1:25">
      <c r="A561" s="142"/>
      <c r="B561" s="134"/>
      <c r="C561" s="137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</row>
    <row r="562" spans="1:25">
      <c r="A562" s="142"/>
      <c r="B562" s="134"/>
      <c r="C562" s="137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</row>
    <row r="563" spans="1:25">
      <c r="A563" s="142"/>
      <c r="B563" s="134"/>
      <c r="C563" s="137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</row>
    <row r="564" spans="1:25">
      <c r="A564" s="142"/>
      <c r="B564" s="134"/>
      <c r="C564" s="137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</row>
    <row r="565" spans="1:25">
      <c r="A565" s="142"/>
      <c r="B565" s="134"/>
      <c r="C565" s="137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</row>
    <row r="566" spans="1:25">
      <c r="A566" s="142"/>
      <c r="B566" s="134"/>
      <c r="C566" s="137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</row>
    <row r="567" spans="1:25">
      <c r="A567" s="142"/>
      <c r="B567" s="134"/>
      <c r="C567" s="137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</row>
    <row r="568" spans="1:25">
      <c r="A568" s="142"/>
      <c r="B568" s="134"/>
      <c r="C568" s="137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</row>
    <row r="569" spans="1:25">
      <c r="A569" s="142"/>
      <c r="B569" s="134"/>
      <c r="C569" s="137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</row>
    <row r="570" spans="1:25">
      <c r="A570" s="142"/>
      <c r="B570" s="134"/>
      <c r="C570" s="137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</row>
    <row r="571" spans="1:25">
      <c r="A571" s="142"/>
      <c r="B571" s="134"/>
      <c r="C571" s="137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</row>
    <row r="572" spans="1:25">
      <c r="A572" s="142"/>
      <c r="B572" s="134"/>
      <c r="C572" s="137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</row>
    <row r="573" spans="1:25">
      <c r="A573" s="142"/>
      <c r="B573" s="134"/>
      <c r="C573" s="137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</row>
    <row r="574" spans="1:25">
      <c r="A574" s="142"/>
      <c r="B574" s="134"/>
      <c r="C574" s="137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</row>
    <row r="575" spans="1:25">
      <c r="A575" s="142"/>
      <c r="B575" s="134"/>
      <c r="C575" s="137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</row>
    <row r="576" spans="1:25">
      <c r="A576" s="142"/>
      <c r="B576" s="134"/>
      <c r="C576" s="137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</row>
    <row r="577" spans="1:25">
      <c r="A577" s="142"/>
      <c r="B577" s="134"/>
      <c r="C577" s="137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</row>
    <row r="578" spans="1:25">
      <c r="A578" s="142"/>
      <c r="B578" s="134"/>
      <c r="C578" s="137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</row>
    <row r="579" spans="1:25">
      <c r="A579" s="142"/>
      <c r="B579" s="134"/>
      <c r="C579" s="137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</row>
    <row r="580" spans="1:25">
      <c r="A580" s="142"/>
      <c r="B580" s="134"/>
      <c r="C580" s="137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</row>
    <row r="581" spans="1:25">
      <c r="A581" s="142"/>
      <c r="B581" s="134"/>
      <c r="C581" s="137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</row>
    <row r="582" spans="1:25">
      <c r="A582" s="142"/>
      <c r="B582" s="134"/>
      <c r="C582" s="137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</row>
    <row r="583" spans="1:25">
      <c r="A583" s="142"/>
      <c r="B583" s="134"/>
      <c r="C583" s="137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</row>
    <row r="584" spans="1:25">
      <c r="A584" s="142"/>
      <c r="B584" s="134"/>
      <c r="C584" s="137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</row>
    <row r="585" spans="1:25">
      <c r="A585" s="142"/>
      <c r="B585" s="134"/>
      <c r="C585" s="137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</row>
    <row r="586" spans="1:25">
      <c r="A586" s="142"/>
      <c r="B586" s="134"/>
      <c r="C586" s="137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</row>
    <row r="587" spans="1:25">
      <c r="A587" s="142"/>
      <c r="B587" s="134"/>
      <c r="C587" s="137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</row>
    <row r="588" spans="1:25">
      <c r="A588" s="142"/>
      <c r="B588" s="134"/>
      <c r="C588" s="137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</row>
    <row r="589" spans="1:25">
      <c r="A589" s="142"/>
      <c r="B589" s="134"/>
      <c r="C589" s="137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</row>
    <row r="590" spans="1:25">
      <c r="A590" s="142"/>
      <c r="B590" s="134"/>
      <c r="C590" s="137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</row>
    <row r="591" spans="1:25">
      <c r="A591" s="142"/>
      <c r="B591" s="134"/>
      <c r="C591" s="137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</row>
    <row r="592" spans="1:25">
      <c r="A592" s="142"/>
      <c r="B592" s="134"/>
      <c r="C592" s="137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</row>
    <row r="593" spans="1:25">
      <c r="A593" s="142"/>
      <c r="B593" s="134"/>
      <c r="C593" s="137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</row>
    <row r="594" spans="1:25">
      <c r="A594" s="142"/>
      <c r="B594" s="134"/>
      <c r="C594" s="137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</row>
    <row r="595" spans="1:25">
      <c r="A595" s="142"/>
      <c r="B595" s="134"/>
      <c r="C595" s="137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</row>
    <row r="596" spans="1:25">
      <c r="A596" s="142"/>
      <c r="B596" s="134"/>
      <c r="C596" s="137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</row>
    <row r="597" spans="1:25">
      <c r="A597" s="142"/>
      <c r="B597" s="134"/>
      <c r="C597" s="137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</row>
    <row r="598" spans="1:25">
      <c r="A598" s="142"/>
      <c r="B598" s="134"/>
      <c r="C598" s="137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</row>
    <row r="599" spans="1:25">
      <c r="A599" s="142"/>
      <c r="B599" s="134"/>
      <c r="C599" s="137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</row>
    <row r="600" spans="1:25">
      <c r="A600" s="142"/>
      <c r="B600" s="134"/>
      <c r="C600" s="137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</row>
    <row r="601" spans="1:25">
      <c r="A601" s="142"/>
      <c r="B601" s="134"/>
      <c r="C601" s="137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</row>
    <row r="602" spans="1:25">
      <c r="A602" s="142"/>
      <c r="B602" s="134"/>
      <c r="C602" s="137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</row>
    <row r="603" spans="1:25">
      <c r="A603" s="142"/>
      <c r="B603" s="134"/>
      <c r="C603" s="137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</row>
    <row r="604" spans="1:25">
      <c r="A604" s="142"/>
      <c r="B604" s="134"/>
      <c r="C604" s="137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</row>
    <row r="605" spans="1:25">
      <c r="A605" s="142"/>
      <c r="B605" s="134"/>
      <c r="C605" s="137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</row>
    <row r="606" spans="1:25">
      <c r="A606" s="142"/>
      <c r="B606" s="134"/>
      <c r="C606" s="137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</row>
    <row r="607" spans="1:25">
      <c r="A607" s="142"/>
      <c r="B607" s="134"/>
      <c r="C607" s="137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</row>
    <row r="608" spans="1:25">
      <c r="A608" s="142"/>
      <c r="B608" s="134"/>
      <c r="C608" s="137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</row>
    <row r="609" spans="1:25">
      <c r="A609" s="142"/>
      <c r="B609" s="134"/>
      <c r="C609" s="137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</row>
    <row r="610" spans="1:25">
      <c r="A610" s="142"/>
      <c r="B610" s="134"/>
      <c r="C610" s="137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</row>
    <row r="611" spans="1:25">
      <c r="A611" s="142"/>
      <c r="B611" s="134"/>
      <c r="C611" s="137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</row>
    <row r="612" spans="1:25">
      <c r="A612" s="142"/>
      <c r="B612" s="134"/>
      <c r="C612" s="137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</row>
    <row r="613" spans="1:25">
      <c r="A613" s="142"/>
      <c r="B613" s="134"/>
      <c r="C613" s="137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</row>
    <row r="614" spans="1:25">
      <c r="A614" s="142"/>
      <c r="B614" s="134"/>
      <c r="C614" s="137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</row>
    <row r="615" spans="1:25">
      <c r="A615" s="142"/>
      <c r="B615" s="134"/>
      <c r="C615" s="137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</row>
    <row r="616" spans="1:25">
      <c r="A616" s="142"/>
      <c r="B616" s="134"/>
      <c r="C616" s="137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</row>
    <row r="617" spans="1:25">
      <c r="A617" s="142"/>
      <c r="B617" s="134"/>
      <c r="C617" s="137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</row>
    <row r="618" spans="1:25">
      <c r="A618" s="142"/>
      <c r="B618" s="134"/>
      <c r="C618" s="137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</row>
    <row r="619" spans="1:25">
      <c r="A619" s="142"/>
      <c r="B619" s="134"/>
      <c r="C619" s="137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</row>
    <row r="620" spans="1:25">
      <c r="A620" s="142"/>
      <c r="B620" s="134"/>
      <c r="C620" s="137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</row>
    <row r="621" spans="1:25">
      <c r="A621" s="142"/>
      <c r="B621" s="134"/>
      <c r="C621" s="137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</row>
    <row r="622" spans="1:25">
      <c r="A622" s="142"/>
      <c r="B622" s="134"/>
      <c r="C622" s="137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</row>
    <row r="623" spans="1:25">
      <c r="A623" s="142"/>
      <c r="B623" s="134"/>
      <c r="C623" s="137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</row>
    <row r="624" spans="1:25">
      <c r="A624" s="142"/>
      <c r="B624" s="134"/>
      <c r="C624" s="137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</row>
    <row r="625" spans="1:25">
      <c r="A625" s="142"/>
      <c r="B625" s="134"/>
      <c r="C625" s="137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</row>
    <row r="626" spans="1:25">
      <c r="A626" s="142"/>
      <c r="B626" s="134"/>
      <c r="C626" s="137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</row>
    <row r="627" spans="1:25">
      <c r="A627" s="142"/>
      <c r="B627" s="134"/>
      <c r="C627" s="137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</row>
    <row r="628" spans="1:25">
      <c r="A628" s="142"/>
      <c r="B628" s="134"/>
      <c r="C628" s="137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</row>
    <row r="629" spans="1:25">
      <c r="A629" s="142"/>
      <c r="B629" s="134"/>
      <c r="C629" s="137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</row>
    <row r="630" spans="1:25">
      <c r="A630" s="142"/>
      <c r="B630" s="134"/>
      <c r="C630" s="137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</row>
    <row r="631" spans="1:25">
      <c r="A631" s="142"/>
      <c r="B631" s="134"/>
      <c r="C631" s="137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1:25">
      <c r="A632" s="142"/>
      <c r="B632" s="134"/>
      <c r="C632" s="137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1:25">
      <c r="A633" s="142"/>
      <c r="B633" s="134"/>
      <c r="C633" s="137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1:25">
      <c r="A634" s="142"/>
      <c r="B634" s="134"/>
      <c r="C634" s="137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1:25">
      <c r="A635" s="142"/>
      <c r="B635" s="134"/>
      <c r="C635" s="137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1:25">
      <c r="A636" s="142"/>
      <c r="B636" s="134"/>
      <c r="C636" s="137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1:25">
      <c r="A637" s="142"/>
      <c r="B637" s="134"/>
      <c r="C637" s="137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1:25">
      <c r="A638" s="142"/>
      <c r="B638" s="134"/>
      <c r="C638" s="137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1:25">
      <c r="A639" s="142"/>
      <c r="B639" s="134"/>
      <c r="C639" s="137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1:25">
      <c r="A640" s="142"/>
      <c r="B640" s="134"/>
      <c r="C640" s="137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1:25">
      <c r="A641" s="142"/>
      <c r="B641" s="134"/>
      <c r="C641" s="137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1:25">
      <c r="A642" s="142"/>
      <c r="B642" s="134"/>
      <c r="C642" s="137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1:25">
      <c r="A643" s="142"/>
      <c r="B643" s="134"/>
      <c r="C643" s="137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1:25">
      <c r="A644" s="142"/>
      <c r="B644" s="134"/>
      <c r="C644" s="137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1:25">
      <c r="A645" s="142"/>
      <c r="B645" s="134"/>
      <c r="C645" s="137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1:25">
      <c r="A646" s="142"/>
      <c r="B646" s="134"/>
      <c r="C646" s="137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1:25">
      <c r="A647" s="142"/>
      <c r="B647" s="134"/>
      <c r="C647" s="137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1:25">
      <c r="A648" s="142"/>
      <c r="B648" s="134"/>
      <c r="C648" s="137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1:25">
      <c r="A649" s="142"/>
      <c r="B649" s="134"/>
      <c r="C649" s="137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1:25">
      <c r="A650" s="142"/>
      <c r="B650" s="134"/>
      <c r="C650" s="137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1:25">
      <c r="A651" s="142"/>
      <c r="B651" s="134"/>
      <c r="C651" s="137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1:25">
      <c r="A652" s="142"/>
      <c r="B652" s="134"/>
      <c r="C652" s="137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1:25">
      <c r="A653" s="142"/>
      <c r="B653" s="134"/>
      <c r="C653" s="137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1:25">
      <c r="A654" s="142"/>
      <c r="B654" s="134"/>
      <c r="C654" s="137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1:25">
      <c r="A655" s="142"/>
      <c r="B655" s="134"/>
      <c r="C655" s="137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1:25">
      <c r="A656" s="142"/>
      <c r="B656" s="134"/>
      <c r="C656" s="137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1:25">
      <c r="A657" s="142"/>
      <c r="B657" s="134"/>
      <c r="C657" s="137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1:25">
      <c r="A658" s="142"/>
      <c r="B658" s="134"/>
      <c r="C658" s="137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1:25">
      <c r="A659" s="142"/>
      <c r="B659" s="134"/>
      <c r="C659" s="137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1:25">
      <c r="A660" s="142"/>
      <c r="B660" s="134"/>
      <c r="C660" s="137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1:25">
      <c r="A661" s="142"/>
      <c r="B661" s="134"/>
      <c r="C661" s="137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1:25">
      <c r="A662" s="142"/>
      <c r="B662" s="134"/>
      <c r="C662" s="137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1:25">
      <c r="A663" s="142"/>
      <c r="B663" s="134"/>
      <c r="C663" s="137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1:25">
      <c r="A664" s="142"/>
      <c r="B664" s="134"/>
      <c r="C664" s="137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1:25">
      <c r="A665" s="142"/>
      <c r="B665" s="134"/>
      <c r="C665" s="137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1:25">
      <c r="A666" s="142"/>
      <c r="B666" s="134"/>
      <c r="C666" s="137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1:25">
      <c r="A667" s="142"/>
      <c r="B667" s="134"/>
      <c r="C667" s="137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1:25">
      <c r="A668" s="142"/>
      <c r="B668" s="134"/>
      <c r="C668" s="137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1:25">
      <c r="A669" s="142"/>
      <c r="B669" s="134"/>
      <c r="C669" s="137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1:25">
      <c r="A670" s="142"/>
      <c r="B670" s="134"/>
      <c r="C670" s="137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1:25">
      <c r="A671" s="142"/>
      <c r="B671" s="134"/>
      <c r="C671" s="137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1:25">
      <c r="A672" s="142"/>
      <c r="B672" s="134"/>
      <c r="C672" s="137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1:25">
      <c r="A673" s="142"/>
      <c r="B673" s="134"/>
      <c r="C673" s="137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1:25">
      <c r="A674" s="142"/>
      <c r="B674" s="134"/>
      <c r="C674" s="137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1:25">
      <c r="A675" s="142"/>
      <c r="B675" s="134"/>
      <c r="C675" s="137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1:25">
      <c r="A676" s="142"/>
      <c r="B676" s="134"/>
      <c r="C676" s="137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1:25">
      <c r="A677" s="142"/>
      <c r="B677" s="134"/>
      <c r="C677" s="137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1:25">
      <c r="A678" s="142"/>
      <c r="B678" s="134"/>
      <c r="C678" s="137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1:25">
      <c r="A679" s="142"/>
      <c r="B679" s="134"/>
      <c r="C679" s="137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1:25">
      <c r="A680" s="142"/>
      <c r="B680" s="134"/>
      <c r="C680" s="137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1:25">
      <c r="A681" s="142"/>
      <c r="B681" s="134"/>
      <c r="C681" s="137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1:25">
      <c r="A682" s="142"/>
      <c r="B682" s="134"/>
      <c r="C682" s="137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1:25">
      <c r="A683" s="142"/>
      <c r="B683" s="134"/>
      <c r="C683" s="137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1:25">
      <c r="A684" s="142"/>
      <c r="B684" s="134"/>
      <c r="C684" s="137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1:25">
      <c r="A685" s="142"/>
      <c r="B685" s="134"/>
      <c r="C685" s="137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1:25">
      <c r="A686" s="142"/>
      <c r="B686" s="134"/>
      <c r="C686" s="137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1:25">
      <c r="A687" s="142"/>
      <c r="B687" s="134"/>
      <c r="C687" s="137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1:25">
      <c r="A688" s="142"/>
      <c r="B688" s="134"/>
      <c r="C688" s="137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1:25">
      <c r="A689" s="142"/>
      <c r="B689" s="134"/>
      <c r="C689" s="137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1:25">
      <c r="A690" s="142"/>
      <c r="B690" s="134"/>
      <c r="C690" s="137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1:25">
      <c r="A691" s="142"/>
      <c r="B691" s="134"/>
      <c r="C691" s="137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1:25">
      <c r="A692" s="142"/>
      <c r="B692" s="134"/>
      <c r="C692" s="137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1:25">
      <c r="A693" s="142"/>
      <c r="B693" s="134"/>
      <c r="C693" s="137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1:25">
      <c r="A694" s="142"/>
      <c r="B694" s="134"/>
      <c r="C694" s="137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1:25">
      <c r="A695" s="142"/>
      <c r="B695" s="134"/>
      <c r="C695" s="137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1:25">
      <c r="A696" s="142"/>
      <c r="B696" s="134"/>
      <c r="C696" s="137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1:25">
      <c r="A697" s="142"/>
      <c r="B697" s="134"/>
      <c r="C697" s="137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1:25">
      <c r="A698" s="142"/>
      <c r="B698" s="134"/>
      <c r="C698" s="137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1:25">
      <c r="A699" s="142"/>
      <c r="B699" s="134"/>
      <c r="C699" s="137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1:25">
      <c r="A700" s="142"/>
      <c r="B700" s="134"/>
      <c r="C700" s="137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1:25">
      <c r="A701" s="142"/>
      <c r="B701" s="134"/>
      <c r="C701" s="137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1:25">
      <c r="A702" s="142"/>
      <c r="B702" s="134"/>
      <c r="C702" s="137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1:25">
      <c r="A703" s="142"/>
      <c r="B703" s="134"/>
      <c r="C703" s="137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1:25">
      <c r="A704" s="142"/>
      <c r="B704" s="134"/>
      <c r="C704" s="137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1:25">
      <c r="A705" s="142"/>
      <c r="B705" s="134"/>
      <c r="C705" s="137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1:25">
      <c r="A706" s="142"/>
      <c r="B706" s="134"/>
      <c r="C706" s="137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1:25">
      <c r="A707" s="142"/>
      <c r="B707" s="134"/>
      <c r="C707" s="137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1:25">
      <c r="A708" s="142"/>
      <c r="B708" s="134"/>
      <c r="C708" s="137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1:25">
      <c r="A709" s="142"/>
      <c r="B709" s="134"/>
      <c r="C709" s="137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1:25">
      <c r="A710" s="142"/>
      <c r="B710" s="134"/>
      <c r="C710" s="137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1:25">
      <c r="A711" s="142"/>
      <c r="B711" s="134"/>
      <c r="C711" s="137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1:25">
      <c r="A712" s="142"/>
      <c r="B712" s="134"/>
      <c r="C712" s="137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1:25">
      <c r="A713" s="142"/>
      <c r="B713" s="134"/>
      <c r="C713" s="137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1:25">
      <c r="A714" s="142"/>
      <c r="B714" s="134"/>
      <c r="C714" s="137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1:25">
      <c r="A715" s="142"/>
      <c r="B715" s="134"/>
      <c r="C715" s="137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1:25">
      <c r="A716" s="142"/>
      <c r="B716" s="134"/>
      <c r="C716" s="137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1:25">
      <c r="A717" s="142"/>
      <c r="B717" s="134"/>
      <c r="C717" s="137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1:25">
      <c r="A718" s="142"/>
      <c r="B718" s="134"/>
      <c r="C718" s="137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1:25">
      <c r="A719" s="142"/>
      <c r="B719" s="134"/>
      <c r="C719" s="137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1:25">
      <c r="A720" s="142"/>
      <c r="B720" s="134"/>
      <c r="C720" s="137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1:25">
      <c r="A721" s="142"/>
      <c r="B721" s="134"/>
      <c r="C721" s="137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1:25">
      <c r="A722" s="142"/>
      <c r="B722" s="134"/>
      <c r="C722" s="137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1:25">
      <c r="A723" s="142"/>
      <c r="B723" s="134"/>
      <c r="C723" s="137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1:25">
      <c r="A724" s="142"/>
      <c r="B724" s="134"/>
      <c r="C724" s="137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1:25">
      <c r="A725" s="142"/>
      <c r="B725" s="134"/>
      <c r="C725" s="137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1:25">
      <c r="A726" s="142"/>
      <c r="B726" s="134"/>
      <c r="C726" s="137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1:25">
      <c r="A727" s="142"/>
      <c r="B727" s="134"/>
      <c r="C727" s="137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1:25">
      <c r="A728" s="142"/>
      <c r="B728" s="134"/>
      <c r="C728" s="137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1:25">
      <c r="A729" s="142"/>
      <c r="B729" s="134"/>
      <c r="C729" s="137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1:25">
      <c r="A730" s="142"/>
      <c r="B730" s="134"/>
      <c r="C730" s="137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1:25">
      <c r="A731" s="142"/>
      <c r="B731" s="134"/>
      <c r="C731" s="137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1:25">
      <c r="A732" s="142"/>
      <c r="B732" s="134"/>
      <c r="C732" s="137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1:25">
      <c r="A733" s="142"/>
      <c r="B733" s="134"/>
      <c r="C733" s="137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1:25">
      <c r="A734" s="142"/>
      <c r="B734" s="134"/>
      <c r="C734" s="137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1:25">
      <c r="A735" s="142"/>
      <c r="B735" s="134"/>
      <c r="C735" s="137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1:25">
      <c r="A736" s="142"/>
      <c r="B736" s="134"/>
      <c r="C736" s="137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1:25">
      <c r="A737" s="142"/>
      <c r="B737" s="134"/>
      <c r="C737" s="137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1:25">
      <c r="A738" s="142"/>
      <c r="B738" s="134"/>
      <c r="C738" s="137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1:25">
      <c r="A739" s="142"/>
      <c r="B739" s="134"/>
      <c r="C739" s="137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1:25">
      <c r="A740" s="142"/>
      <c r="B740" s="134"/>
      <c r="C740" s="137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1:25">
      <c r="A741" s="142"/>
      <c r="B741" s="134"/>
      <c r="C741" s="137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1:25">
      <c r="A742" s="142"/>
      <c r="B742" s="134"/>
      <c r="C742" s="137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1:25">
      <c r="A743" s="142"/>
      <c r="B743" s="134"/>
      <c r="C743" s="137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1:25">
      <c r="A744" s="142"/>
      <c r="B744" s="134"/>
      <c r="C744" s="137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1:25">
      <c r="A745" s="142"/>
      <c r="B745" s="134"/>
      <c r="C745" s="137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1:25">
      <c r="A746" s="142"/>
      <c r="B746" s="134"/>
      <c r="C746" s="137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1:25">
      <c r="A747" s="142"/>
      <c r="B747" s="134"/>
      <c r="C747" s="137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  <row r="748" spans="1:25">
      <c r="A748" s="142"/>
      <c r="B748" s="134"/>
      <c r="C748" s="137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</row>
    <row r="749" spans="1:25">
      <c r="A749" s="142"/>
      <c r="B749" s="134"/>
      <c r="C749" s="137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</row>
    <row r="750" spans="1:25">
      <c r="A750" s="142"/>
      <c r="B750" s="134"/>
      <c r="C750" s="137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</row>
    <row r="751" spans="1:25">
      <c r="A751" s="142"/>
      <c r="B751" s="134"/>
      <c r="C751" s="137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</row>
    <row r="752" spans="1:25">
      <c r="A752" s="142"/>
      <c r="B752" s="134"/>
      <c r="C752" s="137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</row>
    <row r="753" spans="1:25">
      <c r="A753" s="142"/>
      <c r="B753" s="134"/>
      <c r="C753" s="137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</row>
    <row r="754" spans="1:25">
      <c r="A754" s="142"/>
      <c r="B754" s="134"/>
      <c r="C754" s="137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</row>
    <row r="755" spans="1:25">
      <c r="A755" s="142"/>
      <c r="B755" s="134"/>
      <c r="C755" s="137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</row>
    <row r="756" spans="1:25">
      <c r="A756" s="142"/>
      <c r="B756" s="134"/>
      <c r="C756" s="137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</row>
    <row r="757" spans="1:25">
      <c r="A757" s="142"/>
      <c r="B757" s="134"/>
      <c r="C757" s="137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</row>
    <row r="758" spans="1:25">
      <c r="A758" s="142"/>
      <c r="B758" s="134"/>
      <c r="C758" s="137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</row>
    <row r="759" spans="1:25">
      <c r="A759" s="142"/>
      <c r="B759" s="134"/>
      <c r="C759" s="137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</row>
    <row r="760" spans="1:25">
      <c r="A760" s="142"/>
      <c r="B760" s="134"/>
      <c r="C760" s="137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</row>
    <row r="761" spans="1:25">
      <c r="A761" s="142"/>
      <c r="B761" s="134"/>
      <c r="C761" s="137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</row>
    <row r="762" spans="1:25">
      <c r="A762" s="142"/>
      <c r="B762" s="134"/>
      <c r="C762" s="137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</row>
    <row r="763" spans="1:25">
      <c r="A763" s="142"/>
      <c r="B763" s="134"/>
      <c r="C763" s="137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</row>
    <row r="764" spans="1:25">
      <c r="A764" s="142"/>
      <c r="B764" s="134"/>
      <c r="C764" s="137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</row>
    <row r="765" spans="1:25">
      <c r="A765" s="142"/>
      <c r="B765" s="134"/>
      <c r="C765" s="137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</row>
    <row r="766" spans="1:25">
      <c r="A766" s="142"/>
      <c r="B766" s="134"/>
      <c r="C766" s="137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</row>
    <row r="767" spans="1:25">
      <c r="A767" s="142"/>
      <c r="B767" s="134"/>
      <c r="C767" s="137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</row>
    <row r="768" spans="1:25">
      <c r="A768" s="142"/>
      <c r="B768" s="134"/>
      <c r="C768" s="137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</row>
    <row r="769" spans="1:25">
      <c r="A769" s="142"/>
      <c r="B769" s="134"/>
      <c r="C769" s="137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</row>
    <row r="770" spans="1:25">
      <c r="A770" s="142"/>
      <c r="B770" s="134"/>
      <c r="C770" s="137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</row>
    <row r="771" spans="1:25">
      <c r="A771" s="142"/>
      <c r="B771" s="134"/>
      <c r="C771" s="137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</row>
    <row r="772" spans="1:25">
      <c r="A772" s="142"/>
      <c r="B772" s="134"/>
      <c r="C772" s="137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</row>
    <row r="773" spans="1:25">
      <c r="A773" s="142"/>
      <c r="B773" s="134"/>
      <c r="C773" s="137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</row>
    <row r="774" spans="1:25">
      <c r="A774" s="142"/>
      <c r="B774" s="134"/>
      <c r="C774" s="137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</row>
    <row r="775" spans="1:25">
      <c r="A775" s="142"/>
      <c r="B775" s="134"/>
      <c r="C775" s="137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</row>
    <row r="776" spans="1:25">
      <c r="A776" s="142"/>
      <c r="B776" s="134"/>
      <c r="C776" s="137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</row>
    <row r="777" spans="1:25">
      <c r="A777" s="142"/>
      <c r="B777" s="134"/>
      <c r="C777" s="137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</row>
    <row r="778" spans="1:25">
      <c r="A778" s="142"/>
      <c r="B778" s="134"/>
      <c r="C778" s="137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</row>
    <row r="779" spans="1:25">
      <c r="A779" s="142"/>
      <c r="B779" s="134"/>
      <c r="C779" s="137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</row>
    <row r="780" spans="1:25">
      <c r="A780" s="142"/>
      <c r="B780" s="134"/>
      <c r="C780" s="137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</row>
    <row r="781" spans="1:25">
      <c r="A781" s="142"/>
      <c r="B781" s="134"/>
      <c r="C781" s="137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</row>
    <row r="782" spans="1:25">
      <c r="A782" s="142"/>
      <c r="B782" s="134"/>
      <c r="C782" s="137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</row>
    <row r="783" spans="1:25">
      <c r="A783" s="142"/>
      <c r="B783" s="134"/>
      <c r="C783" s="137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</row>
    <row r="784" spans="1:25">
      <c r="A784" s="142"/>
      <c r="B784" s="134"/>
      <c r="C784" s="137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</row>
    <row r="785" spans="1:25">
      <c r="A785" s="142"/>
      <c r="B785" s="134"/>
      <c r="C785" s="137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</row>
    <row r="786" spans="1:25">
      <c r="A786" s="142"/>
      <c r="B786" s="134"/>
      <c r="C786" s="137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</row>
    <row r="787" spans="1:25">
      <c r="A787" s="142"/>
      <c r="B787" s="134"/>
      <c r="C787" s="137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</row>
    <row r="788" spans="1:25">
      <c r="A788" s="142"/>
      <c r="B788" s="134"/>
      <c r="C788" s="137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</row>
    <row r="789" spans="1:25">
      <c r="A789" s="142"/>
      <c r="B789" s="134"/>
      <c r="C789" s="137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</row>
    <row r="790" spans="1:25">
      <c r="A790" s="142"/>
      <c r="B790" s="134"/>
      <c r="C790" s="137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</row>
    <row r="791" spans="1:25">
      <c r="A791" s="142"/>
      <c r="B791" s="134"/>
      <c r="C791" s="137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</row>
    <row r="792" spans="1:25">
      <c r="A792" s="142"/>
      <c r="B792" s="134"/>
      <c r="C792" s="137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</row>
    <row r="793" spans="1:25">
      <c r="A793" s="142"/>
      <c r="B793" s="134"/>
      <c r="C793" s="137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</row>
    <row r="794" spans="1:25">
      <c r="A794" s="142"/>
      <c r="B794" s="134"/>
      <c r="C794" s="137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</row>
    <row r="795" spans="1:25">
      <c r="A795" s="142"/>
      <c r="B795" s="134"/>
      <c r="C795" s="137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</row>
    <row r="796" spans="1:25">
      <c r="A796" s="142"/>
      <c r="B796" s="134"/>
      <c r="C796" s="137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</row>
    <row r="797" spans="1:25">
      <c r="A797" s="142"/>
      <c r="B797" s="134"/>
      <c r="C797" s="137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</row>
    <row r="798" spans="1:25">
      <c r="A798" s="142"/>
      <c r="B798" s="134"/>
      <c r="C798" s="137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</row>
    <row r="799" spans="1:25">
      <c r="A799" s="142"/>
      <c r="B799" s="134"/>
      <c r="C799" s="137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</row>
    <row r="800" spans="1:25">
      <c r="A800" s="142"/>
      <c r="B800" s="134"/>
      <c r="C800" s="137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</row>
    <row r="801" spans="1:25">
      <c r="A801" s="142"/>
      <c r="B801" s="134"/>
      <c r="C801" s="137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</row>
    <row r="802" spans="1:25">
      <c r="A802" s="142"/>
      <c r="B802" s="134"/>
      <c r="C802" s="137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</row>
    <row r="803" spans="1:25">
      <c r="A803" s="142"/>
      <c r="B803" s="134"/>
      <c r="C803" s="137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</row>
    <row r="804" spans="1:25">
      <c r="A804" s="142"/>
      <c r="B804" s="134"/>
      <c r="C804" s="137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</row>
    <row r="805" spans="1:25">
      <c r="A805" s="142"/>
      <c r="B805" s="134"/>
      <c r="C805" s="137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</row>
    <row r="806" spans="1:25">
      <c r="A806" s="142"/>
      <c r="B806" s="134"/>
      <c r="C806" s="137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</row>
    <row r="807" spans="1:25">
      <c r="A807" s="142"/>
      <c r="B807" s="134"/>
      <c r="C807" s="137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</row>
    <row r="808" spans="1:25">
      <c r="A808" s="142"/>
      <c r="B808" s="134"/>
      <c r="C808" s="137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</row>
    <row r="809" spans="1:25">
      <c r="A809" s="142"/>
      <c r="B809" s="134"/>
      <c r="C809" s="137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</row>
    <row r="810" spans="1:25">
      <c r="A810" s="142"/>
      <c r="B810" s="134"/>
      <c r="C810" s="137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</row>
    <row r="811" spans="1:25">
      <c r="A811" s="142"/>
      <c r="B811" s="134"/>
      <c r="C811" s="137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</row>
    <row r="812" spans="1:25">
      <c r="A812" s="142"/>
      <c r="B812" s="134"/>
      <c r="C812" s="137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</row>
    <row r="813" spans="1:25">
      <c r="A813" s="142"/>
      <c r="B813" s="134"/>
      <c r="C813" s="137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</row>
    <row r="814" spans="1:25">
      <c r="A814" s="142"/>
      <c r="B814" s="134"/>
      <c r="C814" s="137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</row>
    <row r="815" spans="1:25">
      <c r="A815" s="142"/>
      <c r="B815" s="134"/>
      <c r="C815" s="137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</row>
    <row r="816" spans="1:25">
      <c r="A816" s="142"/>
      <c r="B816" s="134"/>
      <c r="C816" s="137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</row>
    <row r="817" spans="1:25">
      <c r="A817" s="142"/>
      <c r="B817" s="134"/>
      <c r="C817" s="137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</row>
    <row r="818" spans="1:25">
      <c r="A818" s="142"/>
      <c r="B818" s="134"/>
      <c r="C818" s="137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</row>
    <row r="819" spans="1:25">
      <c r="A819" s="142"/>
      <c r="B819" s="134"/>
      <c r="C819" s="137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</row>
    <row r="820" spans="1:25">
      <c r="A820" s="142"/>
      <c r="B820" s="134"/>
      <c r="C820" s="137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</row>
    <row r="821" spans="1:25">
      <c r="A821" s="142"/>
      <c r="B821" s="134"/>
      <c r="C821" s="137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</row>
    <row r="822" spans="1:25">
      <c r="A822" s="142"/>
      <c r="B822" s="134"/>
      <c r="C822" s="137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</row>
    <row r="823" spans="1:25">
      <c r="A823" s="142"/>
      <c r="B823" s="134"/>
      <c r="C823" s="137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</row>
    <row r="824" spans="1:25">
      <c r="A824" s="142"/>
      <c r="B824" s="134"/>
      <c r="C824" s="137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</row>
    <row r="825" spans="1:25">
      <c r="A825" s="142"/>
      <c r="B825" s="134"/>
      <c r="C825" s="137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</row>
    <row r="826" spans="1:25">
      <c r="A826" s="142"/>
      <c r="B826" s="134"/>
      <c r="C826" s="137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</row>
    <row r="827" spans="1:25">
      <c r="A827" s="142"/>
      <c r="B827" s="134"/>
      <c r="C827" s="137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</row>
    <row r="828" spans="1:25">
      <c r="A828" s="142"/>
      <c r="B828" s="134"/>
      <c r="C828" s="137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</row>
    <row r="829" spans="1:25">
      <c r="A829" s="142"/>
      <c r="B829" s="134"/>
      <c r="C829" s="137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</row>
    <row r="830" spans="1:25">
      <c r="A830" s="142"/>
      <c r="B830" s="134"/>
      <c r="C830" s="137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</row>
    <row r="831" spans="1:25">
      <c r="A831" s="142"/>
      <c r="B831" s="134"/>
      <c r="C831" s="137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</row>
    <row r="832" spans="1:25">
      <c r="A832" s="142"/>
      <c r="B832" s="134"/>
      <c r="C832" s="137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</row>
    <row r="833" spans="1:25">
      <c r="A833" s="142"/>
      <c r="B833" s="134"/>
      <c r="C833" s="137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</row>
    <row r="834" spans="1:25">
      <c r="A834" s="142"/>
      <c r="B834" s="134"/>
      <c r="C834" s="137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</row>
    <row r="835" spans="1:25">
      <c r="A835" s="142"/>
      <c r="B835" s="134"/>
      <c r="C835" s="137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</row>
    <row r="836" spans="1:25">
      <c r="A836" s="142"/>
      <c r="B836" s="134"/>
      <c r="C836" s="137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</row>
    <row r="837" spans="1:25">
      <c r="A837" s="142"/>
      <c r="B837" s="134"/>
      <c r="C837" s="137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</row>
    <row r="838" spans="1:25">
      <c r="A838" s="142"/>
      <c r="B838" s="134"/>
      <c r="C838" s="137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</row>
    <row r="839" spans="1:25">
      <c r="A839" s="142"/>
      <c r="B839" s="134"/>
      <c r="C839" s="137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</row>
    <row r="840" spans="1:25">
      <c r="A840" s="142"/>
      <c r="B840" s="134"/>
      <c r="C840" s="137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</row>
    <row r="841" spans="1:25">
      <c r="A841" s="142"/>
      <c r="B841" s="134"/>
      <c r="C841" s="137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</row>
    <row r="842" spans="1:25">
      <c r="A842" s="142"/>
      <c r="B842" s="134"/>
      <c r="C842" s="137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</row>
    <row r="843" spans="1:25">
      <c r="A843" s="142"/>
      <c r="B843" s="134"/>
      <c r="C843" s="137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</row>
    <row r="844" spans="1:25">
      <c r="A844" s="142"/>
      <c r="B844" s="134"/>
      <c r="C844" s="137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</row>
    <row r="845" spans="1:25">
      <c r="A845" s="142"/>
      <c r="B845" s="134"/>
      <c r="C845" s="137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</row>
    <row r="846" spans="1:25">
      <c r="A846" s="142"/>
      <c r="B846" s="134"/>
      <c r="C846" s="137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</row>
    <row r="847" spans="1:25">
      <c r="A847" s="142"/>
      <c r="B847" s="134"/>
      <c r="C847" s="137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</row>
    <row r="848" spans="1:25">
      <c r="A848" s="142"/>
      <c r="B848" s="134"/>
      <c r="C848" s="137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</row>
    <row r="849" spans="1:25">
      <c r="A849" s="142"/>
      <c r="B849" s="134"/>
      <c r="C849" s="137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</row>
    <row r="850" spans="1:25">
      <c r="A850" s="142"/>
      <c r="B850" s="134"/>
      <c r="C850" s="137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</row>
    <row r="851" spans="1:25">
      <c r="A851" s="142"/>
      <c r="B851" s="134"/>
      <c r="C851" s="137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</row>
    <row r="852" spans="1:25">
      <c r="A852" s="142"/>
      <c r="B852" s="134"/>
      <c r="C852" s="137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</row>
    <row r="853" spans="1:25">
      <c r="A853" s="142"/>
      <c r="B853" s="134"/>
      <c r="C853" s="137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</row>
    <row r="854" spans="1:25">
      <c r="A854" s="142"/>
      <c r="B854" s="134"/>
      <c r="C854" s="137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</row>
    <row r="855" spans="1:25">
      <c r="A855" s="142"/>
      <c r="B855" s="134"/>
      <c r="C855" s="137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</row>
    <row r="856" spans="1:25">
      <c r="A856" s="142"/>
      <c r="B856" s="134"/>
      <c r="C856" s="137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</row>
    <row r="857" spans="1:25">
      <c r="A857" s="142"/>
      <c r="B857" s="134"/>
      <c r="C857" s="137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</row>
    <row r="858" spans="1:25">
      <c r="A858" s="142"/>
      <c r="B858" s="134"/>
      <c r="C858" s="137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</row>
    <row r="859" spans="1:25">
      <c r="A859" s="142"/>
      <c r="B859" s="134"/>
      <c r="C859" s="137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</row>
    <row r="860" spans="1:25">
      <c r="A860" s="142"/>
      <c r="B860" s="134"/>
      <c r="C860" s="137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</row>
    <row r="861" spans="1:25">
      <c r="A861" s="142"/>
      <c r="B861" s="134"/>
      <c r="C861" s="137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</row>
    <row r="862" spans="1:25">
      <c r="A862" s="142"/>
      <c r="B862" s="134"/>
      <c r="C862" s="137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</row>
    <row r="863" spans="1:25">
      <c r="A863" s="142"/>
      <c r="B863" s="134"/>
      <c r="C863" s="137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</row>
    <row r="864" spans="1:25">
      <c r="A864" s="142"/>
      <c r="B864" s="134"/>
      <c r="C864" s="137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</row>
    <row r="865" spans="1:25">
      <c r="A865" s="142"/>
      <c r="B865" s="134"/>
      <c r="C865" s="137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</row>
    <row r="866" spans="1:25">
      <c r="A866" s="142"/>
      <c r="B866" s="134"/>
      <c r="C866" s="137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</row>
    <row r="867" spans="1:25">
      <c r="A867" s="142"/>
      <c r="B867" s="134"/>
      <c r="C867" s="137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</row>
    <row r="868" spans="1:25">
      <c r="A868" s="142"/>
      <c r="B868" s="134"/>
      <c r="C868" s="137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</row>
    <row r="869" spans="1:25">
      <c r="A869" s="142"/>
      <c r="B869" s="134"/>
      <c r="C869" s="137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</row>
    <row r="870" spans="1:25">
      <c r="A870" s="142"/>
      <c r="B870" s="134"/>
      <c r="C870" s="137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</row>
    <row r="871" spans="1:25">
      <c r="A871" s="142"/>
      <c r="B871" s="134"/>
      <c r="C871" s="137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</row>
    <row r="872" spans="1:25">
      <c r="A872" s="142"/>
      <c r="B872" s="134"/>
      <c r="C872" s="137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</row>
    <row r="873" spans="1:25">
      <c r="A873" s="142"/>
      <c r="B873" s="134"/>
      <c r="C873" s="137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</row>
    <row r="874" spans="1:25">
      <c r="A874" s="142"/>
      <c r="B874" s="134"/>
      <c r="C874" s="137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</row>
    <row r="875" spans="1:25">
      <c r="A875" s="142"/>
      <c r="B875" s="134"/>
      <c r="C875" s="137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</row>
    <row r="876" spans="1:25">
      <c r="A876" s="142"/>
      <c r="B876" s="134"/>
      <c r="C876" s="137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</row>
    <row r="877" spans="1:25">
      <c r="A877" s="142"/>
      <c r="B877" s="134"/>
      <c r="C877" s="137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</row>
    <row r="878" spans="1:25">
      <c r="A878" s="142"/>
      <c r="B878" s="134"/>
      <c r="C878" s="137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</row>
    <row r="879" spans="1:25">
      <c r="A879" s="142"/>
      <c r="B879" s="134"/>
      <c r="C879" s="137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</row>
    <row r="880" spans="1:25">
      <c r="A880" s="142"/>
      <c r="B880" s="134"/>
      <c r="C880" s="137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</row>
    <row r="881" spans="1:25">
      <c r="A881" s="142"/>
      <c r="B881" s="134"/>
      <c r="C881" s="137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</row>
    <row r="882" spans="1:25">
      <c r="A882" s="142"/>
      <c r="B882" s="134"/>
      <c r="C882" s="137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</row>
    <row r="883" spans="1:25">
      <c r="A883" s="142"/>
      <c r="B883" s="134"/>
      <c r="C883" s="137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</row>
    <row r="884" spans="1:25">
      <c r="A884" s="142"/>
      <c r="B884" s="134"/>
      <c r="C884" s="137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</row>
    <row r="885" spans="1:25">
      <c r="A885" s="142"/>
      <c r="B885" s="134"/>
      <c r="C885" s="137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</row>
    <row r="886" spans="1:25">
      <c r="A886" s="142"/>
      <c r="B886" s="134"/>
      <c r="C886" s="137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</row>
    <row r="887" spans="1:25">
      <c r="A887" s="142"/>
      <c r="B887" s="134"/>
      <c r="C887" s="137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</row>
    <row r="888" spans="1:25">
      <c r="A888" s="142"/>
      <c r="B888" s="134"/>
      <c r="C888" s="137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</row>
    <row r="889" spans="1:25">
      <c r="A889" s="142"/>
      <c r="B889" s="134"/>
      <c r="C889" s="137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</row>
    <row r="890" spans="1:25">
      <c r="A890" s="142"/>
      <c r="B890" s="134"/>
      <c r="C890" s="137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</row>
    <row r="891" spans="1:25">
      <c r="A891" s="142"/>
      <c r="B891" s="134"/>
      <c r="C891" s="137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</row>
    <row r="892" spans="1:25">
      <c r="A892" s="142"/>
      <c r="B892" s="134"/>
      <c r="C892" s="137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</row>
    <row r="893" spans="1:25">
      <c r="A893" s="142"/>
      <c r="B893" s="134"/>
      <c r="C893" s="137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</row>
    <row r="894" spans="1:25">
      <c r="A894" s="142"/>
      <c r="B894" s="134"/>
      <c r="C894" s="137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</row>
    <row r="895" spans="1:25">
      <c r="A895" s="142"/>
      <c r="B895" s="134"/>
      <c r="C895" s="137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</row>
    <row r="896" spans="1:25">
      <c r="A896" s="142"/>
      <c r="B896" s="134"/>
      <c r="C896" s="137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</row>
    <row r="897" spans="1:25">
      <c r="A897" s="142"/>
      <c r="B897" s="134"/>
      <c r="C897" s="137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</row>
    <row r="898" spans="1:25">
      <c r="A898" s="142"/>
      <c r="B898" s="134"/>
      <c r="C898" s="137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</row>
    <row r="899" spans="1:25">
      <c r="A899" s="142"/>
      <c r="B899" s="134"/>
      <c r="C899" s="137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</row>
    <row r="900" spans="1:25">
      <c r="A900" s="142"/>
      <c r="B900" s="134"/>
      <c r="C900" s="137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</row>
    <row r="901" spans="1:25">
      <c r="A901" s="142"/>
      <c r="B901" s="134"/>
      <c r="C901" s="137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</row>
    <row r="902" spans="1:25">
      <c r="A902" s="142"/>
      <c r="B902" s="134"/>
      <c r="C902" s="137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</row>
    <row r="903" spans="1:25">
      <c r="A903" s="142"/>
      <c r="B903" s="134"/>
      <c r="C903" s="137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</row>
    <row r="904" spans="1:25">
      <c r="A904" s="142"/>
      <c r="B904" s="134"/>
      <c r="C904" s="137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</row>
    <row r="905" spans="1:25">
      <c r="A905" s="142"/>
      <c r="B905" s="134"/>
      <c r="C905" s="137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</row>
    <row r="906" spans="1:25">
      <c r="A906" s="142"/>
      <c r="B906" s="134"/>
      <c r="C906" s="137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</row>
    <row r="907" spans="1:25">
      <c r="A907" s="142"/>
      <c r="B907" s="134"/>
      <c r="C907" s="137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</row>
    <row r="908" spans="1:25">
      <c r="A908" s="142"/>
      <c r="B908" s="134"/>
      <c r="C908" s="137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</row>
    <row r="909" spans="1:25">
      <c r="A909" s="142"/>
      <c r="B909" s="134"/>
      <c r="C909" s="137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</row>
    <row r="910" spans="1:25">
      <c r="A910" s="142"/>
      <c r="B910" s="134"/>
      <c r="C910" s="137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</row>
    <row r="911" spans="1:25">
      <c r="A911" s="142"/>
      <c r="B911" s="134"/>
      <c r="C911" s="137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</row>
    <row r="912" spans="1:25">
      <c r="A912" s="142"/>
      <c r="B912" s="134"/>
      <c r="C912" s="137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</row>
    <row r="913" spans="1:25">
      <c r="A913" s="142"/>
      <c r="B913" s="134"/>
      <c r="C913" s="137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</row>
    <row r="914" spans="1:25">
      <c r="A914" s="142"/>
      <c r="B914" s="134"/>
      <c r="C914" s="137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</row>
    <row r="915" spans="1:25">
      <c r="A915" s="142"/>
      <c r="B915" s="134"/>
      <c r="C915" s="137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</row>
    <row r="916" spans="1:25">
      <c r="A916" s="142"/>
      <c r="B916" s="134"/>
      <c r="C916" s="137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</row>
    <row r="917" spans="1:25">
      <c r="A917" s="142"/>
      <c r="B917" s="134"/>
      <c r="C917" s="137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</row>
    <row r="918" spans="1:25">
      <c r="A918" s="142"/>
      <c r="B918" s="134"/>
      <c r="C918" s="137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</row>
    <row r="919" spans="1:25">
      <c r="A919" s="142"/>
      <c r="B919" s="134"/>
      <c r="C919" s="137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</row>
    <row r="920" spans="1:25">
      <c r="A920" s="142"/>
      <c r="B920" s="134"/>
      <c r="C920" s="137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</row>
    <row r="921" spans="1:25">
      <c r="A921" s="142"/>
      <c r="B921" s="134"/>
      <c r="C921" s="137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</row>
    <row r="922" spans="1:25">
      <c r="A922" s="142"/>
      <c r="B922" s="134"/>
      <c r="C922" s="137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</row>
    <row r="923" spans="1:25">
      <c r="A923" s="142"/>
      <c r="B923" s="134"/>
      <c r="C923" s="137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</row>
    <row r="924" spans="1:25">
      <c r="A924" s="142"/>
      <c r="B924" s="134"/>
      <c r="C924" s="137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</row>
    <row r="925" spans="1:25">
      <c r="A925" s="142"/>
      <c r="B925" s="134"/>
      <c r="C925" s="137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</row>
    <row r="926" spans="1:25">
      <c r="A926" s="142"/>
      <c r="B926" s="134"/>
      <c r="C926" s="137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</row>
    <row r="927" spans="1:25">
      <c r="A927" s="142"/>
      <c r="B927" s="134"/>
      <c r="C927" s="137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</row>
    <row r="928" spans="1:25">
      <c r="A928" s="142"/>
      <c r="B928" s="134"/>
      <c r="C928" s="137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</row>
    <row r="929" spans="1:25">
      <c r="A929" s="142"/>
      <c r="B929" s="134"/>
      <c r="C929" s="137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</row>
    <row r="930" spans="1:25">
      <c r="A930" s="142"/>
      <c r="B930" s="134"/>
      <c r="C930" s="137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</row>
    <row r="931" spans="1:25">
      <c r="A931" s="142"/>
      <c r="B931" s="134"/>
      <c r="C931" s="137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</row>
    <row r="932" spans="1:25">
      <c r="A932" s="142"/>
      <c r="B932" s="134"/>
      <c r="C932" s="137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</row>
    <row r="933" spans="1:25">
      <c r="A933" s="142"/>
      <c r="B933" s="134"/>
      <c r="C933" s="137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</row>
    <row r="934" spans="1:25">
      <c r="A934" s="142"/>
      <c r="B934" s="134"/>
      <c r="C934" s="137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</row>
    <row r="935" spans="1:25">
      <c r="A935" s="142"/>
      <c r="B935" s="134"/>
      <c r="C935" s="137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</row>
    <row r="936" spans="1:25">
      <c r="A936" s="142"/>
      <c r="B936" s="134"/>
      <c r="C936" s="137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</row>
    <row r="937" spans="1:25">
      <c r="A937" s="142"/>
      <c r="B937" s="134"/>
      <c r="C937" s="137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</row>
    <row r="938" spans="1:25">
      <c r="A938" s="142"/>
      <c r="B938" s="134"/>
      <c r="C938" s="137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</row>
    <row r="939" spans="1:25">
      <c r="A939" s="142"/>
      <c r="B939" s="134"/>
      <c r="C939" s="137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</row>
    <row r="940" spans="1:25">
      <c r="A940" s="142"/>
      <c r="B940" s="134"/>
      <c r="C940" s="137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</row>
    <row r="941" spans="1:25">
      <c r="A941" s="142"/>
      <c r="B941" s="134"/>
      <c r="C941" s="137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</row>
    <row r="942" spans="1:25">
      <c r="A942" s="142"/>
      <c r="B942" s="134"/>
      <c r="C942" s="137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</row>
    <row r="943" spans="1:25">
      <c r="A943" s="142"/>
      <c r="B943" s="134"/>
      <c r="C943" s="137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</row>
    <row r="944" spans="1:25">
      <c r="A944" s="142"/>
      <c r="B944" s="134"/>
      <c r="C944" s="137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</row>
    <row r="945" spans="1:25">
      <c r="A945" s="142"/>
      <c r="B945" s="134"/>
      <c r="C945" s="137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</row>
    <row r="946" spans="1:25">
      <c r="A946" s="142"/>
      <c r="B946" s="134"/>
      <c r="C946" s="137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</row>
    <row r="947" spans="1:25">
      <c r="A947" s="142"/>
      <c r="B947" s="134"/>
      <c r="C947" s="137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</row>
    <row r="948" spans="1:25">
      <c r="A948" s="142"/>
      <c r="B948" s="134"/>
      <c r="C948" s="137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</row>
    <row r="949" spans="1:25">
      <c r="A949" s="142"/>
      <c r="B949" s="134"/>
      <c r="C949" s="137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</row>
    <row r="950" spans="1:25">
      <c r="A950" s="142"/>
      <c r="B950" s="134"/>
      <c r="C950" s="137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</row>
    <row r="951" spans="1:25">
      <c r="A951" s="142"/>
      <c r="B951" s="134"/>
      <c r="C951" s="137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</row>
    <row r="952" spans="1:25">
      <c r="A952" s="142"/>
      <c r="B952" s="134"/>
      <c r="C952" s="137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</row>
    <row r="953" spans="1:25">
      <c r="A953" s="142"/>
      <c r="B953" s="134"/>
      <c r="C953" s="137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</row>
    <row r="954" spans="1:25">
      <c r="A954" s="142"/>
      <c r="B954" s="134"/>
      <c r="C954" s="137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</row>
    <row r="955" spans="1:25">
      <c r="A955" s="142"/>
      <c r="B955" s="134"/>
      <c r="C955" s="137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</row>
    <row r="956" spans="1:25">
      <c r="A956" s="142"/>
      <c r="B956" s="134"/>
      <c r="C956" s="137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</row>
    <row r="957" spans="1:25">
      <c r="A957" s="142"/>
      <c r="B957" s="134"/>
      <c r="C957" s="137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</row>
    <row r="958" spans="1:25">
      <c r="A958" s="142"/>
      <c r="B958" s="134"/>
      <c r="C958" s="137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</row>
    <row r="959" spans="1:25">
      <c r="A959" s="142"/>
      <c r="B959" s="134"/>
      <c r="C959" s="137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</row>
    <row r="960" spans="1:25">
      <c r="A960" s="142"/>
      <c r="B960" s="134"/>
      <c r="C960" s="137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</row>
    <row r="961" spans="1:25">
      <c r="A961" s="142"/>
      <c r="B961" s="134"/>
      <c r="C961" s="137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</row>
    <row r="962" spans="1:25">
      <c r="A962" s="142"/>
      <c r="B962" s="134"/>
      <c r="C962" s="137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</row>
    <row r="963" spans="1:25">
      <c r="A963" s="142"/>
      <c r="B963" s="134"/>
      <c r="C963" s="137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</row>
    <row r="964" spans="1:25">
      <c r="A964" s="142"/>
      <c r="B964" s="134"/>
      <c r="C964" s="137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</row>
    <row r="965" spans="1:25">
      <c r="A965" s="142"/>
      <c r="B965" s="134"/>
      <c r="C965" s="137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</row>
    <row r="966" spans="1:25">
      <c r="A966" s="142"/>
      <c r="B966" s="134"/>
      <c r="C966" s="137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</row>
    <row r="967" spans="1:25">
      <c r="A967" s="142"/>
      <c r="B967" s="134"/>
      <c r="C967" s="137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</row>
    <row r="968" spans="1:25">
      <c r="A968" s="142"/>
      <c r="B968" s="134"/>
      <c r="C968" s="137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</row>
    <row r="969" spans="1:25">
      <c r="A969" s="142"/>
      <c r="B969" s="134"/>
      <c r="C969" s="137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</row>
    <row r="970" spans="1:25">
      <c r="A970" s="142"/>
      <c r="B970" s="134"/>
      <c r="C970" s="137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</row>
    <row r="971" spans="1:25">
      <c r="A971" s="142"/>
      <c r="B971" s="134"/>
      <c r="C971" s="137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</row>
    <row r="972" spans="1:25">
      <c r="A972" s="142"/>
      <c r="B972" s="134"/>
      <c r="C972" s="137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</row>
    <row r="973" spans="1:25">
      <c r="A973" s="142"/>
      <c r="B973" s="134"/>
      <c r="C973" s="137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</row>
    <row r="974" spans="1:25">
      <c r="A974" s="142"/>
      <c r="B974" s="134"/>
      <c r="C974" s="137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</row>
    <row r="975" spans="1:25">
      <c r="A975" s="142"/>
      <c r="B975" s="134"/>
      <c r="C975" s="137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</row>
    <row r="976" spans="1:25">
      <c r="A976" s="142"/>
      <c r="B976" s="134"/>
      <c r="C976" s="137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</row>
    <row r="977" spans="1:25">
      <c r="A977" s="142"/>
      <c r="B977" s="134"/>
      <c r="C977" s="137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</row>
    <row r="978" spans="1:25">
      <c r="A978" s="142"/>
      <c r="B978" s="134"/>
      <c r="C978" s="137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</row>
    <row r="979" spans="1:25">
      <c r="A979" s="142"/>
      <c r="B979" s="134"/>
      <c r="C979" s="137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</row>
    <row r="980" spans="1:25">
      <c r="A980" s="142"/>
      <c r="B980" s="134"/>
      <c r="C980" s="137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</row>
    <row r="981" spans="1:25">
      <c r="A981" s="142"/>
      <c r="B981" s="134"/>
      <c r="C981" s="137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</row>
    <row r="982" spans="1:25">
      <c r="A982" s="142"/>
      <c r="B982" s="134"/>
      <c r="C982" s="137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</row>
    <row r="983" spans="1:25">
      <c r="A983" s="142"/>
      <c r="B983" s="134"/>
      <c r="C983" s="137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</row>
    <row r="984" spans="1:25">
      <c r="A984" s="142"/>
      <c r="B984" s="134"/>
      <c r="C984" s="137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</row>
    <row r="985" spans="1:25">
      <c r="A985" s="142"/>
      <c r="B985" s="134"/>
      <c r="C985" s="137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</row>
    <row r="986" spans="1:25">
      <c r="A986" s="142"/>
      <c r="B986" s="134"/>
      <c r="C986" s="137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</row>
    <row r="987" spans="1:25">
      <c r="A987" s="142"/>
      <c r="B987" s="134"/>
      <c r="C987" s="137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</row>
    <row r="988" spans="1:25">
      <c r="A988" s="142"/>
      <c r="B988" s="134"/>
      <c r="C988" s="137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</row>
    <row r="989" spans="1:25">
      <c r="A989" s="142"/>
      <c r="B989" s="134"/>
      <c r="C989" s="137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</row>
    <row r="990" spans="1:25">
      <c r="A990" s="142"/>
      <c r="B990" s="134"/>
      <c r="C990" s="137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</row>
    <row r="991" spans="1:25">
      <c r="A991" s="142"/>
      <c r="B991" s="134"/>
      <c r="C991" s="137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</row>
    <row r="992" spans="1:25">
      <c r="A992" s="142"/>
      <c r="B992" s="134"/>
      <c r="C992" s="137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</row>
    <row r="993" spans="1:25">
      <c r="A993" s="142"/>
      <c r="B993" s="134"/>
      <c r="C993" s="137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</row>
    <row r="994" spans="1:25">
      <c r="A994" s="142"/>
      <c r="B994" s="134"/>
      <c r="C994" s="137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</row>
    <row r="995" spans="1:25">
      <c r="A995" s="142"/>
      <c r="B995" s="134"/>
      <c r="C995" s="137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</row>
    <row r="996" spans="1:25">
      <c r="A996" s="142"/>
      <c r="B996" s="134"/>
      <c r="C996" s="137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</row>
    <row r="997" spans="1:25">
      <c r="A997" s="142"/>
      <c r="B997" s="134"/>
      <c r="C997" s="137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</row>
    <row r="998" spans="1:25">
      <c r="A998" s="142"/>
      <c r="B998" s="134"/>
      <c r="C998" s="137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</row>
    <row r="999" spans="1:25">
      <c r="A999" s="142"/>
      <c r="B999" s="134"/>
      <c r="C999" s="137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</row>
    <row r="1000" spans="1:25">
      <c r="A1000" s="142"/>
      <c r="B1000" s="134"/>
      <c r="C1000" s="137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</row>
    <row r="1001" spans="1:25">
      <c r="A1001" s="142"/>
      <c r="B1001" s="134"/>
      <c r="C1001" s="137"/>
      <c r="D1001" s="134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</row>
    <row r="1002" spans="1:25">
      <c r="A1002" s="142"/>
      <c r="B1002" s="134"/>
      <c r="C1002" s="137"/>
      <c r="D1002" s="134"/>
      <c r="E1002" s="134"/>
      <c r="F1002" s="134"/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</row>
    <row r="1003" spans="1:25">
      <c r="A1003" s="142"/>
      <c r="B1003" s="134"/>
      <c r="C1003" s="137"/>
      <c r="D1003" s="134"/>
      <c r="E1003" s="13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</row>
  </sheetData>
  <sheetProtection password="CA9F" sheet="1"/>
  <mergeCells count="7">
    <mergeCell ref="A7:C7"/>
    <mergeCell ref="F7:H7"/>
    <mergeCell ref="D1:H3"/>
    <mergeCell ref="A30:C30"/>
    <mergeCell ref="A11:A28"/>
    <mergeCell ref="B9:C9"/>
    <mergeCell ref="A5:H5"/>
  </mergeCells>
  <dataValidations count="1">
    <dataValidation type="decimal" allowBlank="1" showInputMessage="1" showErrorMessage="1" sqref="E11:H30">
      <formula1>0</formula1>
      <formula2>1E+35</formula2>
    </dataValidation>
  </dataValidations>
  <pageMargins left="0.7" right="0.7" top="0.75" bottom="0.75" header="0.3" footer="0.3"/>
  <pageSetup scale="8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Y1002"/>
  <sheetViews>
    <sheetView topLeftCell="A16" workbookViewId="0">
      <selection activeCell="F31" sqref="F31"/>
    </sheetView>
  </sheetViews>
  <sheetFormatPr defaultColWidth="15.1796875" defaultRowHeight="10.5"/>
  <cols>
    <col min="1" max="1" width="6.453125" style="135" customWidth="1"/>
    <col min="2" max="2" width="4.1796875" style="135" customWidth="1"/>
    <col min="3" max="3" width="23.453125" style="135" customWidth="1"/>
    <col min="4" max="4" width="6.453125" style="135" customWidth="1"/>
    <col min="5" max="8" width="15.7265625" style="135" customWidth="1"/>
    <col min="9" max="12" width="17" style="135" customWidth="1"/>
    <col min="13" max="25" width="7.453125" style="135" customWidth="1"/>
    <col min="26" max="16384" width="15.1796875" style="135"/>
  </cols>
  <sheetData>
    <row r="1" spans="1:25" ht="15" customHeight="1">
      <c r="A1" s="133"/>
      <c r="B1" s="134"/>
      <c r="C1" s="134"/>
      <c r="D1" s="1121"/>
      <c r="E1" s="1121"/>
      <c r="F1" s="1121"/>
      <c r="G1" s="1121"/>
      <c r="H1" s="1121"/>
      <c r="I1" s="134"/>
      <c r="J1" s="1122" t="s">
        <v>1046</v>
      </c>
      <c r="K1" s="1122"/>
      <c r="L1" s="1122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</row>
    <row r="2" spans="1:25" ht="15" customHeight="1">
      <c r="A2" s="133"/>
      <c r="B2" s="134"/>
      <c r="C2" s="134"/>
      <c r="D2" s="1121"/>
      <c r="E2" s="1121"/>
      <c r="F2" s="1121"/>
      <c r="G2" s="1121"/>
      <c r="H2" s="1121"/>
      <c r="I2" s="134"/>
      <c r="J2" s="1122" t="s">
        <v>1047</v>
      </c>
      <c r="K2" s="1122"/>
      <c r="L2" s="1122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>
      <c r="A3" s="133"/>
      <c r="B3" s="134"/>
      <c r="C3" s="134"/>
      <c r="D3" s="1121"/>
      <c r="E3" s="1121"/>
      <c r="F3" s="1121"/>
      <c r="G3" s="1121"/>
      <c r="H3" s="1121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4" spans="1:25">
      <c r="A4" s="133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11.25" customHeight="1">
      <c r="A5" s="1099" t="s">
        <v>663</v>
      </c>
      <c r="B5" s="1099"/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>
      <c r="A6" s="133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</row>
    <row r="7" spans="1:25">
      <c r="A7" s="1068" t="str">
        <f>+i.04108!A7</f>
        <v>Даатгагчийн нэр:</v>
      </c>
      <c r="B7" s="1111"/>
      <c r="C7" s="1111"/>
      <c r="D7" s="243"/>
      <c r="E7" s="230"/>
      <c r="F7" s="257"/>
      <c r="I7" s="134"/>
      <c r="J7" s="134"/>
      <c r="K7" s="1110" t="str">
        <f>+i.04108!F7</f>
        <v>..... оны .... сарын ...-ны өдөр</v>
      </c>
      <c r="L7" s="1111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>
      <c r="A8" s="141"/>
      <c r="B8" s="134"/>
      <c r="C8" s="134"/>
      <c r="D8" s="134"/>
      <c r="E8" s="142"/>
      <c r="F8" s="134"/>
      <c r="I8" s="134"/>
      <c r="J8" s="134"/>
      <c r="K8" s="134"/>
      <c r="L8" s="143" t="s">
        <v>1</v>
      </c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ht="15" customHeight="1">
      <c r="A9" s="1113" t="s">
        <v>661</v>
      </c>
      <c r="B9" s="1115" t="s">
        <v>642</v>
      </c>
      <c r="C9" s="1116"/>
      <c r="D9" s="1125" t="s">
        <v>4</v>
      </c>
      <c r="E9" s="1123" t="s">
        <v>145</v>
      </c>
      <c r="F9" s="1124"/>
      <c r="G9" s="1124"/>
      <c r="H9" s="1124"/>
      <c r="I9" s="1097" t="s">
        <v>630</v>
      </c>
      <c r="J9" s="1098"/>
      <c r="K9" s="1098"/>
      <c r="L9" s="1098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s="156" customFormat="1" ht="22.5" customHeight="1">
      <c r="A10" s="1114"/>
      <c r="B10" s="1117"/>
      <c r="C10" s="1118"/>
      <c r="D10" s="1126"/>
      <c r="E10" s="957" t="s">
        <v>631</v>
      </c>
      <c r="F10" s="957" t="s">
        <v>632</v>
      </c>
      <c r="G10" s="957" t="s">
        <v>633</v>
      </c>
      <c r="H10" s="972" t="s">
        <v>634</v>
      </c>
      <c r="I10" s="957" t="s">
        <v>631</v>
      </c>
      <c r="J10" s="957" t="s">
        <v>632</v>
      </c>
      <c r="K10" s="957" t="s">
        <v>633</v>
      </c>
      <c r="L10" s="957" t="s">
        <v>634</v>
      </c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</row>
    <row r="11" spans="1:25" ht="22.5" customHeight="1">
      <c r="A11" s="146" t="s">
        <v>6</v>
      </c>
      <c r="B11" s="146" t="s">
        <v>7</v>
      </c>
      <c r="C11" s="146" t="s">
        <v>8</v>
      </c>
      <c r="D11" s="971" t="s">
        <v>9</v>
      </c>
      <c r="E11" s="146">
        <v>1</v>
      </c>
      <c r="F11" s="146">
        <v>2</v>
      </c>
      <c r="G11" s="146">
        <v>3</v>
      </c>
      <c r="H11" s="973">
        <v>4</v>
      </c>
      <c r="I11" s="146">
        <v>5</v>
      </c>
      <c r="J11" s="146">
        <v>6</v>
      </c>
      <c r="K11" s="146">
        <v>7</v>
      </c>
      <c r="L11" s="146">
        <v>8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 ht="10.5" customHeight="1">
      <c r="A12" s="1119" t="s">
        <v>635</v>
      </c>
      <c r="B12" s="967" t="s">
        <v>11</v>
      </c>
      <c r="C12" s="968" t="s">
        <v>643</v>
      </c>
      <c r="D12" s="969">
        <v>1</v>
      </c>
      <c r="E12" s="970"/>
      <c r="F12" s="970"/>
      <c r="G12" s="970"/>
      <c r="H12" s="974">
        <f>E12+F12-G12</f>
        <v>0</v>
      </c>
      <c r="I12" s="976"/>
      <c r="J12" s="976"/>
      <c r="K12" s="976"/>
      <c r="L12" s="974">
        <f>I12+J12-K12</f>
        <v>0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>
      <c r="A13" s="1096"/>
      <c r="B13" s="785">
        <f t="shared" ref="B13:B20" si="0">+B12+0.1</f>
        <v>1.2000000000000002</v>
      </c>
      <c r="C13" s="157" t="s">
        <v>967</v>
      </c>
      <c r="D13" s="158">
        <f>+D12+1</f>
        <v>2</v>
      </c>
      <c r="E13" s="215"/>
      <c r="F13" s="215"/>
      <c r="G13" s="215"/>
      <c r="H13" s="975">
        <f>E13+F13-G13</f>
        <v>0</v>
      </c>
      <c r="I13" s="976"/>
      <c r="J13" s="976"/>
      <c r="K13" s="976"/>
      <c r="L13" s="974">
        <f t="shared" ref="L13:L30" si="1">I13+J13-K13</f>
        <v>0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ht="12" customHeight="1">
      <c r="A14" s="1096"/>
      <c r="B14" s="785">
        <f t="shared" si="0"/>
        <v>1.3000000000000003</v>
      </c>
      <c r="C14" s="157" t="s">
        <v>644</v>
      </c>
      <c r="D14" s="158">
        <f>+D13+1</f>
        <v>3</v>
      </c>
      <c r="E14" s="215"/>
      <c r="F14" s="215"/>
      <c r="G14" s="215"/>
      <c r="H14" s="975">
        <f>E14+F14-G14</f>
        <v>0</v>
      </c>
      <c r="I14" s="976"/>
      <c r="J14" s="976"/>
      <c r="K14" s="976"/>
      <c r="L14" s="974">
        <f t="shared" si="1"/>
        <v>0</v>
      </c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>
      <c r="A15" s="1096"/>
      <c r="B15" s="785">
        <f t="shared" si="0"/>
        <v>1.4000000000000004</v>
      </c>
      <c r="C15" s="157" t="s">
        <v>967</v>
      </c>
      <c r="D15" s="158">
        <f>+D14+1</f>
        <v>4</v>
      </c>
      <c r="E15" s="215"/>
      <c r="F15" s="215"/>
      <c r="G15" s="215"/>
      <c r="H15" s="975">
        <f>E15+F15-G15</f>
        <v>0</v>
      </c>
      <c r="I15" s="976"/>
      <c r="J15" s="976"/>
      <c r="K15" s="976"/>
      <c r="L15" s="974">
        <f t="shared" si="1"/>
        <v>0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>
      <c r="A16" s="1096"/>
      <c r="B16" s="785">
        <f t="shared" si="0"/>
        <v>1.5000000000000004</v>
      </c>
      <c r="C16" s="157" t="s">
        <v>645</v>
      </c>
      <c r="D16" s="158">
        <f t="shared" ref="D16:D31" si="2">+D15+1</f>
        <v>5</v>
      </c>
      <c r="E16" s="215"/>
      <c r="F16" s="215"/>
      <c r="G16" s="215"/>
      <c r="H16" s="975">
        <f t="shared" ref="H16:H30" si="3">E16+F16-G16</f>
        <v>0</v>
      </c>
      <c r="I16" s="976"/>
      <c r="J16" s="976"/>
      <c r="K16" s="976"/>
      <c r="L16" s="974">
        <f t="shared" si="1"/>
        <v>0</v>
      </c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>
      <c r="A17" s="1096"/>
      <c r="B17" s="785">
        <f t="shared" si="0"/>
        <v>1.6000000000000005</v>
      </c>
      <c r="C17" s="157" t="s">
        <v>646</v>
      </c>
      <c r="D17" s="158">
        <f t="shared" si="2"/>
        <v>6</v>
      </c>
      <c r="E17" s="215"/>
      <c r="F17" s="215"/>
      <c r="G17" s="215"/>
      <c r="H17" s="975">
        <f t="shared" si="3"/>
        <v>0</v>
      </c>
      <c r="I17" s="976"/>
      <c r="J17" s="976"/>
      <c r="K17" s="976"/>
      <c r="L17" s="974">
        <f t="shared" si="1"/>
        <v>0</v>
      </c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>
      <c r="A18" s="1096"/>
      <c r="B18" s="785">
        <f t="shared" si="0"/>
        <v>1.7000000000000006</v>
      </c>
      <c r="C18" s="157" t="s">
        <v>647</v>
      </c>
      <c r="D18" s="158">
        <f t="shared" si="2"/>
        <v>7</v>
      </c>
      <c r="E18" s="215"/>
      <c r="F18" s="215"/>
      <c r="G18" s="215"/>
      <c r="H18" s="975">
        <f t="shared" si="3"/>
        <v>0</v>
      </c>
      <c r="I18" s="976"/>
      <c r="J18" s="976"/>
      <c r="K18" s="976"/>
      <c r="L18" s="974">
        <f t="shared" si="1"/>
        <v>0</v>
      </c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>
      <c r="A19" s="1096"/>
      <c r="B19" s="785">
        <f t="shared" si="0"/>
        <v>1.8000000000000007</v>
      </c>
      <c r="C19" s="157" t="s">
        <v>648</v>
      </c>
      <c r="D19" s="158">
        <f t="shared" si="2"/>
        <v>8</v>
      </c>
      <c r="E19" s="215"/>
      <c r="F19" s="215"/>
      <c r="G19" s="215"/>
      <c r="H19" s="975">
        <f t="shared" si="3"/>
        <v>0</v>
      </c>
      <c r="I19" s="976"/>
      <c r="J19" s="976"/>
      <c r="K19" s="976"/>
      <c r="L19" s="974">
        <f t="shared" si="1"/>
        <v>0</v>
      </c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>
      <c r="A20" s="1096"/>
      <c r="B20" s="785">
        <f t="shared" si="0"/>
        <v>1.9000000000000008</v>
      </c>
      <c r="C20" s="157" t="s">
        <v>649</v>
      </c>
      <c r="D20" s="158">
        <f t="shared" si="2"/>
        <v>9</v>
      </c>
      <c r="E20" s="215"/>
      <c r="F20" s="215"/>
      <c r="G20" s="215"/>
      <c r="H20" s="975">
        <f t="shared" si="3"/>
        <v>0</v>
      </c>
      <c r="I20" s="976"/>
      <c r="J20" s="976"/>
      <c r="K20" s="976"/>
      <c r="L20" s="974">
        <f t="shared" si="1"/>
        <v>0</v>
      </c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>
      <c r="A21" s="1096"/>
      <c r="B21" s="778">
        <v>1.1000000000000001</v>
      </c>
      <c r="C21" s="157" t="s">
        <v>650</v>
      </c>
      <c r="D21" s="158">
        <f t="shared" si="2"/>
        <v>10</v>
      </c>
      <c r="E21" s="215"/>
      <c r="F21" s="215"/>
      <c r="G21" s="215"/>
      <c r="H21" s="975">
        <f t="shared" si="3"/>
        <v>0</v>
      </c>
      <c r="I21" s="976"/>
      <c r="J21" s="976"/>
      <c r="K21" s="976"/>
      <c r="L21" s="974">
        <f t="shared" si="1"/>
        <v>0</v>
      </c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 ht="21">
      <c r="A22" s="1096"/>
      <c r="B22" s="778">
        <f>+B21+0.01</f>
        <v>1.1100000000000001</v>
      </c>
      <c r="C22" s="157" t="s">
        <v>913</v>
      </c>
      <c r="D22" s="158">
        <f t="shared" si="2"/>
        <v>11</v>
      </c>
      <c r="E22" s="215"/>
      <c r="F22" s="215"/>
      <c r="G22" s="215"/>
      <c r="H22" s="975">
        <f t="shared" si="3"/>
        <v>0</v>
      </c>
      <c r="I22" s="976"/>
      <c r="J22" s="976"/>
      <c r="K22" s="976"/>
      <c r="L22" s="974">
        <f t="shared" si="1"/>
        <v>0</v>
      </c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>
      <c r="A23" s="1096"/>
      <c r="B23" s="778">
        <f t="shared" ref="B23:B30" si="4">+B22+0.01</f>
        <v>1.1200000000000001</v>
      </c>
      <c r="C23" s="157" t="s">
        <v>652</v>
      </c>
      <c r="D23" s="158">
        <f t="shared" si="2"/>
        <v>12</v>
      </c>
      <c r="E23" s="215"/>
      <c r="F23" s="215"/>
      <c r="G23" s="215"/>
      <c r="H23" s="975">
        <f t="shared" si="3"/>
        <v>0</v>
      </c>
      <c r="I23" s="976"/>
      <c r="J23" s="976"/>
      <c r="K23" s="976"/>
      <c r="L23" s="974">
        <f t="shared" si="1"/>
        <v>0</v>
      </c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>
      <c r="A24" s="1096"/>
      <c r="B24" s="778">
        <f t="shared" si="4"/>
        <v>1.1300000000000001</v>
      </c>
      <c r="C24" s="157" t="s">
        <v>653</v>
      </c>
      <c r="D24" s="158">
        <f t="shared" si="2"/>
        <v>13</v>
      </c>
      <c r="E24" s="215"/>
      <c r="F24" s="215"/>
      <c r="G24" s="215"/>
      <c r="H24" s="975">
        <f t="shared" si="3"/>
        <v>0</v>
      </c>
      <c r="I24" s="976"/>
      <c r="J24" s="976"/>
      <c r="K24" s="976"/>
      <c r="L24" s="974">
        <f t="shared" si="1"/>
        <v>0</v>
      </c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>
      <c r="A25" s="1096"/>
      <c r="B25" s="778">
        <f t="shared" si="4"/>
        <v>1.1400000000000001</v>
      </c>
      <c r="C25" s="157" t="s">
        <v>654</v>
      </c>
      <c r="D25" s="158">
        <f t="shared" si="2"/>
        <v>14</v>
      </c>
      <c r="E25" s="215"/>
      <c r="F25" s="215"/>
      <c r="G25" s="215"/>
      <c r="H25" s="975">
        <f t="shared" si="3"/>
        <v>0</v>
      </c>
      <c r="I25" s="976"/>
      <c r="J25" s="976"/>
      <c r="K25" s="976"/>
      <c r="L25" s="974">
        <f t="shared" si="1"/>
        <v>0</v>
      </c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ht="21" customHeight="1">
      <c r="A26" s="1096"/>
      <c r="B26" s="778">
        <f t="shared" si="4"/>
        <v>1.1500000000000001</v>
      </c>
      <c r="C26" s="157" t="s">
        <v>655</v>
      </c>
      <c r="D26" s="158">
        <f t="shared" si="2"/>
        <v>15</v>
      </c>
      <c r="E26" s="215"/>
      <c r="F26" s="215"/>
      <c r="G26" s="215"/>
      <c r="H26" s="975">
        <f t="shared" si="3"/>
        <v>0</v>
      </c>
      <c r="I26" s="976"/>
      <c r="J26" s="976"/>
      <c r="K26" s="976"/>
      <c r="L26" s="974">
        <f t="shared" si="1"/>
        <v>0</v>
      </c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ht="45" customHeight="1">
      <c r="A27" s="1096"/>
      <c r="B27" s="778">
        <f t="shared" si="4"/>
        <v>1.1600000000000001</v>
      </c>
      <c r="C27" s="157" t="s">
        <v>656</v>
      </c>
      <c r="D27" s="158">
        <f t="shared" si="2"/>
        <v>16</v>
      </c>
      <c r="E27" s="215"/>
      <c r="F27" s="215"/>
      <c r="G27" s="215"/>
      <c r="H27" s="975">
        <f t="shared" si="3"/>
        <v>0</v>
      </c>
      <c r="I27" s="976"/>
      <c r="J27" s="976"/>
      <c r="K27" s="976"/>
      <c r="L27" s="974">
        <f t="shared" si="1"/>
        <v>0</v>
      </c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1:25" ht="33.75" customHeight="1">
      <c r="A28" s="1096"/>
      <c r="B28" s="778">
        <f t="shared" si="4"/>
        <v>1.1700000000000002</v>
      </c>
      <c r="C28" s="159" t="s">
        <v>657</v>
      </c>
      <c r="D28" s="158">
        <f t="shared" si="2"/>
        <v>17</v>
      </c>
      <c r="E28" s="215"/>
      <c r="F28" s="215"/>
      <c r="G28" s="215"/>
      <c r="H28" s="975">
        <f t="shared" si="3"/>
        <v>0</v>
      </c>
      <c r="I28" s="976"/>
      <c r="J28" s="976"/>
      <c r="K28" s="976"/>
      <c r="L28" s="974">
        <f t="shared" si="1"/>
        <v>0</v>
      </c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1:25" ht="31.5">
      <c r="A29" s="1120"/>
      <c r="B29" s="778">
        <f t="shared" si="4"/>
        <v>1.1800000000000002</v>
      </c>
      <c r="C29" s="157" t="s">
        <v>658</v>
      </c>
      <c r="D29" s="158">
        <f t="shared" si="2"/>
        <v>18</v>
      </c>
      <c r="E29" s="215"/>
      <c r="F29" s="215"/>
      <c r="G29" s="215"/>
      <c r="H29" s="975">
        <f t="shared" si="3"/>
        <v>0</v>
      </c>
      <c r="I29" s="976"/>
      <c r="J29" s="976"/>
      <c r="K29" s="976"/>
      <c r="L29" s="974">
        <f t="shared" si="1"/>
        <v>0</v>
      </c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1:25" s="163" customFormat="1" ht="31.5">
      <c r="A30" s="151" t="s">
        <v>639</v>
      </c>
      <c r="B30" s="778">
        <f t="shared" si="4"/>
        <v>1.1900000000000002</v>
      </c>
      <c r="C30" s="161" t="s">
        <v>659</v>
      </c>
      <c r="D30" s="158">
        <f t="shared" si="2"/>
        <v>19</v>
      </c>
      <c r="E30" s="215"/>
      <c r="F30" s="215"/>
      <c r="G30" s="215"/>
      <c r="H30" s="975">
        <f t="shared" si="3"/>
        <v>0</v>
      </c>
      <c r="I30" s="977"/>
      <c r="J30" s="977"/>
      <c r="K30" s="977"/>
      <c r="L30" s="974">
        <f t="shared" si="1"/>
        <v>0</v>
      </c>
    </row>
    <row r="31" spans="1:25">
      <c r="A31" s="955" t="s">
        <v>626</v>
      </c>
      <c r="B31" s="956"/>
      <c r="C31" s="959"/>
      <c r="D31" s="162">
        <f t="shared" si="2"/>
        <v>20</v>
      </c>
      <c r="E31" s="228">
        <f>SUM(E12:E30)-E13-E15</f>
        <v>0</v>
      </c>
      <c r="F31" s="228">
        <f>SUM(F12:F30)-F13-F15</f>
        <v>0</v>
      </c>
      <c r="G31" s="228">
        <f>SUM(G12:G30)-G13-G15</f>
        <v>0</v>
      </c>
      <c r="H31" s="975">
        <f>E31+F31-G31</f>
        <v>0</v>
      </c>
      <c r="I31" s="228">
        <f>SUM(I12:I30)-I13-I15</f>
        <v>0</v>
      </c>
      <c r="J31" s="228">
        <f>SUM(J12:J30)-J13-J15</f>
        <v>0</v>
      </c>
      <c r="K31" s="228">
        <f>SUM(K12:K30)-K13-K15</f>
        <v>0</v>
      </c>
      <c r="L31" s="975">
        <f>I31+J31-K31</f>
        <v>0</v>
      </c>
      <c r="M31" s="134"/>
      <c r="N31" s="134"/>
      <c r="O31" s="134"/>
      <c r="P31" s="134"/>
      <c r="Q31" s="134"/>
      <c r="R31" s="134"/>
      <c r="S31" s="134"/>
      <c r="T31" s="134"/>
      <c r="U31" s="134"/>
    </row>
    <row r="32" spans="1:25">
      <c r="A32" s="248"/>
      <c r="B32" s="230"/>
      <c r="C32" s="230"/>
      <c r="D32" s="230"/>
      <c r="E32" s="1013"/>
      <c r="F32" s="1013"/>
      <c r="G32" s="1013"/>
      <c r="H32" s="1013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</row>
    <row r="33" spans="1:25" ht="13">
      <c r="A33" s="960"/>
      <c r="B33" s="960"/>
      <c r="C33" s="960" t="str">
        <f>+i.04108!C32</f>
        <v>тамга тэмдэг</v>
      </c>
      <c r="D33" s="960"/>
      <c r="E33" s="960"/>
      <c r="F33" s="960"/>
      <c r="G33" s="960"/>
      <c r="H33" s="245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</row>
    <row r="34" spans="1:25" ht="13">
      <c r="A34" s="960"/>
      <c r="B34" s="960"/>
      <c r="C34" s="960"/>
      <c r="D34" s="960"/>
      <c r="E34" s="960"/>
      <c r="F34" s="960"/>
      <c r="G34" s="960"/>
      <c r="H34" s="230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</row>
    <row r="35" spans="1:25" ht="13">
      <c r="A35" s="961"/>
      <c r="B35" s="961"/>
      <c r="C35" s="960" t="str">
        <f>+i.04108!C34</f>
        <v xml:space="preserve">ТАЙЛАН ГАРГАСАН:    </v>
      </c>
      <c r="D35" s="231"/>
      <c r="E35" s="960"/>
      <c r="F35" s="960"/>
      <c r="G35" s="961"/>
      <c r="H35" s="230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</row>
    <row r="36" spans="1:25" ht="13">
      <c r="A36" s="960"/>
      <c r="B36" s="960"/>
      <c r="C36" s="960"/>
      <c r="D36" s="231"/>
      <c r="E36" s="960"/>
      <c r="F36" s="960"/>
      <c r="G36" s="960"/>
      <c r="H36" s="230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</row>
    <row r="37" spans="1:25" ht="13">
      <c r="A37" s="960"/>
      <c r="B37" s="960"/>
      <c r="C37" s="960" t="str">
        <f>+i.04108!C36</f>
        <v xml:space="preserve"> Гүйцэтгэх захирал</v>
      </c>
      <c r="D37" s="960" t="str">
        <f>+i.04108!D36</f>
        <v xml:space="preserve">/................................../   </v>
      </c>
      <c r="E37" s="960"/>
      <c r="F37" s="960" t="str">
        <f>+i.04108!F36</f>
        <v>/................................./</v>
      </c>
      <c r="G37" s="960"/>
      <c r="H37" s="230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</row>
    <row r="38" spans="1:25" ht="13">
      <c r="A38" s="49"/>
      <c r="B38" s="256"/>
      <c r="C38" s="960"/>
      <c r="D38" s="960"/>
      <c r="E38" s="960"/>
      <c r="F38" s="960"/>
      <c r="G38" s="242"/>
      <c r="H38" s="230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</row>
    <row r="39" spans="1:25" ht="13">
      <c r="A39" s="958"/>
      <c r="B39" s="242"/>
      <c r="C39" s="960" t="str">
        <f>+i.04108!C38</f>
        <v xml:space="preserve"> Ерөнхий нягтлан бодогч  </v>
      </c>
      <c r="D39" s="960" t="str">
        <f>+i.04108!D36</f>
        <v xml:space="preserve">/................................../   </v>
      </c>
      <c r="E39" s="960"/>
      <c r="F39" s="960" t="str">
        <f>+i.04108!F38</f>
        <v>/................................/</v>
      </c>
      <c r="G39" s="242"/>
      <c r="H39" s="230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</row>
    <row r="40" spans="1:25" ht="13">
      <c r="A40" s="248"/>
      <c r="B40" s="230"/>
      <c r="C40" s="960"/>
      <c r="D40" s="960"/>
      <c r="E40" s="230"/>
      <c r="F40" s="960"/>
      <c r="G40" s="230"/>
      <c r="H40" s="230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</row>
    <row r="41" spans="1:25" ht="13">
      <c r="A41" s="248"/>
      <c r="B41" s="230"/>
      <c r="C41" s="230" t="str">
        <f>+i.04108!C40</f>
        <v>...................................................</v>
      </c>
      <c r="D41" s="960" t="str">
        <f>+i.04108!D38</f>
        <v xml:space="preserve">/.................................../   </v>
      </c>
      <c r="E41" s="230"/>
      <c r="F41" s="960" t="str">
        <f>+i.04108!F40</f>
        <v>/................................/</v>
      </c>
      <c r="G41" s="230"/>
      <c r="H41" s="230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</row>
    <row r="42" spans="1:25">
      <c r="A42" s="248"/>
      <c r="B42" s="230"/>
      <c r="C42" s="230"/>
      <c r="D42" s="230"/>
      <c r="E42" s="230"/>
      <c r="F42" s="230"/>
      <c r="G42" s="230"/>
      <c r="H42" s="230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</row>
    <row r="43" spans="1:25">
      <c r="A43" s="248"/>
      <c r="B43" s="230"/>
      <c r="C43" s="230"/>
      <c r="D43" s="230"/>
      <c r="E43" s="230"/>
      <c r="F43" s="230"/>
      <c r="G43" s="230"/>
      <c r="H43" s="230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</row>
    <row r="44" spans="1:25">
      <c r="A44" s="248"/>
      <c r="B44" s="230"/>
      <c r="C44" s="230"/>
      <c r="D44" s="230"/>
      <c r="E44" s="230"/>
      <c r="F44" s="230"/>
      <c r="G44" s="230"/>
      <c r="H44" s="230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</row>
    <row r="45" spans="1:25">
      <c r="A45" s="248"/>
      <c r="B45" s="230"/>
      <c r="C45" s="230"/>
      <c r="D45" s="230"/>
      <c r="E45" s="230"/>
      <c r="F45" s="230"/>
      <c r="G45" s="230"/>
      <c r="H45" s="230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</row>
    <row r="46" spans="1:25">
      <c r="A46" s="248"/>
      <c r="B46" s="230"/>
      <c r="C46" s="230"/>
      <c r="D46" s="230"/>
      <c r="E46" s="230"/>
      <c r="F46" s="230"/>
      <c r="G46" s="230"/>
      <c r="H46" s="230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</row>
    <row r="47" spans="1:25">
      <c r="A47" s="248"/>
      <c r="B47" s="230"/>
      <c r="C47" s="230"/>
      <c r="D47" s="230"/>
      <c r="E47" s="230"/>
      <c r="F47" s="230"/>
      <c r="G47" s="230"/>
      <c r="H47" s="230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</row>
    <row r="48" spans="1:25">
      <c r="A48" s="248"/>
      <c r="B48" s="230"/>
      <c r="C48" s="230"/>
      <c r="D48" s="230"/>
      <c r="E48" s="230"/>
      <c r="F48" s="230"/>
      <c r="G48" s="230"/>
      <c r="H48" s="230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</row>
    <row r="49" spans="1:25">
      <c r="A49" s="248"/>
      <c r="B49" s="230"/>
      <c r="C49" s="230"/>
      <c r="D49" s="230"/>
      <c r="E49" s="230"/>
      <c r="F49" s="230"/>
      <c r="G49" s="230"/>
      <c r="H49" s="230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</row>
    <row r="50" spans="1:25">
      <c r="A50" s="248"/>
      <c r="B50" s="230"/>
      <c r="C50" s="230"/>
      <c r="D50" s="230"/>
      <c r="E50" s="230"/>
      <c r="F50" s="230"/>
      <c r="G50" s="230"/>
      <c r="H50" s="230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</row>
    <row r="51" spans="1:25">
      <c r="A51" s="248"/>
      <c r="B51" s="230"/>
      <c r="C51" s="230"/>
      <c r="D51" s="230"/>
      <c r="E51" s="230"/>
      <c r="F51" s="230"/>
      <c r="G51" s="230"/>
      <c r="H51" s="230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</row>
    <row r="52" spans="1:25">
      <c r="A52" s="248"/>
      <c r="B52" s="230"/>
      <c r="C52" s="230"/>
      <c r="D52" s="230"/>
      <c r="E52" s="230"/>
      <c r="F52" s="230"/>
      <c r="G52" s="230"/>
      <c r="H52" s="230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</row>
    <row r="53" spans="1:25">
      <c r="A53" s="248"/>
      <c r="B53" s="230"/>
      <c r="C53" s="230"/>
      <c r="D53" s="230"/>
      <c r="E53" s="230"/>
      <c r="F53" s="230"/>
      <c r="G53" s="230"/>
      <c r="H53" s="230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</row>
    <row r="54" spans="1:25">
      <c r="A54" s="248"/>
      <c r="B54" s="230"/>
      <c r="C54" s="230"/>
      <c r="D54" s="230"/>
      <c r="E54" s="230"/>
      <c r="F54" s="230"/>
      <c r="G54" s="230"/>
      <c r="H54" s="230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</row>
    <row r="55" spans="1:25">
      <c r="A55" s="248"/>
      <c r="B55" s="230"/>
      <c r="C55" s="230"/>
      <c r="D55" s="230"/>
      <c r="E55" s="230"/>
      <c r="F55" s="230"/>
      <c r="G55" s="230"/>
      <c r="H55" s="230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</row>
    <row r="56" spans="1:25">
      <c r="A56" s="248"/>
      <c r="B56" s="230"/>
      <c r="C56" s="230"/>
      <c r="D56" s="230"/>
      <c r="E56" s="230"/>
      <c r="F56" s="230"/>
      <c r="G56" s="230"/>
      <c r="H56" s="230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</row>
    <row r="57" spans="1:25">
      <c r="A57" s="248"/>
      <c r="B57" s="230"/>
      <c r="C57" s="230"/>
      <c r="D57" s="230"/>
      <c r="E57" s="230"/>
      <c r="F57" s="230"/>
      <c r="G57" s="230"/>
      <c r="H57" s="230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</row>
    <row r="58" spans="1:25">
      <c r="A58" s="248"/>
      <c r="B58" s="230"/>
      <c r="C58" s="230"/>
      <c r="D58" s="230"/>
      <c r="E58" s="230"/>
      <c r="F58" s="230"/>
      <c r="G58" s="230"/>
      <c r="H58" s="230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</row>
    <row r="59" spans="1:25">
      <c r="A59" s="248"/>
      <c r="B59" s="230"/>
      <c r="C59" s="230"/>
      <c r="D59" s="230"/>
      <c r="E59" s="230"/>
      <c r="F59" s="230"/>
      <c r="G59" s="230"/>
      <c r="H59" s="230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</row>
    <row r="60" spans="1:25">
      <c r="A60" s="248"/>
      <c r="B60" s="230"/>
      <c r="C60" s="230"/>
      <c r="D60" s="230"/>
      <c r="E60" s="230"/>
      <c r="F60" s="230"/>
      <c r="G60" s="230"/>
      <c r="H60" s="230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</row>
    <row r="61" spans="1:25">
      <c r="A61" s="248"/>
      <c r="B61" s="230"/>
      <c r="C61" s="230"/>
      <c r="D61" s="230"/>
      <c r="E61" s="230"/>
      <c r="F61" s="230"/>
      <c r="G61" s="230"/>
      <c r="H61" s="230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</row>
    <row r="62" spans="1:25">
      <c r="A62" s="248"/>
      <c r="B62" s="230"/>
      <c r="C62" s="230"/>
      <c r="D62" s="230"/>
      <c r="E62" s="230"/>
      <c r="F62" s="230"/>
      <c r="G62" s="230"/>
      <c r="H62" s="230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</row>
    <row r="63" spans="1:25">
      <c r="A63" s="248"/>
      <c r="B63" s="230"/>
      <c r="C63" s="230"/>
      <c r="D63" s="230"/>
      <c r="E63" s="230"/>
      <c r="F63" s="230"/>
      <c r="G63" s="230"/>
      <c r="H63" s="230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</row>
    <row r="64" spans="1:25">
      <c r="A64" s="248"/>
      <c r="B64" s="230"/>
      <c r="C64" s="230"/>
      <c r="D64" s="230"/>
      <c r="E64" s="230"/>
      <c r="F64" s="230"/>
      <c r="G64" s="230"/>
      <c r="H64" s="230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</row>
    <row r="65" spans="1:25">
      <c r="A65" s="248"/>
      <c r="B65" s="230"/>
      <c r="C65" s="230"/>
      <c r="D65" s="230"/>
      <c r="E65" s="230"/>
      <c r="F65" s="230"/>
      <c r="G65" s="230"/>
      <c r="H65" s="230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</row>
    <row r="66" spans="1:25">
      <c r="A66" s="248"/>
      <c r="B66" s="230"/>
      <c r="C66" s="230"/>
      <c r="D66" s="230"/>
      <c r="E66" s="230"/>
      <c r="F66" s="230"/>
      <c r="G66" s="230"/>
      <c r="H66" s="230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</row>
    <row r="67" spans="1:25">
      <c r="A67" s="248"/>
      <c r="B67" s="230"/>
      <c r="C67" s="230"/>
      <c r="D67" s="230"/>
      <c r="E67" s="230"/>
      <c r="F67" s="230"/>
      <c r="G67" s="230"/>
      <c r="H67" s="230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</row>
    <row r="68" spans="1:25">
      <c r="A68" s="142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</row>
    <row r="69" spans="1:25">
      <c r="A69" s="142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</row>
    <row r="70" spans="1:25">
      <c r="A70" s="142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</row>
    <row r="71" spans="1:25">
      <c r="A71" s="142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</row>
    <row r="72" spans="1:25">
      <c r="A72" s="142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</row>
    <row r="73" spans="1:25">
      <c r="A73" s="142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</row>
    <row r="74" spans="1:25">
      <c r="A74" s="142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</row>
    <row r="75" spans="1:25">
      <c r="A75" s="142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</row>
    <row r="76" spans="1:25">
      <c r="A76" s="142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</row>
    <row r="77" spans="1:25">
      <c r="A77" s="142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  <row r="78" spans="1:25">
      <c r="A78" s="142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</row>
    <row r="79" spans="1:25">
      <c r="A79" s="142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</row>
    <row r="80" spans="1:25">
      <c r="A80" s="142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</row>
    <row r="81" spans="1:25">
      <c r="A81" s="142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</row>
    <row r="82" spans="1:25">
      <c r="A82" s="142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</row>
    <row r="83" spans="1:25">
      <c r="A83" s="142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</row>
    <row r="84" spans="1:25">
      <c r="A84" s="142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</row>
    <row r="85" spans="1:25">
      <c r="A85" s="142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</row>
    <row r="86" spans="1:25">
      <c r="A86" s="142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</row>
    <row r="87" spans="1:25">
      <c r="A87" s="142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</row>
    <row r="88" spans="1:25">
      <c r="A88" s="142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</row>
    <row r="89" spans="1:25">
      <c r="A89" s="142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</row>
    <row r="90" spans="1:25">
      <c r="A90" s="142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</row>
    <row r="91" spans="1:25">
      <c r="A91" s="142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</row>
    <row r="92" spans="1:25">
      <c r="A92" s="142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</row>
    <row r="93" spans="1:25">
      <c r="A93" s="142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</row>
    <row r="94" spans="1:25">
      <c r="A94" s="142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</row>
    <row r="95" spans="1:25">
      <c r="A95" s="142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</row>
    <row r="96" spans="1:25">
      <c r="A96" s="142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</row>
    <row r="97" spans="1:25">
      <c r="A97" s="142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</row>
    <row r="98" spans="1:25">
      <c r="A98" s="142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</row>
    <row r="99" spans="1:25">
      <c r="A99" s="142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</row>
    <row r="100" spans="1:25">
      <c r="A100" s="142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>
      <c r="A101" s="142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>
      <c r="A102" s="142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>
      <c r="A103" s="142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</row>
    <row r="104" spans="1:25">
      <c r="A104" s="142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</row>
    <row r="105" spans="1:25">
      <c r="A105" s="142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</row>
    <row r="106" spans="1:25">
      <c r="A106" s="142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>
      <c r="A107" s="142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>
      <c r="A108" s="142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</row>
    <row r="109" spans="1:25">
      <c r="A109" s="142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</row>
    <row r="110" spans="1:25">
      <c r="A110" s="142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</row>
    <row r="111" spans="1:25">
      <c r="A111" s="142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</row>
    <row r="112" spans="1:25">
      <c r="A112" s="142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</row>
    <row r="113" spans="1:25">
      <c r="A113" s="142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</row>
    <row r="114" spans="1:25">
      <c r="A114" s="142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</row>
    <row r="115" spans="1:25">
      <c r="A115" s="142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5">
      <c r="A116" s="142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</row>
    <row r="117" spans="1:25">
      <c r="A117" s="142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</row>
    <row r="118" spans="1:25">
      <c r="A118" s="142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</row>
    <row r="119" spans="1:25">
      <c r="A119" s="142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</row>
    <row r="120" spans="1:25">
      <c r="A120" s="142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</row>
    <row r="121" spans="1:25">
      <c r="A121" s="142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</row>
    <row r="122" spans="1:25">
      <c r="A122" s="142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</row>
    <row r="123" spans="1:25">
      <c r="A123" s="142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</row>
    <row r="124" spans="1:25">
      <c r="A124" s="142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</row>
    <row r="125" spans="1:25">
      <c r="A125" s="142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</row>
    <row r="126" spans="1:25">
      <c r="A126" s="142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</row>
    <row r="127" spans="1:25">
      <c r="A127" s="142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</row>
    <row r="128" spans="1:25">
      <c r="A128" s="142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</row>
    <row r="129" spans="1:25">
      <c r="A129" s="142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</row>
    <row r="130" spans="1:25">
      <c r="A130" s="142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</row>
    <row r="131" spans="1:25">
      <c r="A131" s="142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</row>
    <row r="132" spans="1:25">
      <c r="A132" s="142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</row>
    <row r="133" spans="1:25">
      <c r="A133" s="142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</row>
    <row r="134" spans="1:25">
      <c r="A134" s="142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</row>
    <row r="135" spans="1:25">
      <c r="A135" s="142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</row>
    <row r="136" spans="1:25">
      <c r="A136" s="142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</row>
    <row r="137" spans="1:25">
      <c r="A137" s="142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</row>
    <row r="138" spans="1:25">
      <c r="A138" s="142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</row>
    <row r="139" spans="1:25">
      <c r="A139" s="142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</row>
    <row r="140" spans="1:25">
      <c r="A140" s="142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</row>
    <row r="141" spans="1:25">
      <c r="A141" s="142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</row>
    <row r="142" spans="1:25">
      <c r="A142" s="142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</row>
    <row r="143" spans="1:25">
      <c r="A143" s="142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</row>
    <row r="144" spans="1:25">
      <c r="A144" s="142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</row>
    <row r="145" spans="1:25">
      <c r="A145" s="142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</row>
    <row r="146" spans="1:25">
      <c r="A146" s="142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</row>
    <row r="147" spans="1:25">
      <c r="A147" s="142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</row>
    <row r="148" spans="1:25">
      <c r="A148" s="142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</row>
    <row r="149" spans="1:25">
      <c r="A149" s="142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</row>
    <row r="150" spans="1:25">
      <c r="A150" s="142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</row>
    <row r="151" spans="1:25">
      <c r="A151" s="142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</row>
    <row r="152" spans="1:25">
      <c r="A152" s="142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</row>
    <row r="153" spans="1:25">
      <c r="A153" s="142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</row>
    <row r="154" spans="1:25">
      <c r="A154" s="142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5">
      <c r="A155" s="142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5">
      <c r="A156" s="142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5">
      <c r="A157" s="142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</row>
    <row r="158" spans="1:25">
      <c r="A158" s="142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</row>
    <row r="159" spans="1:25">
      <c r="A159" s="142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</row>
    <row r="160" spans="1:25">
      <c r="A160" s="142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>
      <c r="A161" s="142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>
      <c r="A162" s="142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>
      <c r="A163" s="142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>
      <c r="A164" s="142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>
      <c r="A165" s="142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>
      <c r="A166" s="142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>
      <c r="A167" s="142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>
      <c r="A168" s="142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>
      <c r="A169" s="142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>
      <c r="A170" s="142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>
      <c r="A171" s="142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>
      <c r="A172" s="142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>
      <c r="A173" s="142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>
      <c r="A174" s="142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>
      <c r="A175" s="142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>
      <c r="A176" s="142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>
      <c r="A177" s="142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>
      <c r="A178" s="142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>
      <c r="A179" s="142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>
      <c r="A180" s="142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>
      <c r="A181" s="142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>
      <c r="A182" s="142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>
      <c r="A183" s="142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>
      <c r="A184" s="142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>
      <c r="A185" s="142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>
      <c r="A186" s="142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>
      <c r="A187" s="142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>
      <c r="A188" s="142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>
      <c r="A189" s="142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>
      <c r="A190" s="142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>
      <c r="A191" s="142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>
      <c r="A192" s="142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>
      <c r="A193" s="142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>
      <c r="A194" s="142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>
      <c r="A195" s="142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>
      <c r="A196" s="142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>
      <c r="A197" s="142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>
      <c r="A198" s="142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>
      <c r="A199" s="142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>
      <c r="A200" s="142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>
      <c r="A201" s="142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>
      <c r="A202" s="142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>
      <c r="A203" s="142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>
      <c r="A204" s="142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>
      <c r="A205" s="142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>
      <c r="A206" s="142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>
      <c r="A207" s="142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>
      <c r="A208" s="142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>
      <c r="A209" s="142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>
      <c r="A210" s="142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>
      <c r="A211" s="142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>
      <c r="A212" s="142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>
      <c r="A213" s="142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</row>
    <row r="214" spans="1:25">
      <c r="A214" s="142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</row>
    <row r="215" spans="1:25">
      <c r="A215" s="142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</row>
    <row r="216" spans="1:25">
      <c r="A216" s="142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</row>
    <row r="217" spans="1:25">
      <c r="A217" s="142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</row>
    <row r="218" spans="1:25">
      <c r="A218" s="142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</row>
    <row r="219" spans="1:25">
      <c r="A219" s="142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</row>
    <row r="220" spans="1:25">
      <c r="A220" s="142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</row>
    <row r="221" spans="1:25">
      <c r="A221" s="142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</row>
    <row r="222" spans="1:25">
      <c r="A222" s="142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</row>
    <row r="223" spans="1:25">
      <c r="A223" s="142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</row>
    <row r="224" spans="1:25">
      <c r="A224" s="142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</row>
    <row r="225" spans="1:25">
      <c r="A225" s="142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</row>
    <row r="226" spans="1:25">
      <c r="A226" s="142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</row>
    <row r="227" spans="1:25">
      <c r="A227" s="142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</row>
    <row r="228" spans="1:25">
      <c r="A228" s="142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</row>
    <row r="229" spans="1:25">
      <c r="A229" s="142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</row>
    <row r="230" spans="1:25">
      <c r="A230" s="142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</row>
    <row r="231" spans="1:25">
      <c r="A231" s="142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</row>
    <row r="232" spans="1:25">
      <c r="A232" s="142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</row>
    <row r="233" spans="1:25">
      <c r="A233" s="142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</row>
    <row r="234" spans="1:25">
      <c r="A234" s="142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</row>
    <row r="235" spans="1:25">
      <c r="A235" s="142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</row>
    <row r="236" spans="1:25">
      <c r="A236" s="142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</row>
    <row r="237" spans="1:25">
      <c r="A237" s="142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</row>
    <row r="238" spans="1:25">
      <c r="A238" s="142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</row>
    <row r="239" spans="1:25">
      <c r="A239" s="142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</row>
    <row r="240" spans="1:25">
      <c r="A240" s="142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</row>
    <row r="241" spans="1:25">
      <c r="A241" s="142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</row>
    <row r="242" spans="1:25">
      <c r="A242" s="142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</row>
    <row r="243" spans="1:25">
      <c r="A243" s="142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</row>
    <row r="244" spans="1:25">
      <c r="A244" s="142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</row>
    <row r="245" spans="1:25">
      <c r="A245" s="142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</row>
    <row r="246" spans="1:25">
      <c r="A246" s="142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</row>
    <row r="247" spans="1:25">
      <c r="A247" s="142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</row>
    <row r="248" spans="1:25">
      <c r="A248" s="142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</row>
    <row r="249" spans="1:25">
      <c r="A249" s="142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</row>
    <row r="250" spans="1:25">
      <c r="A250" s="142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</row>
    <row r="251" spans="1:25">
      <c r="A251" s="142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</row>
    <row r="252" spans="1:25">
      <c r="A252" s="142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</row>
    <row r="253" spans="1:25">
      <c r="A253" s="142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</row>
    <row r="254" spans="1:25">
      <c r="A254" s="142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</row>
    <row r="255" spans="1:25">
      <c r="A255" s="142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</row>
    <row r="256" spans="1:25">
      <c r="A256" s="142"/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</row>
    <row r="257" spans="1:25">
      <c r="A257" s="142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</row>
    <row r="258" spans="1:25">
      <c r="A258" s="142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</row>
    <row r="259" spans="1:25">
      <c r="A259" s="142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</row>
    <row r="260" spans="1:25">
      <c r="A260" s="142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</row>
    <row r="261" spans="1:25">
      <c r="A261" s="142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</row>
    <row r="262" spans="1:25">
      <c r="A262" s="142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</row>
    <row r="263" spans="1:25">
      <c r="A263" s="142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</row>
    <row r="264" spans="1:25">
      <c r="A264" s="142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</row>
    <row r="265" spans="1:25">
      <c r="A265" s="142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</row>
    <row r="266" spans="1:25">
      <c r="A266" s="142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</row>
    <row r="267" spans="1:25">
      <c r="A267" s="142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</row>
    <row r="268" spans="1:25">
      <c r="A268" s="142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1:25">
      <c r="A269" s="142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</row>
    <row r="270" spans="1:25">
      <c r="A270" s="142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</row>
    <row r="271" spans="1:25">
      <c r="A271" s="142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</row>
    <row r="272" spans="1:25">
      <c r="A272" s="142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</row>
    <row r="273" spans="1:25">
      <c r="A273" s="142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</row>
    <row r="274" spans="1:25">
      <c r="A274" s="142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</row>
    <row r="275" spans="1:25">
      <c r="A275" s="142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</row>
    <row r="276" spans="1:25">
      <c r="A276" s="142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</row>
    <row r="277" spans="1:25">
      <c r="A277" s="142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</row>
    <row r="278" spans="1:25">
      <c r="A278" s="142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</row>
    <row r="279" spans="1:25">
      <c r="A279" s="142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</row>
    <row r="280" spans="1:25">
      <c r="A280" s="142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</row>
    <row r="281" spans="1:25">
      <c r="A281" s="142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</row>
    <row r="282" spans="1:25">
      <c r="A282" s="142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</row>
    <row r="283" spans="1:25">
      <c r="A283" s="142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</row>
    <row r="284" spans="1:25">
      <c r="A284" s="142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</row>
    <row r="285" spans="1:25">
      <c r="A285" s="142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</row>
    <row r="286" spans="1:25">
      <c r="A286" s="142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</row>
    <row r="287" spans="1:25">
      <c r="A287" s="142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</row>
    <row r="288" spans="1:25">
      <c r="A288" s="142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</row>
    <row r="289" spans="1:25">
      <c r="A289" s="142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</row>
    <row r="290" spans="1:25">
      <c r="A290" s="142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</row>
    <row r="291" spans="1:25">
      <c r="A291" s="142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</row>
    <row r="292" spans="1:25">
      <c r="A292" s="142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</row>
    <row r="293" spans="1:25">
      <c r="A293" s="142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</row>
    <row r="294" spans="1:25">
      <c r="A294" s="142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</row>
    <row r="295" spans="1:25">
      <c r="A295" s="142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</row>
    <row r="296" spans="1:25">
      <c r="A296" s="142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</row>
    <row r="297" spans="1:25">
      <c r="A297" s="142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</row>
    <row r="298" spans="1:25">
      <c r="A298" s="142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</row>
    <row r="299" spans="1:25">
      <c r="A299" s="142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</row>
    <row r="300" spans="1:25">
      <c r="A300" s="142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</row>
    <row r="301" spans="1:25">
      <c r="A301" s="142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</row>
    <row r="302" spans="1:25">
      <c r="A302" s="142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</row>
    <row r="303" spans="1:25">
      <c r="A303" s="142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</row>
    <row r="304" spans="1:25">
      <c r="A304" s="142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</row>
    <row r="305" spans="1:25">
      <c r="A305" s="142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</row>
    <row r="306" spans="1:25">
      <c r="A306" s="142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</row>
    <row r="307" spans="1:25">
      <c r="A307" s="142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</row>
    <row r="308" spans="1:25">
      <c r="A308" s="142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</row>
    <row r="309" spans="1:25">
      <c r="A309" s="142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</row>
    <row r="310" spans="1:25">
      <c r="A310" s="142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</row>
    <row r="311" spans="1:25">
      <c r="A311" s="142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</row>
    <row r="312" spans="1:25">
      <c r="A312" s="142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</row>
    <row r="313" spans="1:25">
      <c r="A313" s="142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</row>
    <row r="314" spans="1:25">
      <c r="A314" s="142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</row>
    <row r="315" spans="1:25">
      <c r="A315" s="142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</row>
    <row r="316" spans="1:25">
      <c r="A316" s="142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</row>
    <row r="317" spans="1:25">
      <c r="A317" s="142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</row>
    <row r="318" spans="1:25">
      <c r="A318" s="142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</row>
    <row r="319" spans="1:25">
      <c r="A319" s="142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</row>
    <row r="320" spans="1:25">
      <c r="A320" s="142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</row>
    <row r="321" spans="1:25">
      <c r="A321" s="142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</row>
    <row r="322" spans="1:25">
      <c r="A322" s="142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</row>
    <row r="323" spans="1:25">
      <c r="A323" s="142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</row>
    <row r="324" spans="1:25">
      <c r="A324" s="142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</row>
    <row r="325" spans="1:25">
      <c r="A325" s="142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</row>
    <row r="326" spans="1:25">
      <c r="A326" s="142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</row>
    <row r="327" spans="1:25">
      <c r="A327" s="142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</row>
    <row r="328" spans="1:25">
      <c r="A328" s="142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</row>
    <row r="329" spans="1:25">
      <c r="A329" s="142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</row>
    <row r="330" spans="1:25">
      <c r="A330" s="142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</row>
    <row r="331" spans="1:25">
      <c r="A331" s="142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</row>
    <row r="332" spans="1:25">
      <c r="A332" s="142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</row>
    <row r="333" spans="1:25">
      <c r="A333" s="142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</row>
    <row r="334" spans="1:25">
      <c r="A334" s="142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</row>
    <row r="335" spans="1:25">
      <c r="A335" s="142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</row>
    <row r="336" spans="1:25">
      <c r="A336" s="142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</row>
    <row r="337" spans="1:25">
      <c r="A337" s="142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</row>
    <row r="338" spans="1:25">
      <c r="A338" s="142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</row>
    <row r="339" spans="1:25">
      <c r="A339" s="142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</row>
    <row r="340" spans="1:25">
      <c r="A340" s="142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</row>
    <row r="341" spans="1:25">
      <c r="A341" s="142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</row>
    <row r="342" spans="1:25">
      <c r="A342" s="142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</row>
    <row r="343" spans="1:25">
      <c r="A343" s="142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</row>
    <row r="344" spans="1:25">
      <c r="A344" s="142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</row>
    <row r="345" spans="1:25">
      <c r="A345" s="142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</row>
    <row r="346" spans="1:25">
      <c r="A346" s="142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</row>
    <row r="347" spans="1:25">
      <c r="A347" s="142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</row>
    <row r="348" spans="1:25">
      <c r="A348" s="142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</row>
    <row r="349" spans="1:25">
      <c r="A349" s="142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</row>
    <row r="350" spans="1:25">
      <c r="A350" s="142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</row>
    <row r="351" spans="1:25">
      <c r="A351" s="142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</row>
    <row r="352" spans="1:25">
      <c r="A352" s="142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</row>
    <row r="353" spans="1:25">
      <c r="A353" s="142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</row>
    <row r="354" spans="1:25">
      <c r="A354" s="142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</row>
    <row r="355" spans="1:25">
      <c r="A355" s="142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</row>
    <row r="356" spans="1:25">
      <c r="A356" s="142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</row>
    <row r="357" spans="1:25">
      <c r="A357" s="142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</row>
    <row r="358" spans="1:25">
      <c r="A358" s="142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</row>
    <row r="359" spans="1:25">
      <c r="A359" s="142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</row>
    <row r="360" spans="1:25">
      <c r="A360" s="142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</row>
    <row r="361" spans="1:25">
      <c r="A361" s="142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</row>
    <row r="362" spans="1:25">
      <c r="A362" s="142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</row>
    <row r="363" spans="1:25">
      <c r="A363" s="142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</row>
    <row r="364" spans="1:25">
      <c r="A364" s="142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</row>
    <row r="365" spans="1:25">
      <c r="A365" s="142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</row>
    <row r="366" spans="1:25">
      <c r="A366" s="142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</row>
    <row r="367" spans="1:25">
      <c r="A367" s="142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</row>
    <row r="368" spans="1:25">
      <c r="A368" s="142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</row>
    <row r="369" spans="1:25">
      <c r="A369" s="142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</row>
    <row r="370" spans="1:25">
      <c r="A370" s="142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</row>
    <row r="371" spans="1:25">
      <c r="A371" s="142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</row>
    <row r="372" spans="1:25">
      <c r="A372" s="142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</row>
    <row r="373" spans="1:25">
      <c r="A373" s="142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</row>
    <row r="374" spans="1:25">
      <c r="A374" s="142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</row>
    <row r="375" spans="1:25">
      <c r="A375" s="142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</row>
    <row r="376" spans="1:25">
      <c r="A376" s="142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</row>
    <row r="377" spans="1:25">
      <c r="A377" s="142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</row>
    <row r="378" spans="1:25">
      <c r="A378" s="142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</row>
    <row r="379" spans="1:25">
      <c r="A379" s="142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</row>
    <row r="380" spans="1:25">
      <c r="A380" s="142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</row>
    <row r="381" spans="1:25">
      <c r="A381" s="142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</row>
    <row r="382" spans="1:25">
      <c r="A382" s="142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</row>
    <row r="383" spans="1:25">
      <c r="A383" s="142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</row>
    <row r="384" spans="1:25">
      <c r="A384" s="142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</row>
    <row r="385" spans="1:25">
      <c r="A385" s="142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</row>
    <row r="386" spans="1:25">
      <c r="A386" s="142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</row>
    <row r="387" spans="1:25">
      <c r="A387" s="142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</row>
    <row r="388" spans="1:25">
      <c r="A388" s="142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</row>
    <row r="389" spans="1:25">
      <c r="A389" s="142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</row>
    <row r="390" spans="1:25">
      <c r="A390" s="142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</row>
    <row r="391" spans="1:25">
      <c r="A391" s="142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</row>
    <row r="392" spans="1:25">
      <c r="A392" s="142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</row>
    <row r="393" spans="1:25">
      <c r="A393" s="142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</row>
    <row r="394" spans="1:25">
      <c r="A394" s="142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</row>
    <row r="395" spans="1:25">
      <c r="A395" s="142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</row>
    <row r="396" spans="1:25">
      <c r="A396" s="142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</row>
    <row r="397" spans="1:25">
      <c r="A397" s="142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</row>
    <row r="398" spans="1:25">
      <c r="A398" s="142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</row>
    <row r="399" spans="1:25">
      <c r="A399" s="142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</row>
    <row r="400" spans="1:25">
      <c r="A400" s="142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</row>
    <row r="401" spans="1:25">
      <c r="A401" s="142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</row>
    <row r="402" spans="1:25">
      <c r="A402" s="142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</row>
    <row r="403" spans="1:25">
      <c r="A403" s="142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</row>
    <row r="404" spans="1:25">
      <c r="A404" s="142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</row>
    <row r="405" spans="1:25">
      <c r="A405" s="142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</row>
    <row r="406" spans="1:25">
      <c r="A406" s="142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</row>
    <row r="407" spans="1:25">
      <c r="A407" s="142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</row>
    <row r="408" spans="1:25">
      <c r="A408" s="142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</row>
    <row r="409" spans="1:25">
      <c r="A409" s="142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</row>
    <row r="410" spans="1:25">
      <c r="A410" s="142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</row>
    <row r="411" spans="1:25">
      <c r="A411" s="142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</row>
    <row r="412" spans="1:25">
      <c r="A412" s="142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</row>
    <row r="413" spans="1:25">
      <c r="A413" s="142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</row>
    <row r="414" spans="1:25">
      <c r="A414" s="142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</row>
    <row r="415" spans="1:25">
      <c r="A415" s="142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</row>
    <row r="416" spans="1:25">
      <c r="A416" s="142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</row>
    <row r="417" spans="1:25">
      <c r="A417" s="142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</row>
    <row r="418" spans="1:25">
      <c r="A418" s="142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</row>
    <row r="419" spans="1:25">
      <c r="A419" s="142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</row>
    <row r="420" spans="1:25">
      <c r="A420" s="142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</row>
    <row r="421" spans="1:25">
      <c r="A421" s="142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</row>
    <row r="422" spans="1:25">
      <c r="A422" s="142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</row>
    <row r="423" spans="1:25">
      <c r="A423" s="142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</row>
    <row r="424" spans="1:25">
      <c r="A424" s="142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</row>
    <row r="425" spans="1:25">
      <c r="A425" s="142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</row>
    <row r="426" spans="1:25">
      <c r="A426" s="142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</row>
    <row r="427" spans="1:25">
      <c r="A427" s="142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</row>
    <row r="428" spans="1:25">
      <c r="A428" s="142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</row>
    <row r="429" spans="1:25">
      <c r="A429" s="142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</row>
    <row r="430" spans="1:25">
      <c r="A430" s="142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5">
      <c r="A431" s="142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5">
      <c r="A432" s="142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>
      <c r="A433" s="142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</row>
    <row r="434" spans="1:25">
      <c r="A434" s="142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</row>
    <row r="435" spans="1:25">
      <c r="A435" s="142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</row>
    <row r="436" spans="1:25">
      <c r="A436" s="142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</row>
    <row r="437" spans="1:25">
      <c r="A437" s="142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</row>
    <row r="438" spans="1:25">
      <c r="A438" s="142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</row>
    <row r="439" spans="1:25">
      <c r="A439" s="142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</row>
    <row r="440" spans="1:25">
      <c r="A440" s="142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</row>
    <row r="441" spans="1:25">
      <c r="A441" s="142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</row>
    <row r="442" spans="1:25">
      <c r="A442" s="142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</row>
    <row r="443" spans="1:25">
      <c r="A443" s="142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</row>
    <row r="444" spans="1:25">
      <c r="A444" s="142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</row>
    <row r="445" spans="1:25">
      <c r="A445" s="142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</row>
    <row r="446" spans="1:25">
      <c r="A446" s="142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</row>
    <row r="447" spans="1:25">
      <c r="A447" s="142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</row>
    <row r="448" spans="1:25">
      <c r="A448" s="142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</row>
    <row r="449" spans="1:25">
      <c r="A449" s="142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</row>
    <row r="450" spans="1:25">
      <c r="A450" s="142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</row>
    <row r="451" spans="1:25">
      <c r="A451" s="142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</row>
    <row r="452" spans="1:25">
      <c r="A452" s="142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</row>
    <row r="453" spans="1:25">
      <c r="A453" s="142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</row>
    <row r="454" spans="1:25">
      <c r="A454" s="142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</row>
    <row r="455" spans="1:25">
      <c r="A455" s="142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</row>
    <row r="456" spans="1:25">
      <c r="A456" s="142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</row>
    <row r="457" spans="1:25">
      <c r="A457" s="142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</row>
    <row r="458" spans="1:25">
      <c r="A458" s="142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</row>
    <row r="459" spans="1:25">
      <c r="A459" s="142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</row>
    <row r="460" spans="1:25">
      <c r="A460" s="142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</row>
    <row r="461" spans="1:25">
      <c r="A461" s="142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</row>
    <row r="462" spans="1:25">
      <c r="A462" s="142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</row>
    <row r="463" spans="1:25">
      <c r="A463" s="142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</row>
    <row r="464" spans="1:25">
      <c r="A464" s="142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</row>
    <row r="465" spans="1:25">
      <c r="A465" s="142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</row>
    <row r="466" spans="1:25">
      <c r="A466" s="142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</row>
    <row r="467" spans="1:25">
      <c r="A467" s="142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</row>
    <row r="468" spans="1:25">
      <c r="A468" s="142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</row>
    <row r="469" spans="1:25">
      <c r="A469" s="142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</row>
    <row r="470" spans="1:25">
      <c r="A470" s="142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</row>
    <row r="471" spans="1:25">
      <c r="A471" s="142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</row>
    <row r="472" spans="1:25">
      <c r="A472" s="142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</row>
    <row r="473" spans="1:25">
      <c r="A473" s="142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</row>
    <row r="474" spans="1:25">
      <c r="A474" s="142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</row>
    <row r="475" spans="1:25">
      <c r="A475" s="142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</row>
    <row r="476" spans="1:25">
      <c r="A476" s="142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</row>
    <row r="477" spans="1:25">
      <c r="A477" s="142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</row>
    <row r="478" spans="1:25">
      <c r="A478" s="142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</row>
    <row r="479" spans="1:25">
      <c r="A479" s="142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</row>
    <row r="480" spans="1:25">
      <c r="A480" s="142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</row>
    <row r="481" spans="1:25">
      <c r="A481" s="142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</row>
    <row r="482" spans="1:25">
      <c r="A482" s="142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</row>
    <row r="483" spans="1:25">
      <c r="A483" s="142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</row>
    <row r="484" spans="1:25">
      <c r="A484" s="142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</row>
    <row r="485" spans="1:25">
      <c r="A485" s="142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</row>
    <row r="486" spans="1:25">
      <c r="A486" s="142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</row>
    <row r="487" spans="1:25">
      <c r="A487" s="142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</row>
    <row r="488" spans="1:25">
      <c r="A488" s="142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</row>
    <row r="489" spans="1:25">
      <c r="A489" s="142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</row>
    <row r="490" spans="1:25">
      <c r="A490" s="142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</row>
    <row r="491" spans="1:25">
      <c r="A491" s="142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</row>
    <row r="492" spans="1:25">
      <c r="A492" s="142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</row>
    <row r="493" spans="1:25">
      <c r="A493" s="142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</row>
    <row r="494" spans="1:25">
      <c r="A494" s="142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</row>
    <row r="495" spans="1:25">
      <c r="A495" s="142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</row>
    <row r="496" spans="1:25">
      <c r="A496" s="142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</row>
    <row r="497" spans="1:25">
      <c r="A497" s="142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</row>
    <row r="498" spans="1:25">
      <c r="A498" s="142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</row>
    <row r="499" spans="1:25">
      <c r="A499" s="142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</row>
    <row r="500" spans="1:25">
      <c r="A500" s="142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</row>
    <row r="501" spans="1:25">
      <c r="A501" s="142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</row>
    <row r="502" spans="1:25">
      <c r="A502" s="142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</row>
    <row r="503" spans="1:25">
      <c r="A503" s="142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</row>
    <row r="504" spans="1:25">
      <c r="A504" s="142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</row>
    <row r="505" spans="1:25">
      <c r="A505" s="142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</row>
    <row r="506" spans="1:25">
      <c r="A506" s="142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</row>
    <row r="507" spans="1:25">
      <c r="A507" s="142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</row>
    <row r="508" spans="1:25">
      <c r="A508" s="142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</row>
    <row r="509" spans="1:25">
      <c r="A509" s="142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</row>
    <row r="510" spans="1:25">
      <c r="A510" s="142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</row>
    <row r="511" spans="1:25">
      <c r="A511" s="142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</row>
    <row r="512" spans="1:25">
      <c r="A512" s="142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</row>
    <row r="513" spans="1:25">
      <c r="A513" s="142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</row>
    <row r="514" spans="1:25">
      <c r="A514" s="142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</row>
    <row r="515" spans="1:25">
      <c r="A515" s="142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</row>
    <row r="516" spans="1:25">
      <c r="A516" s="142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</row>
    <row r="517" spans="1:25">
      <c r="A517" s="142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</row>
    <row r="518" spans="1:25">
      <c r="A518" s="142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</row>
    <row r="519" spans="1:25">
      <c r="A519" s="142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</row>
    <row r="520" spans="1:25">
      <c r="A520" s="142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</row>
    <row r="521" spans="1:25">
      <c r="A521" s="142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</row>
    <row r="522" spans="1:25">
      <c r="A522" s="142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</row>
    <row r="523" spans="1:25">
      <c r="A523" s="142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</row>
    <row r="524" spans="1:25">
      <c r="A524" s="142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</row>
    <row r="525" spans="1:25">
      <c r="A525" s="142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</row>
    <row r="526" spans="1:25">
      <c r="A526" s="142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</row>
    <row r="527" spans="1:25">
      <c r="A527" s="142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</row>
    <row r="528" spans="1:25">
      <c r="A528" s="142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1:25">
      <c r="A529" s="142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</row>
    <row r="530" spans="1:25">
      <c r="A530" s="142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</row>
    <row r="531" spans="1:25">
      <c r="A531" s="142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</row>
    <row r="532" spans="1:25">
      <c r="A532" s="142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</row>
    <row r="533" spans="1:25">
      <c r="A533" s="142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</row>
    <row r="534" spans="1:25">
      <c r="A534" s="142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</row>
    <row r="535" spans="1:25">
      <c r="A535" s="142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</row>
    <row r="536" spans="1:25">
      <c r="A536" s="142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</row>
    <row r="537" spans="1:25">
      <c r="A537" s="142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</row>
    <row r="538" spans="1:25">
      <c r="A538" s="142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</row>
    <row r="539" spans="1:25">
      <c r="A539" s="142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</row>
    <row r="540" spans="1:25">
      <c r="A540" s="142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</row>
    <row r="541" spans="1:25">
      <c r="A541" s="142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1:25">
      <c r="A542" s="142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</row>
    <row r="543" spans="1:25">
      <c r="A543" s="142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</row>
    <row r="544" spans="1:25">
      <c r="A544" s="142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</row>
    <row r="545" spans="1:25">
      <c r="A545" s="142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</row>
    <row r="546" spans="1:25">
      <c r="A546" s="142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</row>
    <row r="547" spans="1:25">
      <c r="A547" s="142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</row>
    <row r="548" spans="1:25">
      <c r="A548" s="142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</row>
    <row r="549" spans="1:25">
      <c r="A549" s="142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</row>
    <row r="550" spans="1:25">
      <c r="A550" s="142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</row>
    <row r="551" spans="1:25">
      <c r="A551" s="142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</row>
    <row r="552" spans="1:25">
      <c r="A552" s="142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</row>
    <row r="553" spans="1:25">
      <c r="A553" s="142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</row>
    <row r="554" spans="1:25">
      <c r="A554" s="142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</row>
    <row r="555" spans="1:25">
      <c r="A555" s="142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</row>
    <row r="556" spans="1:25">
      <c r="A556" s="142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</row>
    <row r="557" spans="1:25">
      <c r="A557" s="142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</row>
    <row r="558" spans="1:25">
      <c r="A558" s="142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</row>
    <row r="559" spans="1:25">
      <c r="A559" s="142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</row>
    <row r="560" spans="1:25">
      <c r="A560" s="142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</row>
    <row r="561" spans="1:25">
      <c r="A561" s="142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</row>
    <row r="562" spans="1:25">
      <c r="A562" s="142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</row>
    <row r="563" spans="1:25">
      <c r="A563" s="142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</row>
    <row r="564" spans="1:25">
      <c r="A564" s="142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</row>
    <row r="565" spans="1:25">
      <c r="A565" s="142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</row>
    <row r="566" spans="1:25">
      <c r="A566" s="142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</row>
    <row r="567" spans="1:25">
      <c r="A567" s="142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</row>
    <row r="568" spans="1:25">
      <c r="A568" s="142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</row>
    <row r="569" spans="1:25">
      <c r="A569" s="142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</row>
    <row r="570" spans="1:25">
      <c r="A570" s="142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</row>
    <row r="571" spans="1:25">
      <c r="A571" s="142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</row>
    <row r="572" spans="1:25">
      <c r="A572" s="142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</row>
    <row r="573" spans="1:25">
      <c r="A573" s="142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</row>
    <row r="574" spans="1:25">
      <c r="A574" s="142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</row>
    <row r="575" spans="1:25">
      <c r="A575" s="142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</row>
    <row r="576" spans="1:25">
      <c r="A576" s="142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</row>
    <row r="577" spans="1:25">
      <c r="A577" s="142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</row>
    <row r="578" spans="1:25">
      <c r="A578" s="142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</row>
    <row r="579" spans="1:25">
      <c r="A579" s="142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</row>
    <row r="580" spans="1:25">
      <c r="A580" s="142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</row>
    <row r="581" spans="1:25">
      <c r="A581" s="142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</row>
    <row r="582" spans="1:25">
      <c r="A582" s="142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</row>
    <row r="583" spans="1:25">
      <c r="A583" s="142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</row>
    <row r="584" spans="1:25">
      <c r="A584" s="142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</row>
    <row r="585" spans="1:25">
      <c r="A585" s="142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</row>
    <row r="586" spans="1:25">
      <c r="A586" s="142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</row>
    <row r="587" spans="1:25">
      <c r="A587" s="142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</row>
    <row r="588" spans="1:25">
      <c r="A588" s="142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</row>
    <row r="589" spans="1:25">
      <c r="A589" s="142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</row>
    <row r="590" spans="1:25">
      <c r="A590" s="142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</row>
    <row r="591" spans="1:25">
      <c r="A591" s="142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</row>
    <row r="592" spans="1:25">
      <c r="A592" s="142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</row>
    <row r="593" spans="1:25">
      <c r="A593" s="142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</row>
    <row r="594" spans="1:25">
      <c r="A594" s="142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</row>
    <row r="595" spans="1:25">
      <c r="A595" s="142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</row>
    <row r="596" spans="1:25">
      <c r="A596" s="142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</row>
    <row r="597" spans="1:25">
      <c r="A597" s="142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</row>
    <row r="598" spans="1:25">
      <c r="A598" s="142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</row>
    <row r="599" spans="1:25">
      <c r="A599" s="142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</row>
    <row r="600" spans="1:25">
      <c r="A600" s="142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</row>
    <row r="601" spans="1:25">
      <c r="A601" s="142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</row>
    <row r="602" spans="1:25">
      <c r="A602" s="142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</row>
    <row r="603" spans="1:25">
      <c r="A603" s="142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</row>
    <row r="604" spans="1:25">
      <c r="A604" s="142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</row>
    <row r="605" spans="1:25">
      <c r="A605" s="142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</row>
    <row r="606" spans="1:25">
      <c r="A606" s="142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</row>
    <row r="607" spans="1:25">
      <c r="A607" s="142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</row>
    <row r="608" spans="1:25">
      <c r="A608" s="142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</row>
    <row r="609" spans="1:25">
      <c r="A609" s="142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</row>
    <row r="610" spans="1:25">
      <c r="A610" s="142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</row>
    <row r="611" spans="1:25">
      <c r="A611" s="142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</row>
    <row r="612" spans="1:25">
      <c r="A612" s="142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</row>
    <row r="613" spans="1:25">
      <c r="A613" s="142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</row>
    <row r="614" spans="1:25">
      <c r="A614" s="142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</row>
    <row r="615" spans="1:25">
      <c r="A615" s="142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</row>
    <row r="616" spans="1:25">
      <c r="A616" s="142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</row>
    <row r="617" spans="1:25">
      <c r="A617" s="142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</row>
    <row r="618" spans="1:25">
      <c r="A618" s="142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</row>
    <row r="619" spans="1:25">
      <c r="A619" s="142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</row>
    <row r="620" spans="1:25">
      <c r="A620" s="142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</row>
    <row r="621" spans="1:25">
      <c r="A621" s="142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</row>
    <row r="622" spans="1:25">
      <c r="A622" s="142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</row>
    <row r="623" spans="1:25">
      <c r="A623" s="142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</row>
    <row r="624" spans="1:25">
      <c r="A624" s="142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</row>
    <row r="625" spans="1:25">
      <c r="A625" s="142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</row>
    <row r="626" spans="1:25">
      <c r="A626" s="142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</row>
    <row r="627" spans="1:25">
      <c r="A627" s="142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</row>
    <row r="628" spans="1:25">
      <c r="A628" s="142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</row>
    <row r="629" spans="1:25">
      <c r="A629" s="142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</row>
    <row r="630" spans="1:25">
      <c r="A630" s="142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</row>
    <row r="631" spans="1:25">
      <c r="A631" s="142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1:25">
      <c r="A632" s="142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1:25">
      <c r="A633" s="142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1:25">
      <c r="A634" s="142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1:25">
      <c r="A635" s="142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1:25">
      <c r="A636" s="142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1:25">
      <c r="A637" s="142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1:25">
      <c r="A638" s="142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1:25">
      <c r="A639" s="142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1:25">
      <c r="A640" s="142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1:25">
      <c r="A641" s="142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1:25">
      <c r="A642" s="142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1:25">
      <c r="A643" s="142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1:25">
      <c r="A644" s="142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1:25">
      <c r="A645" s="142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1:25">
      <c r="A646" s="142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1:25">
      <c r="A647" s="142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1:25">
      <c r="A648" s="142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1:25">
      <c r="A649" s="142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1:25">
      <c r="A650" s="142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1:25">
      <c r="A651" s="142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1:25">
      <c r="A652" s="142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1:25">
      <c r="A653" s="142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1:25">
      <c r="A654" s="142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1:25">
      <c r="A655" s="142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1:25">
      <c r="A656" s="142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1:25">
      <c r="A657" s="142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1:25">
      <c r="A658" s="142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1:25">
      <c r="A659" s="142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1:25">
      <c r="A660" s="142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1:25">
      <c r="A661" s="142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1:25">
      <c r="A662" s="142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1:25">
      <c r="A663" s="142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1:25">
      <c r="A664" s="142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1:25">
      <c r="A665" s="142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1:25">
      <c r="A666" s="142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1:25">
      <c r="A667" s="142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1:25">
      <c r="A668" s="142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1:25">
      <c r="A669" s="142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1:25">
      <c r="A670" s="142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1:25">
      <c r="A671" s="142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1:25">
      <c r="A672" s="142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1:25">
      <c r="A673" s="142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1:25">
      <c r="A674" s="142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1:25">
      <c r="A675" s="142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1:25">
      <c r="A676" s="142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1:25">
      <c r="A677" s="142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1:25">
      <c r="A678" s="142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1:25">
      <c r="A679" s="142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1:25">
      <c r="A680" s="142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1:25">
      <c r="A681" s="142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1:25">
      <c r="A682" s="142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1:25">
      <c r="A683" s="142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1:25">
      <c r="A684" s="142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1:25">
      <c r="A685" s="142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1:25">
      <c r="A686" s="142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1:25">
      <c r="A687" s="142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1:25">
      <c r="A688" s="142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1:25">
      <c r="A689" s="142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1:25">
      <c r="A690" s="142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1:25">
      <c r="A691" s="142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1:25">
      <c r="A692" s="142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1:25">
      <c r="A693" s="142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1:25">
      <c r="A694" s="142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1:25">
      <c r="A695" s="142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1:25">
      <c r="A696" s="142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1:25">
      <c r="A697" s="142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1:25">
      <c r="A698" s="142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1:25">
      <c r="A699" s="142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1:25">
      <c r="A700" s="142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1:25">
      <c r="A701" s="142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1:25">
      <c r="A702" s="142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1:25">
      <c r="A703" s="142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1:25">
      <c r="A704" s="142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1:25">
      <c r="A705" s="142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1:25">
      <c r="A706" s="142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1:25">
      <c r="A707" s="142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1:25">
      <c r="A708" s="142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1:25">
      <c r="A709" s="142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1:25">
      <c r="A710" s="142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1:25">
      <c r="A711" s="142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1:25">
      <c r="A712" s="142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1:25">
      <c r="A713" s="142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1:25">
      <c r="A714" s="142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1:25">
      <c r="A715" s="142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1:25">
      <c r="A716" s="142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1:25">
      <c r="A717" s="142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1:25">
      <c r="A718" s="142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1:25">
      <c r="A719" s="142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1:25">
      <c r="A720" s="142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1:25">
      <c r="A721" s="142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1:25">
      <c r="A722" s="142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1:25">
      <c r="A723" s="142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1:25">
      <c r="A724" s="142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1:25">
      <c r="A725" s="142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1:25">
      <c r="A726" s="142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1:25">
      <c r="A727" s="142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1:25">
      <c r="A728" s="142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1:25">
      <c r="A729" s="142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1:25">
      <c r="A730" s="142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1:25">
      <c r="A731" s="142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1:25">
      <c r="A732" s="142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1:25">
      <c r="A733" s="142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1:25">
      <c r="A734" s="142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1:25">
      <c r="A735" s="142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1:25">
      <c r="A736" s="142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1:25">
      <c r="A737" s="142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1:25">
      <c r="A738" s="142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1:25">
      <c r="A739" s="142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1:25">
      <c r="A740" s="142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1:25">
      <c r="A741" s="142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1:25">
      <c r="A742" s="142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1:25">
      <c r="A743" s="142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1:25">
      <c r="A744" s="142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1:25">
      <c r="A745" s="142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1:25">
      <c r="A746" s="142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1:25">
      <c r="A747" s="142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  <row r="748" spans="1:25">
      <c r="A748" s="142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</row>
    <row r="749" spans="1:25">
      <c r="A749" s="142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</row>
    <row r="750" spans="1:25">
      <c r="A750" s="142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</row>
    <row r="751" spans="1:25">
      <c r="A751" s="142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</row>
    <row r="752" spans="1:25">
      <c r="A752" s="142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</row>
    <row r="753" spans="1:25">
      <c r="A753" s="142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</row>
    <row r="754" spans="1:25">
      <c r="A754" s="142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</row>
    <row r="755" spans="1:25">
      <c r="A755" s="142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</row>
    <row r="756" spans="1:25">
      <c r="A756" s="142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</row>
    <row r="757" spans="1:25">
      <c r="A757" s="142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</row>
    <row r="758" spans="1:25">
      <c r="A758" s="142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</row>
    <row r="759" spans="1:25">
      <c r="A759" s="142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</row>
    <row r="760" spans="1:25">
      <c r="A760" s="142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</row>
    <row r="761" spans="1:25">
      <c r="A761" s="142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</row>
    <row r="762" spans="1:25">
      <c r="A762" s="142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</row>
    <row r="763" spans="1:25">
      <c r="A763" s="142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</row>
    <row r="764" spans="1:25">
      <c r="A764" s="142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</row>
    <row r="765" spans="1:25">
      <c r="A765" s="142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</row>
    <row r="766" spans="1:25">
      <c r="A766" s="142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</row>
    <row r="767" spans="1:25">
      <c r="A767" s="142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</row>
    <row r="768" spans="1:25">
      <c r="A768" s="142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</row>
    <row r="769" spans="1:25">
      <c r="A769" s="142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</row>
    <row r="770" spans="1:25">
      <c r="A770" s="142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</row>
    <row r="771" spans="1:25">
      <c r="A771" s="142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</row>
    <row r="772" spans="1:25">
      <c r="A772" s="142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</row>
    <row r="773" spans="1:25">
      <c r="A773" s="142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</row>
    <row r="774" spans="1:25">
      <c r="A774" s="142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</row>
    <row r="775" spans="1:25">
      <c r="A775" s="142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</row>
    <row r="776" spans="1:25">
      <c r="A776" s="142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</row>
    <row r="777" spans="1:25">
      <c r="A777" s="142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</row>
    <row r="778" spans="1:25">
      <c r="A778" s="142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</row>
    <row r="779" spans="1:25">
      <c r="A779" s="142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</row>
    <row r="780" spans="1:25">
      <c r="A780" s="142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</row>
    <row r="781" spans="1:25">
      <c r="A781" s="142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</row>
    <row r="782" spans="1:25">
      <c r="A782" s="142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</row>
    <row r="783" spans="1:25">
      <c r="A783" s="142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</row>
    <row r="784" spans="1:25">
      <c r="A784" s="142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</row>
    <row r="785" spans="1:25">
      <c r="A785" s="142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</row>
    <row r="786" spans="1:25">
      <c r="A786" s="142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</row>
    <row r="787" spans="1:25">
      <c r="A787" s="142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</row>
    <row r="788" spans="1:25">
      <c r="A788" s="142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</row>
    <row r="789" spans="1:25">
      <c r="A789" s="142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</row>
    <row r="790" spans="1:25">
      <c r="A790" s="142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</row>
    <row r="791" spans="1:25">
      <c r="A791" s="142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</row>
    <row r="792" spans="1:25">
      <c r="A792" s="142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</row>
    <row r="793" spans="1:25">
      <c r="A793" s="142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</row>
    <row r="794" spans="1:25">
      <c r="A794" s="142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</row>
    <row r="795" spans="1:25">
      <c r="A795" s="142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</row>
    <row r="796" spans="1:25">
      <c r="A796" s="142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</row>
    <row r="797" spans="1:25">
      <c r="A797" s="142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</row>
    <row r="798" spans="1:25">
      <c r="A798" s="142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</row>
    <row r="799" spans="1:25">
      <c r="A799" s="142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</row>
    <row r="800" spans="1:25">
      <c r="A800" s="142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</row>
    <row r="801" spans="1:25">
      <c r="A801" s="142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</row>
    <row r="802" spans="1:25">
      <c r="A802" s="142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</row>
    <row r="803" spans="1:25">
      <c r="A803" s="142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</row>
    <row r="804" spans="1:25">
      <c r="A804" s="142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</row>
    <row r="805" spans="1:25">
      <c r="A805" s="142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</row>
    <row r="806" spans="1:25">
      <c r="A806" s="142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</row>
    <row r="807" spans="1:25">
      <c r="A807" s="142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</row>
    <row r="808" spans="1:25">
      <c r="A808" s="142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</row>
    <row r="809" spans="1:25">
      <c r="A809" s="142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</row>
    <row r="810" spans="1:25">
      <c r="A810" s="142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</row>
    <row r="811" spans="1:25">
      <c r="A811" s="142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</row>
    <row r="812" spans="1:25">
      <c r="A812" s="142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</row>
    <row r="813" spans="1:25">
      <c r="A813" s="142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</row>
    <row r="814" spans="1:25">
      <c r="A814" s="142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</row>
    <row r="815" spans="1:25">
      <c r="A815" s="142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</row>
    <row r="816" spans="1:25">
      <c r="A816" s="142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</row>
    <row r="817" spans="1:25">
      <c r="A817" s="142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</row>
    <row r="818" spans="1:25">
      <c r="A818" s="142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</row>
    <row r="819" spans="1:25">
      <c r="A819" s="142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</row>
    <row r="820" spans="1:25">
      <c r="A820" s="142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</row>
    <row r="821" spans="1:25">
      <c r="A821" s="142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</row>
    <row r="822" spans="1:25">
      <c r="A822" s="142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</row>
    <row r="823" spans="1:25">
      <c r="A823" s="142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</row>
    <row r="824" spans="1:25">
      <c r="A824" s="142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</row>
    <row r="825" spans="1:25">
      <c r="A825" s="142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</row>
    <row r="826" spans="1:25">
      <c r="A826" s="142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</row>
    <row r="827" spans="1:25">
      <c r="A827" s="142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</row>
    <row r="828" spans="1:25">
      <c r="A828" s="142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</row>
    <row r="829" spans="1:25">
      <c r="A829" s="142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</row>
    <row r="830" spans="1:25">
      <c r="A830" s="142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</row>
    <row r="831" spans="1:25">
      <c r="A831" s="142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</row>
    <row r="832" spans="1:25">
      <c r="A832" s="142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</row>
    <row r="833" spans="1:25">
      <c r="A833" s="142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</row>
    <row r="834" spans="1:25">
      <c r="A834" s="142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</row>
    <row r="835" spans="1:25">
      <c r="A835" s="142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</row>
    <row r="836" spans="1:25">
      <c r="A836" s="142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</row>
    <row r="837" spans="1:25">
      <c r="A837" s="142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</row>
    <row r="838" spans="1:25">
      <c r="A838" s="142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</row>
    <row r="839" spans="1:25">
      <c r="A839" s="142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</row>
    <row r="840" spans="1:25">
      <c r="A840" s="142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</row>
    <row r="841" spans="1:25">
      <c r="A841" s="142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</row>
    <row r="842" spans="1:25">
      <c r="A842" s="142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</row>
    <row r="843" spans="1:25">
      <c r="A843" s="142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</row>
    <row r="844" spans="1:25">
      <c r="A844" s="142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</row>
    <row r="845" spans="1:25">
      <c r="A845" s="142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</row>
    <row r="846" spans="1:25">
      <c r="A846" s="142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</row>
    <row r="847" spans="1:25">
      <c r="A847" s="142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</row>
    <row r="848" spans="1:25">
      <c r="A848" s="142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</row>
    <row r="849" spans="1:25">
      <c r="A849" s="142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</row>
    <row r="850" spans="1:25">
      <c r="A850" s="142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</row>
    <row r="851" spans="1:25">
      <c r="A851" s="142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</row>
    <row r="852" spans="1:25">
      <c r="A852" s="142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</row>
    <row r="853" spans="1:25">
      <c r="A853" s="142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</row>
    <row r="854" spans="1:25">
      <c r="A854" s="142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</row>
    <row r="855" spans="1:25">
      <c r="A855" s="142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</row>
    <row r="856" spans="1:25">
      <c r="A856" s="142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</row>
    <row r="857" spans="1:25">
      <c r="A857" s="142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</row>
    <row r="858" spans="1:25">
      <c r="A858" s="142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</row>
    <row r="859" spans="1:25">
      <c r="A859" s="142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</row>
    <row r="860" spans="1:25">
      <c r="A860" s="142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</row>
    <row r="861" spans="1:25">
      <c r="A861" s="142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</row>
    <row r="862" spans="1:25">
      <c r="A862" s="142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</row>
    <row r="863" spans="1:25">
      <c r="A863" s="142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</row>
    <row r="864" spans="1:25">
      <c r="A864" s="142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</row>
    <row r="865" spans="1:25">
      <c r="A865" s="142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</row>
    <row r="866" spans="1:25">
      <c r="A866" s="142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</row>
    <row r="867" spans="1:25">
      <c r="A867" s="142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</row>
    <row r="868" spans="1:25">
      <c r="A868" s="142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</row>
    <row r="869" spans="1:25">
      <c r="A869" s="142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</row>
    <row r="870" spans="1:25">
      <c r="A870" s="142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</row>
    <row r="871" spans="1:25">
      <c r="A871" s="142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</row>
    <row r="872" spans="1:25">
      <c r="A872" s="142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</row>
    <row r="873" spans="1:25">
      <c r="A873" s="142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</row>
    <row r="874" spans="1:25">
      <c r="A874" s="142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</row>
    <row r="875" spans="1:25">
      <c r="A875" s="142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</row>
    <row r="876" spans="1:25">
      <c r="A876" s="142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</row>
    <row r="877" spans="1:25">
      <c r="A877" s="142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</row>
    <row r="878" spans="1:25">
      <c r="A878" s="142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</row>
    <row r="879" spans="1:25">
      <c r="A879" s="142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</row>
    <row r="880" spans="1:25">
      <c r="A880" s="142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</row>
    <row r="881" spans="1:25">
      <c r="A881" s="142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</row>
    <row r="882" spans="1:25">
      <c r="A882" s="142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</row>
    <row r="883" spans="1:25">
      <c r="A883" s="142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</row>
    <row r="884" spans="1:25">
      <c r="A884" s="142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</row>
    <row r="885" spans="1:25">
      <c r="A885" s="142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</row>
    <row r="886" spans="1:25">
      <c r="A886" s="142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</row>
    <row r="887" spans="1:25">
      <c r="A887" s="142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</row>
    <row r="888" spans="1:25">
      <c r="A888" s="142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</row>
    <row r="889" spans="1:25">
      <c r="A889" s="142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</row>
    <row r="890" spans="1:25">
      <c r="A890" s="142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</row>
    <row r="891" spans="1:25">
      <c r="A891" s="142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</row>
    <row r="892" spans="1:25">
      <c r="A892" s="142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</row>
    <row r="893" spans="1:25">
      <c r="A893" s="142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</row>
    <row r="894" spans="1:25">
      <c r="A894" s="142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</row>
    <row r="895" spans="1:25">
      <c r="A895" s="142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</row>
    <row r="896" spans="1:25">
      <c r="A896" s="142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</row>
    <row r="897" spans="1:25">
      <c r="A897" s="142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</row>
    <row r="898" spans="1:25">
      <c r="A898" s="142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</row>
    <row r="899" spans="1:25">
      <c r="A899" s="142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</row>
    <row r="900" spans="1:25">
      <c r="A900" s="142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</row>
    <row r="901" spans="1:25">
      <c r="A901" s="142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</row>
    <row r="902" spans="1:25">
      <c r="A902" s="142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</row>
    <row r="903" spans="1:25">
      <c r="A903" s="142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</row>
    <row r="904" spans="1:25">
      <c r="A904" s="142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</row>
    <row r="905" spans="1:25">
      <c r="A905" s="142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</row>
    <row r="906" spans="1:25">
      <c r="A906" s="142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</row>
    <row r="907" spans="1:25">
      <c r="A907" s="142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</row>
    <row r="908" spans="1:25">
      <c r="A908" s="142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</row>
    <row r="909" spans="1:25">
      <c r="A909" s="142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</row>
    <row r="910" spans="1:25">
      <c r="A910" s="142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</row>
    <row r="911" spans="1:25">
      <c r="A911" s="142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</row>
    <row r="912" spans="1:25">
      <c r="A912" s="142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</row>
    <row r="913" spans="1:25">
      <c r="A913" s="142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</row>
    <row r="914" spans="1:25">
      <c r="A914" s="142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</row>
    <row r="915" spans="1:25">
      <c r="A915" s="142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</row>
    <row r="916" spans="1:25">
      <c r="A916" s="142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</row>
    <row r="917" spans="1:25">
      <c r="A917" s="142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</row>
    <row r="918" spans="1:25">
      <c r="A918" s="142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</row>
    <row r="919" spans="1:25">
      <c r="A919" s="142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</row>
    <row r="920" spans="1:25">
      <c r="A920" s="142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</row>
    <row r="921" spans="1:25">
      <c r="A921" s="142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</row>
    <row r="922" spans="1:25">
      <c r="A922" s="142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</row>
    <row r="923" spans="1:25">
      <c r="A923" s="142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</row>
    <row r="924" spans="1:25">
      <c r="A924" s="142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</row>
    <row r="925" spans="1:25">
      <c r="A925" s="142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</row>
    <row r="926" spans="1:25">
      <c r="A926" s="142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</row>
    <row r="927" spans="1:25">
      <c r="A927" s="142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</row>
    <row r="928" spans="1:25">
      <c r="A928" s="142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</row>
    <row r="929" spans="1:25">
      <c r="A929" s="142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</row>
    <row r="930" spans="1:25">
      <c r="A930" s="142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</row>
    <row r="931" spans="1:25">
      <c r="A931" s="142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</row>
    <row r="932" spans="1:25">
      <c r="A932" s="142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</row>
    <row r="933" spans="1:25">
      <c r="A933" s="142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</row>
    <row r="934" spans="1:25">
      <c r="A934" s="142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</row>
    <row r="935" spans="1:25">
      <c r="A935" s="142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</row>
    <row r="936" spans="1:25">
      <c r="A936" s="142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</row>
    <row r="937" spans="1:25">
      <c r="A937" s="142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</row>
    <row r="938" spans="1:25">
      <c r="A938" s="142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</row>
    <row r="939" spans="1:25">
      <c r="A939" s="142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</row>
    <row r="940" spans="1:25">
      <c r="A940" s="142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</row>
    <row r="941" spans="1:25">
      <c r="A941" s="142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</row>
    <row r="942" spans="1:25">
      <c r="A942" s="142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</row>
    <row r="943" spans="1:25">
      <c r="A943" s="142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</row>
    <row r="944" spans="1:25">
      <c r="A944" s="142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</row>
    <row r="945" spans="1:25">
      <c r="A945" s="142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</row>
    <row r="946" spans="1:25">
      <c r="A946" s="142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</row>
    <row r="947" spans="1:25">
      <c r="A947" s="142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</row>
    <row r="948" spans="1:25">
      <c r="A948" s="142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</row>
    <row r="949" spans="1:25">
      <c r="A949" s="142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</row>
    <row r="950" spans="1:25">
      <c r="A950" s="142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</row>
    <row r="951" spans="1:25">
      <c r="A951" s="142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</row>
    <row r="952" spans="1:25">
      <c r="A952" s="142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</row>
    <row r="953" spans="1:25">
      <c r="A953" s="142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</row>
    <row r="954" spans="1:25">
      <c r="A954" s="142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</row>
    <row r="955" spans="1:25">
      <c r="A955" s="142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</row>
    <row r="956" spans="1:25">
      <c r="A956" s="142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</row>
    <row r="957" spans="1:25">
      <c r="A957" s="142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</row>
    <row r="958" spans="1:25">
      <c r="A958" s="142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</row>
    <row r="959" spans="1:25">
      <c r="A959" s="142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</row>
    <row r="960" spans="1:25">
      <c r="A960" s="142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</row>
    <row r="961" spans="1:25">
      <c r="A961" s="142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</row>
    <row r="962" spans="1:25">
      <c r="A962" s="142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</row>
    <row r="963" spans="1:25">
      <c r="A963" s="142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</row>
    <row r="964" spans="1:25">
      <c r="A964" s="142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</row>
    <row r="965" spans="1:25">
      <c r="A965" s="142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</row>
    <row r="966" spans="1:25">
      <c r="A966" s="142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</row>
    <row r="967" spans="1:25">
      <c r="A967" s="142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</row>
    <row r="968" spans="1:25">
      <c r="A968" s="142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</row>
    <row r="969" spans="1:25">
      <c r="A969" s="142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</row>
    <row r="970" spans="1:25">
      <c r="A970" s="142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</row>
    <row r="971" spans="1:25">
      <c r="A971" s="142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</row>
    <row r="972" spans="1:25">
      <c r="A972" s="142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</row>
    <row r="973" spans="1:25">
      <c r="A973" s="142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</row>
    <row r="974" spans="1:25">
      <c r="A974" s="142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</row>
    <row r="975" spans="1:25">
      <c r="A975" s="142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</row>
    <row r="976" spans="1:25">
      <c r="A976" s="142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</row>
    <row r="977" spans="1:25">
      <c r="A977" s="142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</row>
    <row r="978" spans="1:25">
      <c r="A978" s="142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</row>
    <row r="979" spans="1:25">
      <c r="A979" s="142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</row>
    <row r="980" spans="1:25">
      <c r="A980" s="142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</row>
    <row r="981" spans="1:25">
      <c r="A981" s="142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</row>
    <row r="982" spans="1:25">
      <c r="A982" s="142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</row>
    <row r="983" spans="1:25">
      <c r="A983" s="142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</row>
    <row r="984" spans="1:25">
      <c r="A984" s="142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</row>
    <row r="985" spans="1:25">
      <c r="A985" s="142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</row>
    <row r="986" spans="1:25">
      <c r="A986" s="142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</row>
    <row r="987" spans="1:25">
      <c r="A987" s="142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</row>
    <row r="988" spans="1:25">
      <c r="A988" s="142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</row>
    <row r="989" spans="1:25">
      <c r="A989" s="142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</row>
    <row r="990" spans="1:25">
      <c r="A990" s="142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</row>
    <row r="991" spans="1:25">
      <c r="A991" s="142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</row>
    <row r="992" spans="1:25">
      <c r="A992" s="142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</row>
    <row r="993" spans="1:25">
      <c r="A993" s="142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</row>
    <row r="994" spans="1:25">
      <c r="A994" s="142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</row>
    <row r="995" spans="1:25">
      <c r="A995" s="142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</row>
    <row r="996" spans="1:25">
      <c r="A996" s="142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</row>
    <row r="997" spans="1:25">
      <c r="A997" s="142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</row>
    <row r="998" spans="1:25">
      <c r="A998" s="142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</row>
    <row r="999" spans="1:25">
      <c r="A999" s="142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</row>
    <row r="1000" spans="1:25">
      <c r="A1000" s="142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</row>
    <row r="1001" spans="1:25">
      <c r="A1001" s="142"/>
      <c r="B1001" s="134"/>
      <c r="C1001" s="134"/>
      <c r="D1001" s="134"/>
      <c r="E1001" s="134"/>
      <c r="F1001" s="134"/>
      <c r="G1001" s="134"/>
      <c r="H1001" s="134"/>
    </row>
    <row r="1002" spans="1:25">
      <c r="A1002" s="142"/>
      <c r="B1002" s="134"/>
      <c r="C1002" s="134"/>
      <c r="D1002" s="134"/>
      <c r="E1002" s="134"/>
      <c r="F1002" s="134"/>
      <c r="G1002" s="134"/>
      <c r="H1002" s="134"/>
    </row>
  </sheetData>
  <sheetProtection password="CA9F" sheet="1"/>
  <mergeCells count="12">
    <mergeCell ref="E9:H9"/>
    <mergeCell ref="D9:D10"/>
    <mergeCell ref="A9:A10"/>
    <mergeCell ref="B9:C10"/>
    <mergeCell ref="A12:A29"/>
    <mergeCell ref="D1:H3"/>
    <mergeCell ref="A7:C7"/>
    <mergeCell ref="K7:L7"/>
    <mergeCell ref="J1:L1"/>
    <mergeCell ref="J2:L2"/>
    <mergeCell ref="A5:L5"/>
    <mergeCell ref="I9:L9"/>
  </mergeCells>
  <dataValidations count="1">
    <dataValidation type="decimal" allowBlank="1" showInputMessage="1" showErrorMessage="1" sqref="E12:H31 L12:L30 I31:L31">
      <formula1>0</formula1>
      <formula2>1E+35</formula2>
    </dataValidation>
  </dataValidations>
  <pageMargins left="0.7" right="0.7" top="0.75" bottom="0.75" header="0.3" footer="0.3"/>
  <pageSetup scale="71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Z989"/>
  <sheetViews>
    <sheetView topLeftCell="A8" zoomScale="70" zoomScaleNormal="70" workbookViewId="0">
      <pane xSplit="3" ySplit="5" topLeftCell="L13" activePane="bottomRight" state="frozen"/>
      <selection activeCell="A8" sqref="A8"/>
      <selection pane="topRight" activeCell="D8" sqref="D8"/>
      <selection pane="bottomLeft" activeCell="A13" sqref="A13"/>
      <selection pane="bottomRight" activeCell="P30" sqref="P30"/>
    </sheetView>
  </sheetViews>
  <sheetFormatPr defaultColWidth="15.1796875" defaultRowHeight="15.5"/>
  <cols>
    <col min="1" max="1" width="4.1796875" style="360" customWidth="1"/>
    <col min="2" max="2" width="22.26953125" style="517" customWidth="1"/>
    <col min="3" max="3" width="3.54296875" style="361" customWidth="1"/>
    <col min="4" max="4" width="24.81640625" style="361" customWidth="1"/>
    <col min="5" max="5" width="21.453125" style="360" customWidth="1"/>
    <col min="6" max="6" width="18.1796875" style="360" customWidth="1"/>
    <col min="7" max="7" width="23.453125" style="360" customWidth="1"/>
    <col min="8" max="8" width="18.1796875" style="360" customWidth="1"/>
    <col min="9" max="10" width="19.26953125" style="360" customWidth="1"/>
    <col min="11" max="12" width="18.1796875" style="360" customWidth="1"/>
    <col min="13" max="13" width="20.7265625" style="360" customWidth="1"/>
    <col min="14" max="14" width="19.26953125" style="360" customWidth="1"/>
    <col min="15" max="16" width="18.1796875" style="360" customWidth="1"/>
    <col min="17" max="17" width="19.26953125" style="360" customWidth="1"/>
    <col min="18" max="20" width="18.1796875" style="360" customWidth="1"/>
    <col min="21" max="21" width="20.81640625" style="360" customWidth="1"/>
    <col min="22" max="22" width="19.453125" style="360" customWidth="1"/>
    <col min="23" max="24" width="19.81640625" style="360" customWidth="1"/>
    <col min="25" max="25" width="7.453125" style="360" customWidth="1"/>
    <col min="26" max="16384" width="15.1796875" style="360"/>
  </cols>
  <sheetData>
    <row r="1" spans="1:26">
      <c r="A1" s="507"/>
      <c r="E1" s="507"/>
      <c r="F1" s="510"/>
      <c r="G1" s="510"/>
      <c r="H1" s="507"/>
      <c r="I1" s="507"/>
      <c r="J1" s="507"/>
      <c r="K1" s="507"/>
      <c r="L1" s="507"/>
      <c r="M1" s="507"/>
      <c r="N1" s="507"/>
      <c r="O1" s="507"/>
      <c r="P1" s="507"/>
      <c r="Q1" s="1140" t="s">
        <v>963</v>
      </c>
      <c r="R1" s="1141"/>
      <c r="S1" s="1141"/>
      <c r="T1" s="1141"/>
      <c r="U1" s="1141"/>
      <c r="V1" s="1141"/>
      <c r="W1" s="1141"/>
      <c r="X1" s="1141"/>
      <c r="Y1" s="507"/>
    </row>
    <row r="2" spans="1:26">
      <c r="A2" s="507"/>
      <c r="E2" s="507"/>
      <c r="F2" s="510"/>
      <c r="G2" s="510"/>
      <c r="H2" s="507"/>
      <c r="I2" s="507"/>
      <c r="J2" s="507"/>
      <c r="K2" s="507"/>
      <c r="L2" s="507"/>
      <c r="M2" s="507"/>
      <c r="N2" s="507"/>
      <c r="O2" s="507"/>
      <c r="P2" s="507"/>
      <c r="Q2" s="1141"/>
      <c r="R2" s="1141"/>
      <c r="S2" s="1141"/>
      <c r="T2" s="1141"/>
      <c r="U2" s="1141"/>
      <c r="V2" s="1141"/>
      <c r="W2" s="1141"/>
      <c r="X2" s="1141"/>
      <c r="Y2" s="507"/>
    </row>
    <row r="3" spans="1:26">
      <c r="A3" s="507"/>
      <c r="E3" s="507"/>
      <c r="F3" s="510"/>
      <c r="G3" s="510"/>
      <c r="H3" s="507"/>
      <c r="I3" s="507"/>
      <c r="J3" s="507"/>
      <c r="K3" s="507"/>
      <c r="L3" s="507"/>
      <c r="M3" s="507"/>
      <c r="N3" s="507"/>
      <c r="O3" s="507"/>
      <c r="P3" s="507"/>
      <c r="Q3" s="1141"/>
      <c r="R3" s="1141"/>
      <c r="S3" s="1141"/>
      <c r="T3" s="1141"/>
      <c r="U3" s="1141"/>
      <c r="V3" s="1141"/>
      <c r="W3" s="1141"/>
      <c r="X3" s="1141"/>
      <c r="Y3" s="507"/>
    </row>
    <row r="4" spans="1:26">
      <c r="A4" s="507"/>
      <c r="E4" s="507"/>
      <c r="F4" s="510"/>
      <c r="G4" s="510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10"/>
      <c r="W4" s="510"/>
      <c r="X4" s="510"/>
      <c r="Y4" s="507"/>
    </row>
    <row r="5" spans="1:26">
      <c r="B5" s="360"/>
      <c r="C5" s="360"/>
      <c r="D5" s="518" t="s">
        <v>665</v>
      </c>
      <c r="Y5" s="507"/>
    </row>
    <row r="6" spans="1:26">
      <c r="A6" s="507"/>
      <c r="E6" s="507"/>
      <c r="F6" s="510"/>
      <c r="G6" s="510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  <c r="V6" s="510"/>
      <c r="W6" s="510"/>
      <c r="X6" s="510"/>
      <c r="Y6" s="507"/>
    </row>
    <row r="7" spans="1:26" s="506" customFormat="1">
      <c r="A7" s="1142" t="str">
        <f>+i.04108!A7</f>
        <v>Даатгагчийн нэр:</v>
      </c>
      <c r="B7" s="1142"/>
      <c r="C7" s="1142"/>
      <c r="D7" s="1142"/>
      <c r="E7" s="1142"/>
      <c r="F7" s="1142"/>
      <c r="G7" s="1142"/>
      <c r="J7" s="507"/>
      <c r="K7" s="507"/>
      <c r="L7" s="507"/>
      <c r="M7" s="507"/>
      <c r="N7" s="507"/>
      <c r="O7" s="507"/>
      <c r="P7" s="507"/>
      <c r="Q7" s="507"/>
      <c r="R7" s="507"/>
      <c r="S7" s="507"/>
      <c r="T7" s="507"/>
      <c r="U7" s="1143" t="str">
        <f>+i.04108!F7</f>
        <v>..... оны .... сарын ...-ны өдөр</v>
      </c>
      <c r="V7" s="1143"/>
      <c r="W7" s="1143"/>
      <c r="X7" s="1143"/>
      <c r="Y7" s="507"/>
      <c r="Z7" s="507"/>
    </row>
    <row r="8" spans="1:26" s="506" customFormat="1">
      <c r="A8" s="519"/>
      <c r="B8" s="517"/>
      <c r="C8" s="361"/>
      <c r="D8" s="361"/>
      <c r="E8" s="507"/>
      <c r="F8" s="507"/>
      <c r="G8" s="507"/>
      <c r="H8" s="1144"/>
      <c r="I8" s="1145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07"/>
      <c r="W8" s="507"/>
      <c r="X8" s="507"/>
      <c r="Y8" s="507"/>
      <c r="Z8" s="507"/>
    </row>
    <row r="9" spans="1:26" s="506" customFormat="1">
      <c r="A9" s="519"/>
      <c r="B9" s="517"/>
      <c r="C9" s="361"/>
      <c r="D9" s="361"/>
      <c r="E9" s="507"/>
      <c r="F9" s="361"/>
      <c r="G9" s="507"/>
      <c r="H9" s="507"/>
      <c r="J9" s="507"/>
      <c r="K9" s="507"/>
      <c r="L9" s="507"/>
      <c r="M9" s="507"/>
      <c r="N9" s="507"/>
      <c r="O9" s="507"/>
      <c r="P9" s="507"/>
      <c r="Q9" s="507"/>
      <c r="R9" s="507"/>
      <c r="S9" s="507"/>
      <c r="T9" s="507"/>
      <c r="U9" s="507"/>
      <c r="V9" s="507"/>
      <c r="X9" s="520" t="s">
        <v>1</v>
      </c>
      <c r="Y9" s="507"/>
      <c r="Z9" s="507"/>
    </row>
    <row r="10" spans="1:26">
      <c r="A10" s="1129" t="s">
        <v>661</v>
      </c>
      <c r="B10" s="1136" t="s">
        <v>642</v>
      </c>
      <c r="C10" s="1138" t="s">
        <v>4</v>
      </c>
      <c r="D10" s="1139" t="s">
        <v>666</v>
      </c>
      <c r="E10" s="1129" t="s">
        <v>355</v>
      </c>
      <c r="F10" s="1134" t="s">
        <v>667</v>
      </c>
      <c r="G10" s="1131"/>
      <c r="H10" s="1129" t="s">
        <v>668</v>
      </c>
      <c r="I10" s="1129" t="s">
        <v>356</v>
      </c>
      <c r="J10" s="1130" t="s">
        <v>669</v>
      </c>
      <c r="K10" s="1129" t="s">
        <v>358</v>
      </c>
      <c r="L10" s="1129" t="s">
        <v>670</v>
      </c>
      <c r="M10" s="1130" t="s">
        <v>671</v>
      </c>
      <c r="N10" s="1129" t="s">
        <v>362</v>
      </c>
      <c r="O10" s="1133" t="s">
        <v>667</v>
      </c>
      <c r="P10" s="1131"/>
      <c r="Q10" s="1130" t="s">
        <v>672</v>
      </c>
      <c r="R10" s="1129" t="s">
        <v>673</v>
      </c>
      <c r="S10" s="1129" t="s">
        <v>674</v>
      </c>
      <c r="T10" s="1129" t="s">
        <v>318</v>
      </c>
      <c r="U10" s="1130" t="s">
        <v>675</v>
      </c>
      <c r="V10" s="1130" t="s">
        <v>377</v>
      </c>
      <c r="W10" s="1132" t="s">
        <v>667</v>
      </c>
      <c r="X10" s="1131"/>
      <c r="Y10" s="507"/>
    </row>
    <row r="11" spans="1:26" ht="69.5">
      <c r="A11" s="1135"/>
      <c r="B11" s="1137"/>
      <c r="C11" s="1138"/>
      <c r="D11" s="1139"/>
      <c r="E11" s="1131"/>
      <c r="F11" s="521" t="s">
        <v>676</v>
      </c>
      <c r="G11" s="521" t="s">
        <v>677</v>
      </c>
      <c r="H11" s="1131"/>
      <c r="I11" s="1131"/>
      <c r="J11" s="1131"/>
      <c r="K11" s="1131"/>
      <c r="L11" s="1131"/>
      <c r="M11" s="1131"/>
      <c r="N11" s="1131"/>
      <c r="O11" s="522" t="s">
        <v>678</v>
      </c>
      <c r="P11" s="522" t="s">
        <v>679</v>
      </c>
      <c r="Q11" s="1131"/>
      <c r="R11" s="1131"/>
      <c r="S11" s="1131"/>
      <c r="T11" s="1129"/>
      <c r="U11" s="1131"/>
      <c r="V11" s="1131"/>
      <c r="W11" s="521" t="s">
        <v>680</v>
      </c>
      <c r="X11" s="521" t="s">
        <v>466</v>
      </c>
      <c r="Y11" s="507"/>
    </row>
    <row r="12" spans="1:26" s="361" customFormat="1">
      <c r="A12" s="523" t="s">
        <v>6</v>
      </c>
      <c r="B12" s="524" t="s">
        <v>7</v>
      </c>
      <c r="C12" s="523" t="s">
        <v>8</v>
      </c>
      <c r="D12" s="523">
        <v>1</v>
      </c>
      <c r="E12" s="525">
        <f>+D12+1</f>
        <v>2</v>
      </c>
      <c r="F12" s="525">
        <f t="shared" ref="F12:X12" si="0">+E12+1</f>
        <v>3</v>
      </c>
      <c r="G12" s="525">
        <f t="shared" si="0"/>
        <v>4</v>
      </c>
      <c r="H12" s="525">
        <f t="shared" si="0"/>
        <v>5</v>
      </c>
      <c r="I12" s="525">
        <f t="shared" si="0"/>
        <v>6</v>
      </c>
      <c r="J12" s="525">
        <f t="shared" si="0"/>
        <v>7</v>
      </c>
      <c r="K12" s="525">
        <f t="shared" si="0"/>
        <v>8</v>
      </c>
      <c r="L12" s="525">
        <f t="shared" si="0"/>
        <v>9</v>
      </c>
      <c r="M12" s="525">
        <f t="shared" si="0"/>
        <v>10</v>
      </c>
      <c r="N12" s="525">
        <f t="shared" si="0"/>
        <v>11</v>
      </c>
      <c r="O12" s="525">
        <f t="shared" si="0"/>
        <v>12</v>
      </c>
      <c r="P12" s="525">
        <f t="shared" si="0"/>
        <v>13</v>
      </c>
      <c r="Q12" s="525">
        <f t="shared" si="0"/>
        <v>14</v>
      </c>
      <c r="R12" s="525">
        <f t="shared" si="0"/>
        <v>15</v>
      </c>
      <c r="S12" s="525">
        <f t="shared" si="0"/>
        <v>16</v>
      </c>
      <c r="T12" s="525">
        <f t="shared" si="0"/>
        <v>17</v>
      </c>
      <c r="U12" s="525">
        <f t="shared" si="0"/>
        <v>18</v>
      </c>
      <c r="V12" s="525">
        <f t="shared" si="0"/>
        <v>19</v>
      </c>
      <c r="W12" s="525">
        <f t="shared" si="0"/>
        <v>20</v>
      </c>
      <c r="X12" s="525">
        <f t="shared" si="0"/>
        <v>21</v>
      </c>
    </row>
    <row r="13" spans="1:26" ht="31">
      <c r="A13" s="1127" t="s">
        <v>635</v>
      </c>
      <c r="B13" s="526" t="s">
        <v>681</v>
      </c>
      <c r="C13" s="527">
        <v>1</v>
      </c>
      <c r="D13" s="516"/>
      <c r="E13" s="516"/>
      <c r="F13" s="516"/>
      <c r="G13" s="516"/>
      <c r="H13" s="516"/>
      <c r="I13" s="516"/>
      <c r="J13" s="531">
        <f>E13-H13-I13</f>
        <v>0</v>
      </c>
      <c r="K13" s="516"/>
      <c r="L13" s="516"/>
      <c r="M13" s="531">
        <f>J13-K13+L13</f>
        <v>0</v>
      </c>
      <c r="N13" s="516"/>
      <c r="O13" s="516"/>
      <c r="P13" s="516"/>
      <c r="Q13" s="531">
        <f t="shared" ref="Q13:Q31" si="1">N13-O13-P13</f>
        <v>0</v>
      </c>
      <c r="R13" s="516"/>
      <c r="S13" s="516"/>
      <c r="T13" s="516"/>
      <c r="U13" s="531">
        <f>SUM(Q13:T13)</f>
        <v>0</v>
      </c>
      <c r="V13" s="533">
        <f>SUM(W13:X13)</f>
        <v>0</v>
      </c>
      <c r="W13" s="516"/>
      <c r="X13" s="516"/>
      <c r="Y13" s="507"/>
    </row>
    <row r="14" spans="1:26" s="791" customFormat="1" ht="31">
      <c r="A14" s="1127"/>
      <c r="B14" s="526" t="s">
        <v>968</v>
      </c>
      <c r="C14" s="527">
        <f>+C13+1</f>
        <v>2</v>
      </c>
      <c r="D14" s="516"/>
      <c r="E14" s="516"/>
      <c r="F14" s="516"/>
      <c r="G14" s="516"/>
      <c r="H14" s="516"/>
      <c r="I14" s="516"/>
      <c r="J14" s="531">
        <f t="shared" ref="J14:J31" si="2">E14-H14-I14</f>
        <v>0</v>
      </c>
      <c r="K14" s="516"/>
      <c r="L14" s="516"/>
      <c r="M14" s="531">
        <f t="shared" ref="M14:M29" si="3">J14-K14+L14</f>
        <v>0</v>
      </c>
      <c r="N14" s="516"/>
      <c r="O14" s="516"/>
      <c r="P14" s="516"/>
      <c r="Q14" s="531"/>
      <c r="R14" s="516"/>
      <c r="S14" s="516"/>
      <c r="T14" s="516"/>
      <c r="U14" s="531"/>
      <c r="V14" s="533"/>
      <c r="W14" s="516"/>
      <c r="X14" s="516"/>
      <c r="Y14" s="507"/>
    </row>
    <row r="15" spans="1:26" ht="31">
      <c r="A15" s="1127"/>
      <c r="B15" s="526" t="s">
        <v>969</v>
      </c>
      <c r="C15" s="527">
        <f>+C14+1</f>
        <v>3</v>
      </c>
      <c r="D15" s="516"/>
      <c r="E15" s="516"/>
      <c r="F15" s="516"/>
      <c r="G15" s="516"/>
      <c r="H15" s="516"/>
      <c r="I15" s="516"/>
      <c r="J15" s="531">
        <f t="shared" si="2"/>
        <v>0</v>
      </c>
      <c r="K15" s="516"/>
      <c r="L15" s="516"/>
      <c r="M15" s="531">
        <f t="shared" si="3"/>
        <v>0</v>
      </c>
      <c r="N15" s="516"/>
      <c r="O15" s="516"/>
      <c r="P15" s="516"/>
      <c r="Q15" s="531">
        <f t="shared" si="1"/>
        <v>0</v>
      </c>
      <c r="R15" s="516"/>
      <c r="S15" s="516"/>
      <c r="T15" s="516"/>
      <c r="U15" s="531">
        <f t="shared" ref="U15:U31" si="4">SUM(Q15:T15)</f>
        <v>0</v>
      </c>
      <c r="V15" s="533">
        <f t="shared" ref="V15:V31" si="5">SUM(W15:X15)</f>
        <v>0</v>
      </c>
      <c r="W15" s="516"/>
      <c r="X15" s="516"/>
      <c r="Y15" s="507"/>
    </row>
    <row r="16" spans="1:26" s="791" customFormat="1" ht="31">
      <c r="A16" s="1127"/>
      <c r="B16" s="526" t="s">
        <v>970</v>
      </c>
      <c r="C16" s="527">
        <f>+C15+1</f>
        <v>4</v>
      </c>
      <c r="D16" s="516"/>
      <c r="E16" s="516"/>
      <c r="F16" s="516"/>
      <c r="G16" s="516"/>
      <c r="H16" s="516"/>
      <c r="I16" s="516"/>
      <c r="J16" s="531">
        <f t="shared" si="2"/>
        <v>0</v>
      </c>
      <c r="K16" s="516"/>
      <c r="L16" s="516"/>
      <c r="M16" s="531">
        <f t="shared" si="3"/>
        <v>0</v>
      </c>
      <c r="N16" s="516"/>
      <c r="O16" s="516"/>
      <c r="P16" s="516"/>
      <c r="Q16" s="531"/>
      <c r="R16" s="516"/>
      <c r="S16" s="516"/>
      <c r="T16" s="516"/>
      <c r="U16" s="531"/>
      <c r="V16" s="533"/>
      <c r="W16" s="516"/>
      <c r="X16" s="516"/>
      <c r="Y16" s="507"/>
    </row>
    <row r="17" spans="1:25" ht="31">
      <c r="A17" s="1127"/>
      <c r="B17" s="526" t="s">
        <v>971</v>
      </c>
      <c r="C17" s="527">
        <f t="shared" ref="C17:C32" si="6">+C16+1</f>
        <v>5</v>
      </c>
      <c r="D17" s="516"/>
      <c r="E17" s="516"/>
      <c r="F17" s="516"/>
      <c r="G17" s="516"/>
      <c r="H17" s="516"/>
      <c r="I17" s="516"/>
      <c r="J17" s="531">
        <f t="shared" si="2"/>
        <v>0</v>
      </c>
      <c r="K17" s="516"/>
      <c r="L17" s="516"/>
      <c r="M17" s="531">
        <f t="shared" si="3"/>
        <v>0</v>
      </c>
      <c r="N17" s="516"/>
      <c r="O17" s="516"/>
      <c r="P17" s="516"/>
      <c r="Q17" s="531">
        <f t="shared" si="1"/>
        <v>0</v>
      </c>
      <c r="R17" s="516"/>
      <c r="S17" s="516"/>
      <c r="T17" s="516"/>
      <c r="U17" s="531">
        <f t="shared" si="4"/>
        <v>0</v>
      </c>
      <c r="V17" s="533">
        <f t="shared" si="5"/>
        <v>0</v>
      </c>
      <c r="W17" s="516"/>
      <c r="X17" s="516"/>
      <c r="Y17" s="507"/>
    </row>
    <row r="18" spans="1:25">
      <c r="A18" s="1127"/>
      <c r="B18" s="526" t="s">
        <v>972</v>
      </c>
      <c r="C18" s="527">
        <f t="shared" si="6"/>
        <v>6</v>
      </c>
      <c r="D18" s="516"/>
      <c r="E18" s="516"/>
      <c r="F18" s="516"/>
      <c r="G18" s="516"/>
      <c r="H18" s="516"/>
      <c r="I18" s="516"/>
      <c r="J18" s="531">
        <f t="shared" si="2"/>
        <v>0</v>
      </c>
      <c r="K18" s="516"/>
      <c r="L18" s="516"/>
      <c r="M18" s="531">
        <f t="shared" si="3"/>
        <v>0</v>
      </c>
      <c r="N18" s="516"/>
      <c r="O18" s="516"/>
      <c r="P18" s="516"/>
      <c r="Q18" s="531">
        <f t="shared" si="1"/>
        <v>0</v>
      </c>
      <c r="R18" s="516"/>
      <c r="S18" s="516"/>
      <c r="T18" s="516"/>
      <c r="U18" s="531">
        <f t="shared" si="4"/>
        <v>0</v>
      </c>
      <c r="V18" s="533">
        <f t="shared" si="5"/>
        <v>0</v>
      </c>
      <c r="W18" s="516"/>
      <c r="X18" s="516"/>
      <c r="Y18" s="507"/>
    </row>
    <row r="19" spans="1:25" ht="31">
      <c r="A19" s="1127"/>
      <c r="B19" s="526" t="s">
        <v>973</v>
      </c>
      <c r="C19" s="527">
        <f t="shared" si="6"/>
        <v>7</v>
      </c>
      <c r="D19" s="516"/>
      <c r="E19" s="516"/>
      <c r="F19" s="516"/>
      <c r="G19" s="516"/>
      <c r="H19" s="516"/>
      <c r="I19" s="516"/>
      <c r="J19" s="531">
        <f t="shared" si="2"/>
        <v>0</v>
      </c>
      <c r="K19" s="516"/>
      <c r="L19" s="516"/>
      <c r="M19" s="531">
        <f t="shared" si="3"/>
        <v>0</v>
      </c>
      <c r="N19" s="516"/>
      <c r="O19" s="516"/>
      <c r="P19" s="516"/>
      <c r="Q19" s="531">
        <f t="shared" si="1"/>
        <v>0</v>
      </c>
      <c r="R19" s="516"/>
      <c r="S19" s="516"/>
      <c r="T19" s="516"/>
      <c r="U19" s="531">
        <f t="shared" si="4"/>
        <v>0</v>
      </c>
      <c r="V19" s="533">
        <f t="shared" si="5"/>
        <v>0</v>
      </c>
      <c r="W19" s="516"/>
      <c r="X19" s="516"/>
      <c r="Y19" s="507"/>
    </row>
    <row r="20" spans="1:25" ht="31">
      <c r="A20" s="1127"/>
      <c r="B20" s="526" t="s">
        <v>974</v>
      </c>
      <c r="C20" s="527">
        <f t="shared" si="6"/>
        <v>8</v>
      </c>
      <c r="D20" s="516"/>
      <c r="E20" s="516"/>
      <c r="F20" s="516"/>
      <c r="G20" s="516"/>
      <c r="H20" s="516"/>
      <c r="I20" s="516"/>
      <c r="J20" s="531">
        <f t="shared" si="2"/>
        <v>0</v>
      </c>
      <c r="K20" s="516"/>
      <c r="L20" s="516"/>
      <c r="M20" s="531">
        <f t="shared" si="3"/>
        <v>0</v>
      </c>
      <c r="N20" s="516"/>
      <c r="O20" s="516"/>
      <c r="P20" s="516"/>
      <c r="Q20" s="531">
        <f t="shared" si="1"/>
        <v>0</v>
      </c>
      <c r="R20" s="516"/>
      <c r="S20" s="516"/>
      <c r="T20" s="516"/>
      <c r="U20" s="531">
        <f t="shared" si="4"/>
        <v>0</v>
      </c>
      <c r="V20" s="533">
        <f t="shared" si="5"/>
        <v>0</v>
      </c>
      <c r="W20" s="516"/>
      <c r="X20" s="516"/>
      <c r="Y20" s="507"/>
    </row>
    <row r="21" spans="1:25" ht="31">
      <c r="A21" s="1127"/>
      <c r="B21" s="526" t="s">
        <v>975</v>
      </c>
      <c r="C21" s="527">
        <f t="shared" si="6"/>
        <v>9</v>
      </c>
      <c r="D21" s="516"/>
      <c r="E21" s="516"/>
      <c r="F21" s="516"/>
      <c r="G21" s="516"/>
      <c r="H21" s="516"/>
      <c r="I21" s="516"/>
      <c r="J21" s="531">
        <f t="shared" si="2"/>
        <v>0</v>
      </c>
      <c r="K21" s="516"/>
      <c r="L21" s="516"/>
      <c r="M21" s="531">
        <f t="shared" si="3"/>
        <v>0</v>
      </c>
      <c r="N21" s="516"/>
      <c r="O21" s="516"/>
      <c r="P21" s="516"/>
      <c r="Q21" s="531">
        <f t="shared" si="1"/>
        <v>0</v>
      </c>
      <c r="R21" s="516"/>
      <c r="S21" s="516"/>
      <c r="T21" s="516"/>
      <c r="U21" s="531">
        <f t="shared" si="4"/>
        <v>0</v>
      </c>
      <c r="V21" s="533">
        <f t="shared" si="5"/>
        <v>0</v>
      </c>
      <c r="W21" s="516"/>
      <c r="X21" s="516"/>
      <c r="Y21" s="507"/>
    </row>
    <row r="22" spans="1:25" ht="31">
      <c r="A22" s="1127"/>
      <c r="B22" s="526" t="s">
        <v>976</v>
      </c>
      <c r="C22" s="527">
        <f t="shared" si="6"/>
        <v>10</v>
      </c>
      <c r="D22" s="516"/>
      <c r="E22" s="516"/>
      <c r="F22" s="516"/>
      <c r="G22" s="516"/>
      <c r="H22" s="516"/>
      <c r="I22" s="516"/>
      <c r="J22" s="531">
        <f t="shared" si="2"/>
        <v>0</v>
      </c>
      <c r="K22" s="516"/>
      <c r="L22" s="516"/>
      <c r="M22" s="531">
        <f t="shared" si="3"/>
        <v>0</v>
      </c>
      <c r="N22" s="516"/>
      <c r="O22" s="516"/>
      <c r="P22" s="516"/>
      <c r="Q22" s="531">
        <f t="shared" si="1"/>
        <v>0</v>
      </c>
      <c r="R22" s="516"/>
      <c r="S22" s="516"/>
      <c r="T22" s="516"/>
      <c r="U22" s="531">
        <f t="shared" si="4"/>
        <v>0</v>
      </c>
      <c r="V22" s="533">
        <f t="shared" si="5"/>
        <v>0</v>
      </c>
      <c r="W22" s="516"/>
      <c r="X22" s="516"/>
      <c r="Y22" s="507"/>
    </row>
    <row r="23" spans="1:25" ht="62">
      <c r="A23" s="1127"/>
      <c r="B23" s="526" t="s">
        <v>977</v>
      </c>
      <c r="C23" s="527">
        <f t="shared" si="6"/>
        <v>11</v>
      </c>
      <c r="D23" s="516"/>
      <c r="E23" s="516"/>
      <c r="F23" s="516"/>
      <c r="G23" s="516"/>
      <c r="H23" s="516"/>
      <c r="I23" s="516"/>
      <c r="J23" s="531">
        <f t="shared" si="2"/>
        <v>0</v>
      </c>
      <c r="K23" s="516"/>
      <c r="L23" s="516"/>
      <c r="M23" s="531">
        <f t="shared" si="3"/>
        <v>0</v>
      </c>
      <c r="N23" s="516"/>
      <c r="O23" s="516"/>
      <c r="P23" s="516"/>
      <c r="Q23" s="531">
        <f t="shared" si="1"/>
        <v>0</v>
      </c>
      <c r="R23" s="516"/>
      <c r="S23" s="516"/>
      <c r="T23" s="516"/>
      <c r="U23" s="531">
        <f t="shared" si="4"/>
        <v>0</v>
      </c>
      <c r="V23" s="533">
        <f t="shared" si="5"/>
        <v>0</v>
      </c>
      <c r="W23" s="516"/>
      <c r="X23" s="516"/>
      <c r="Y23" s="507"/>
    </row>
    <row r="24" spans="1:25" ht="31">
      <c r="A24" s="1127"/>
      <c r="B24" s="526" t="s">
        <v>978</v>
      </c>
      <c r="C24" s="527">
        <f t="shared" si="6"/>
        <v>12</v>
      </c>
      <c r="D24" s="516"/>
      <c r="E24" s="516"/>
      <c r="F24" s="516"/>
      <c r="G24" s="516"/>
      <c r="H24" s="516"/>
      <c r="I24" s="516"/>
      <c r="J24" s="531">
        <f t="shared" si="2"/>
        <v>0</v>
      </c>
      <c r="K24" s="516"/>
      <c r="L24" s="516"/>
      <c r="M24" s="531">
        <f t="shared" si="3"/>
        <v>0</v>
      </c>
      <c r="N24" s="516"/>
      <c r="O24" s="516"/>
      <c r="P24" s="516"/>
      <c r="Q24" s="531">
        <f t="shared" si="1"/>
        <v>0</v>
      </c>
      <c r="R24" s="516"/>
      <c r="S24" s="516"/>
      <c r="T24" s="516"/>
      <c r="U24" s="531">
        <f t="shared" si="4"/>
        <v>0</v>
      </c>
      <c r="V24" s="533">
        <f t="shared" si="5"/>
        <v>0</v>
      </c>
      <c r="W24" s="516"/>
      <c r="X24" s="516"/>
      <c r="Y24" s="507"/>
    </row>
    <row r="25" spans="1:25" ht="31">
      <c r="A25" s="1127"/>
      <c r="B25" s="526" t="s">
        <v>979</v>
      </c>
      <c r="C25" s="527">
        <f t="shared" si="6"/>
        <v>13</v>
      </c>
      <c r="D25" s="516"/>
      <c r="E25" s="516"/>
      <c r="F25" s="516"/>
      <c r="G25" s="516"/>
      <c r="H25" s="516"/>
      <c r="I25" s="516"/>
      <c r="J25" s="531">
        <f t="shared" si="2"/>
        <v>0</v>
      </c>
      <c r="K25" s="516"/>
      <c r="L25" s="516"/>
      <c r="M25" s="531">
        <f t="shared" si="3"/>
        <v>0</v>
      </c>
      <c r="N25" s="516"/>
      <c r="O25" s="516"/>
      <c r="P25" s="516"/>
      <c r="Q25" s="531">
        <f t="shared" si="1"/>
        <v>0</v>
      </c>
      <c r="R25" s="516"/>
      <c r="S25" s="516"/>
      <c r="T25" s="516"/>
      <c r="U25" s="531">
        <f t="shared" si="4"/>
        <v>0</v>
      </c>
      <c r="V25" s="533">
        <f t="shared" si="5"/>
        <v>0</v>
      </c>
      <c r="W25" s="516"/>
      <c r="X25" s="516"/>
      <c r="Y25" s="507"/>
    </row>
    <row r="26" spans="1:25">
      <c r="A26" s="1127"/>
      <c r="B26" s="526" t="s">
        <v>980</v>
      </c>
      <c r="C26" s="527">
        <f t="shared" si="6"/>
        <v>14</v>
      </c>
      <c r="D26" s="516"/>
      <c r="E26" s="516"/>
      <c r="F26" s="516"/>
      <c r="G26" s="516"/>
      <c r="H26" s="516"/>
      <c r="I26" s="516"/>
      <c r="J26" s="531">
        <f t="shared" si="2"/>
        <v>0</v>
      </c>
      <c r="K26" s="516"/>
      <c r="L26" s="516"/>
      <c r="M26" s="531">
        <f t="shared" si="3"/>
        <v>0</v>
      </c>
      <c r="N26" s="516"/>
      <c r="O26" s="516"/>
      <c r="P26" s="516"/>
      <c r="Q26" s="531">
        <f t="shared" si="1"/>
        <v>0</v>
      </c>
      <c r="R26" s="516"/>
      <c r="S26" s="516"/>
      <c r="T26" s="516"/>
      <c r="U26" s="531">
        <f t="shared" si="4"/>
        <v>0</v>
      </c>
      <c r="V26" s="533">
        <f t="shared" si="5"/>
        <v>0</v>
      </c>
      <c r="W26" s="516"/>
      <c r="X26" s="516"/>
      <c r="Y26" s="507"/>
    </row>
    <row r="27" spans="1:25" ht="31">
      <c r="A27" s="1127"/>
      <c r="B27" s="526" t="s">
        <v>981</v>
      </c>
      <c r="C27" s="527">
        <f t="shared" si="6"/>
        <v>15</v>
      </c>
      <c r="D27" s="516"/>
      <c r="E27" s="516"/>
      <c r="F27" s="516"/>
      <c r="G27" s="516"/>
      <c r="H27" s="516"/>
      <c r="I27" s="516"/>
      <c r="J27" s="531">
        <f t="shared" si="2"/>
        <v>0</v>
      </c>
      <c r="K27" s="516"/>
      <c r="L27" s="516"/>
      <c r="M27" s="531">
        <f t="shared" si="3"/>
        <v>0</v>
      </c>
      <c r="N27" s="516"/>
      <c r="O27" s="516"/>
      <c r="P27" s="516"/>
      <c r="Q27" s="531">
        <f t="shared" si="1"/>
        <v>0</v>
      </c>
      <c r="R27" s="516"/>
      <c r="S27" s="516"/>
      <c r="T27" s="516"/>
      <c r="U27" s="531">
        <f t="shared" si="4"/>
        <v>0</v>
      </c>
      <c r="V27" s="533">
        <f t="shared" si="5"/>
        <v>0</v>
      </c>
      <c r="W27" s="516"/>
      <c r="X27" s="516"/>
      <c r="Y27" s="507"/>
    </row>
    <row r="28" spans="1:25" ht="62">
      <c r="A28" s="1127"/>
      <c r="B28" s="526" t="s">
        <v>982</v>
      </c>
      <c r="C28" s="527">
        <f t="shared" si="6"/>
        <v>16</v>
      </c>
      <c r="D28" s="516"/>
      <c r="E28" s="516"/>
      <c r="F28" s="516"/>
      <c r="G28" s="516"/>
      <c r="H28" s="516"/>
      <c r="I28" s="516"/>
      <c r="J28" s="531">
        <f t="shared" si="2"/>
        <v>0</v>
      </c>
      <c r="K28" s="516"/>
      <c r="L28" s="516"/>
      <c r="M28" s="531">
        <f t="shared" si="3"/>
        <v>0</v>
      </c>
      <c r="N28" s="516"/>
      <c r="O28" s="516"/>
      <c r="P28" s="516"/>
      <c r="Q28" s="531">
        <f t="shared" si="1"/>
        <v>0</v>
      </c>
      <c r="R28" s="516"/>
      <c r="S28" s="516"/>
      <c r="T28" s="516"/>
      <c r="U28" s="531">
        <f t="shared" si="4"/>
        <v>0</v>
      </c>
      <c r="V28" s="533">
        <f t="shared" si="5"/>
        <v>0</v>
      </c>
      <c r="W28" s="516"/>
      <c r="X28" s="516"/>
      <c r="Y28" s="507"/>
    </row>
    <row r="29" spans="1:25" ht="108.5">
      <c r="A29" s="1127"/>
      <c r="B29" s="526" t="s">
        <v>983</v>
      </c>
      <c r="C29" s="527">
        <f t="shared" si="6"/>
        <v>17</v>
      </c>
      <c r="D29" s="516"/>
      <c r="E29" s="516"/>
      <c r="F29" s="516"/>
      <c r="G29" s="516"/>
      <c r="H29" s="516"/>
      <c r="I29" s="516"/>
      <c r="J29" s="531">
        <f t="shared" si="2"/>
        <v>0</v>
      </c>
      <c r="K29" s="516"/>
      <c r="L29" s="516"/>
      <c r="M29" s="531">
        <f t="shared" si="3"/>
        <v>0</v>
      </c>
      <c r="N29" s="516"/>
      <c r="O29" s="516"/>
      <c r="P29" s="516"/>
      <c r="Q29" s="531">
        <f t="shared" si="1"/>
        <v>0</v>
      </c>
      <c r="R29" s="516"/>
      <c r="S29" s="516"/>
      <c r="T29" s="516"/>
      <c r="U29" s="531">
        <f t="shared" si="4"/>
        <v>0</v>
      </c>
      <c r="V29" s="533">
        <f t="shared" si="5"/>
        <v>0</v>
      </c>
      <c r="W29" s="516"/>
      <c r="X29" s="516"/>
      <c r="Y29" s="507"/>
    </row>
    <row r="30" spans="1:25" ht="77.5">
      <c r="A30" s="1127"/>
      <c r="B30" s="526" t="s">
        <v>984</v>
      </c>
      <c r="C30" s="527">
        <f t="shared" si="6"/>
        <v>18</v>
      </c>
      <c r="D30" s="516"/>
      <c r="E30" s="516"/>
      <c r="F30" s="516"/>
      <c r="G30" s="516"/>
      <c r="H30" s="516"/>
      <c r="I30" s="516"/>
      <c r="J30" s="531">
        <f t="shared" si="2"/>
        <v>0</v>
      </c>
      <c r="K30" s="516"/>
      <c r="L30" s="516"/>
      <c r="M30" s="531">
        <f>J30-K30+L30</f>
        <v>0</v>
      </c>
      <c r="N30" s="516"/>
      <c r="O30" s="516"/>
      <c r="P30" s="516"/>
      <c r="Q30" s="531">
        <f t="shared" si="1"/>
        <v>0</v>
      </c>
      <c r="R30" s="516"/>
      <c r="S30" s="516"/>
      <c r="T30" s="516"/>
      <c r="U30" s="531">
        <f t="shared" si="4"/>
        <v>0</v>
      </c>
      <c r="V30" s="533">
        <f t="shared" si="5"/>
        <v>0</v>
      </c>
      <c r="W30" s="516"/>
      <c r="X30" s="516"/>
      <c r="Y30" s="507"/>
    </row>
    <row r="31" spans="1:25" ht="137.5">
      <c r="A31" s="528" t="s">
        <v>639</v>
      </c>
      <c r="B31" s="526" t="s">
        <v>682</v>
      </c>
      <c r="C31" s="527">
        <f t="shared" si="6"/>
        <v>19</v>
      </c>
      <c r="D31" s="516"/>
      <c r="E31" s="516"/>
      <c r="F31" s="516"/>
      <c r="G31" s="516"/>
      <c r="H31" s="516"/>
      <c r="I31" s="516"/>
      <c r="J31" s="531">
        <f t="shared" si="2"/>
        <v>0</v>
      </c>
      <c r="K31" s="516"/>
      <c r="L31" s="516"/>
      <c r="M31" s="531">
        <f>J31-K31+L31</f>
        <v>0</v>
      </c>
      <c r="N31" s="516"/>
      <c r="O31" s="516"/>
      <c r="P31" s="516"/>
      <c r="Q31" s="531">
        <f t="shared" si="1"/>
        <v>0</v>
      </c>
      <c r="R31" s="516"/>
      <c r="S31" s="516"/>
      <c r="T31" s="516"/>
      <c r="U31" s="531">
        <f t="shared" si="4"/>
        <v>0</v>
      </c>
      <c r="V31" s="533">
        <f t="shared" si="5"/>
        <v>0</v>
      </c>
      <c r="W31" s="516"/>
      <c r="X31" s="516"/>
      <c r="Y31" s="507"/>
    </row>
    <row r="32" spans="1:25" s="530" customFormat="1">
      <c r="A32" s="1128" t="s">
        <v>664</v>
      </c>
      <c r="B32" s="1128"/>
      <c r="C32" s="532">
        <f t="shared" si="6"/>
        <v>20</v>
      </c>
      <c r="D32" s="534">
        <f t="shared" ref="D32:X32" si="7">+SUM(D13:D31)-D14-D16</f>
        <v>0</v>
      </c>
      <c r="E32" s="534">
        <f t="shared" si="7"/>
        <v>0</v>
      </c>
      <c r="F32" s="534">
        <f t="shared" si="7"/>
        <v>0</v>
      </c>
      <c r="G32" s="534">
        <f t="shared" si="7"/>
        <v>0</v>
      </c>
      <c r="H32" s="534">
        <f t="shared" si="7"/>
        <v>0</v>
      </c>
      <c r="I32" s="534">
        <f t="shared" si="7"/>
        <v>0</v>
      </c>
      <c r="J32" s="534">
        <f>+SUM(J13:J31)-J14-J16</f>
        <v>0</v>
      </c>
      <c r="K32" s="534">
        <f>+SUM(K13:K31)-K14-K16</f>
        <v>0</v>
      </c>
      <c r="L32" s="534">
        <f>+SUM(L13:L31)-L14-L16</f>
        <v>0</v>
      </c>
      <c r="M32" s="534">
        <f>+SUM(M13:M31)-M14-M16</f>
        <v>0</v>
      </c>
      <c r="N32" s="534">
        <f t="shared" si="7"/>
        <v>0</v>
      </c>
      <c r="O32" s="534">
        <f t="shared" si="7"/>
        <v>0</v>
      </c>
      <c r="P32" s="534">
        <f t="shared" si="7"/>
        <v>0</v>
      </c>
      <c r="Q32" s="534">
        <f t="shared" si="7"/>
        <v>0</v>
      </c>
      <c r="R32" s="534">
        <f t="shared" si="7"/>
        <v>0</v>
      </c>
      <c r="S32" s="534">
        <f t="shared" si="7"/>
        <v>0</v>
      </c>
      <c r="T32" s="534">
        <f t="shared" si="7"/>
        <v>0</v>
      </c>
      <c r="U32" s="534">
        <f t="shared" si="7"/>
        <v>0</v>
      </c>
      <c r="V32" s="534">
        <f t="shared" si="7"/>
        <v>0</v>
      </c>
      <c r="W32" s="534">
        <f t="shared" si="7"/>
        <v>0</v>
      </c>
      <c r="X32" s="534">
        <f t="shared" si="7"/>
        <v>0</v>
      </c>
      <c r="Y32" s="529"/>
    </row>
    <row r="33" spans="1:25" s="746" customFormat="1" ht="28.5" customHeight="1">
      <c r="A33" s="747"/>
      <c r="B33" s="747"/>
      <c r="C33" s="747"/>
      <c r="D33" s="744"/>
      <c r="E33" s="744" t="str">
        <f>IF(E32=i.04102!E9,"","ДҮН ЗӨРҮҮТЭЙ БАЙНА")</f>
        <v/>
      </c>
      <c r="F33" s="744"/>
      <c r="G33" s="744"/>
      <c r="H33" s="744" t="str">
        <f>IF(H32=i.04102!E10,"","ДҮН ЗӨРҮҮТЭЙ БАЙНА")</f>
        <v/>
      </c>
      <c r="I33" s="744" t="str">
        <f>IF(I32=i.04102!E11,"","ДҮН ЗӨРҮҮТЭЙ БАЙНА")</f>
        <v/>
      </c>
      <c r="J33" s="744" t="str">
        <f>IF(J32=i.04102!E12,"","ДҮН ЗӨРҮҮТЭЙ БАЙНА")</f>
        <v/>
      </c>
      <c r="K33" s="744" t="str">
        <f>IF(K32=i.04102!E13,"","ДҮН ЗӨРҮҮТЭЙ БАЙНА")</f>
        <v/>
      </c>
      <c r="L33" s="744" t="str">
        <f>IF(L32=i.04102!E14,"","ДҮН ЗӨРҮҮТЭЙ БАЙНА")</f>
        <v/>
      </c>
      <c r="M33" s="744" t="str">
        <f>IF(M32=i.04102!E15,"","ДҮН ЗӨРҮҮТЭЙ БАЙНА")</f>
        <v/>
      </c>
      <c r="N33" s="744" t="str">
        <f>IF(N32=i.04102!E16,"","ДҮН ЗӨРҮҮТЭЙ БАЙНА")</f>
        <v/>
      </c>
      <c r="O33" s="744" t="str">
        <f>IF(O32=i.04102!E17,"","ДҮН ЗӨРҮҮТЭЙ БАЙНА")</f>
        <v/>
      </c>
      <c r="P33" s="744" t="str">
        <f>IF(P32=i.04102!E18,"","ДҮН ЗӨРҮҮТЭЙ БАЙНА")</f>
        <v/>
      </c>
      <c r="Q33" s="744" t="str">
        <f>IF(Q32=i.04102!E19,"","ДҮН ЗӨРҮҮТЭЙ БАЙНА")</f>
        <v/>
      </c>
      <c r="R33" s="744" t="str">
        <f>IF(R32=i.04102!E20,"","ДҮН ЗӨРҮҮТЭЙ БАЙНА")</f>
        <v/>
      </c>
      <c r="S33" s="744" t="str">
        <f>IF(S32=i.04102!E21,"","ДҮН ЗӨРҮҮТЭЙ БАЙНА")</f>
        <v/>
      </c>
      <c r="T33" s="744" t="str">
        <f>IF(T32=i.04102!E22,"","ДҮН ЗӨРҮҮТЭЙ БАЙНА")</f>
        <v/>
      </c>
      <c r="U33" s="744" t="str">
        <f>IF(U32=i.04102!E23,"","ДҮН ЗӨРҮҮТЭЙ БАЙНА")</f>
        <v/>
      </c>
      <c r="V33" s="744"/>
      <c r="W33" s="744" t="str">
        <f>IF(W32=i.04102a!D39,"","ДҮН ЗӨРҮҮТЭЙ БАЙНА")</f>
        <v/>
      </c>
      <c r="X33" s="744" t="str">
        <f>IF(X32=i.04102a!D40,"","ДҮН ЗӨРҮҮТЭЙ БАЙНА")</f>
        <v/>
      </c>
      <c r="Y33" s="745"/>
    </row>
    <row r="34" spans="1:25" s="746" customFormat="1">
      <c r="A34" s="748"/>
      <c r="B34" s="748"/>
      <c r="C34" s="748"/>
      <c r="D34" s="748"/>
      <c r="E34" s="748">
        <f>+E32-i.04102!E9</f>
        <v>0</v>
      </c>
      <c r="F34" s="748"/>
      <c r="G34" s="748"/>
      <c r="H34" s="748">
        <f>+H32-i.04102!E10</f>
        <v>0</v>
      </c>
      <c r="I34" s="748">
        <f>+I32-i.04102!E11</f>
        <v>0</v>
      </c>
      <c r="J34" s="748">
        <f>+J32-i.04102!E12</f>
        <v>0</v>
      </c>
      <c r="K34" s="748">
        <f>+K32-i.04102!E13</f>
        <v>0</v>
      </c>
      <c r="L34" s="748">
        <f>+L32-i.04102!E14</f>
        <v>0</v>
      </c>
      <c r="M34" s="748">
        <f>+M32-i.04102!E15</f>
        <v>0</v>
      </c>
      <c r="N34" s="748">
        <f>+N32-i.04102!E16</f>
        <v>0</v>
      </c>
      <c r="O34" s="748">
        <f>+O32-i.04102!E17</f>
        <v>0</v>
      </c>
      <c r="P34" s="748">
        <f>+P32-i.04102!E18</f>
        <v>0</v>
      </c>
      <c r="Q34" s="748">
        <f>+Q32-i.04102!E19</f>
        <v>0</v>
      </c>
      <c r="R34" s="748">
        <f>+R32-i.04102!E20</f>
        <v>0</v>
      </c>
      <c r="S34" s="748">
        <f>+S32-i.04102!E21</f>
        <v>0</v>
      </c>
      <c r="T34" s="748">
        <f>+T32-i.04102!E22</f>
        <v>0</v>
      </c>
      <c r="U34" s="748">
        <f>+U32-i.04102!E23</f>
        <v>0</v>
      </c>
      <c r="V34" s="748">
        <f>+V32-i.04102!E24</f>
        <v>0</v>
      </c>
      <c r="W34" s="748">
        <f>+W32-i.04102a!D39</f>
        <v>0</v>
      </c>
      <c r="X34" s="748">
        <f>+X32-i.04102a!D40</f>
        <v>0</v>
      </c>
      <c r="Y34" s="745"/>
    </row>
    <row r="35" spans="1:25" s="508" customFormat="1" ht="30.5">
      <c r="A35" s="360"/>
      <c r="B35" s="511" t="str">
        <f>+i.04108!C32</f>
        <v>тамга тэмдэг</v>
      </c>
      <c r="C35" s="512"/>
      <c r="D35" s="512"/>
      <c r="E35" s="512"/>
      <c r="F35" s="512"/>
      <c r="G35" s="512"/>
      <c r="H35" s="512"/>
      <c r="I35" s="512"/>
      <c r="J35" s="512"/>
      <c r="K35" s="512"/>
      <c r="L35" s="360"/>
      <c r="M35" s="360"/>
      <c r="N35" s="360"/>
      <c r="O35" s="360"/>
    </row>
    <row r="36" spans="1:25" s="506" customFormat="1" ht="30.5">
      <c r="A36" s="360"/>
      <c r="B36" s="512"/>
      <c r="C36" s="512"/>
      <c r="D36" s="512"/>
      <c r="E36" s="512"/>
      <c r="F36" s="512"/>
      <c r="G36" s="512"/>
      <c r="H36" s="512"/>
      <c r="I36" s="512"/>
      <c r="J36" s="512"/>
      <c r="K36" s="512"/>
      <c r="L36" s="360"/>
      <c r="M36" s="360"/>
      <c r="N36" s="360"/>
      <c r="O36" s="360"/>
      <c r="P36" s="507"/>
      <c r="Q36" s="507"/>
      <c r="R36" s="507"/>
      <c r="S36" s="507"/>
      <c r="T36" s="507"/>
      <c r="U36" s="507"/>
    </row>
    <row r="37" spans="1:25" s="506" customFormat="1" ht="30.5">
      <c r="A37" s="361"/>
      <c r="B37" s="512" t="str">
        <f>+i.04108!C34</f>
        <v xml:space="preserve">ТАЙЛАН ГАРГАСАН:    </v>
      </c>
      <c r="C37" s="512"/>
      <c r="D37" s="512"/>
      <c r="E37" s="512"/>
      <c r="F37" s="512"/>
      <c r="G37" s="512"/>
      <c r="H37" s="512"/>
      <c r="I37" s="513"/>
      <c r="J37" s="513"/>
      <c r="K37" s="513"/>
      <c r="L37" s="361"/>
      <c r="M37" s="361"/>
      <c r="N37" s="361"/>
      <c r="O37" s="361"/>
      <c r="P37" s="507"/>
      <c r="Q37" s="507"/>
      <c r="R37" s="507"/>
      <c r="S37" s="507"/>
      <c r="T37" s="507"/>
      <c r="U37" s="507"/>
    </row>
    <row r="38" spans="1:25" s="506" customFormat="1" ht="30.5">
      <c r="A38" s="360"/>
      <c r="B38" s="512"/>
      <c r="C38" s="512"/>
      <c r="D38" s="512"/>
      <c r="E38" s="512"/>
      <c r="F38" s="512"/>
      <c r="G38" s="512"/>
      <c r="H38" s="512"/>
      <c r="I38" s="512"/>
      <c r="J38" s="512"/>
      <c r="K38" s="512"/>
      <c r="L38" s="360"/>
      <c r="M38" s="360"/>
      <c r="N38" s="360"/>
      <c r="O38" s="360"/>
      <c r="P38" s="507"/>
      <c r="Q38" s="507"/>
      <c r="R38" s="507"/>
      <c r="S38" s="507"/>
      <c r="T38" s="507"/>
      <c r="U38" s="507"/>
    </row>
    <row r="39" spans="1:25" s="506" customFormat="1" ht="30.5">
      <c r="A39" s="360"/>
      <c r="B39" s="512" t="str">
        <f>+i.04108!C36</f>
        <v xml:space="preserve"> Гүйцэтгэх захирал</v>
      </c>
      <c r="C39" s="514"/>
      <c r="D39" s="514"/>
      <c r="E39" s="514"/>
      <c r="F39" s="514"/>
      <c r="G39" s="512" t="str">
        <f>+i.04108!D36</f>
        <v xml:space="preserve">/................................../   </v>
      </c>
      <c r="H39" s="512"/>
      <c r="I39" s="514"/>
      <c r="J39" s="512" t="str">
        <f>+i.04108!F36</f>
        <v>/................................./</v>
      </c>
      <c r="K39" s="512"/>
      <c r="L39" s="360"/>
      <c r="M39" s="360"/>
      <c r="N39" s="360"/>
      <c r="O39" s="360"/>
      <c r="P39" s="507"/>
      <c r="Q39" s="507"/>
      <c r="R39" s="507"/>
      <c r="S39" s="507"/>
      <c r="T39" s="507"/>
      <c r="U39" s="507"/>
    </row>
    <row r="40" spans="1:25" s="506" customFormat="1" ht="30.5">
      <c r="A40" s="509"/>
      <c r="B40" s="512"/>
      <c r="C40" s="514"/>
      <c r="D40" s="514"/>
      <c r="E40" s="514"/>
      <c r="F40" s="514"/>
      <c r="G40" s="512"/>
      <c r="H40" s="512"/>
      <c r="I40" s="514"/>
      <c r="J40" s="512"/>
      <c r="K40" s="515"/>
      <c r="L40" s="507"/>
      <c r="M40" s="507"/>
      <c r="N40" s="507"/>
      <c r="O40" s="507"/>
      <c r="P40" s="507"/>
      <c r="Q40" s="507"/>
      <c r="R40" s="507"/>
      <c r="S40" s="507"/>
      <c r="T40" s="507"/>
      <c r="U40" s="507"/>
    </row>
    <row r="41" spans="1:25" ht="30.5">
      <c r="A41" s="507"/>
      <c r="B41" s="512" t="str">
        <f>+i.04108!C38</f>
        <v xml:space="preserve"> Ерөнхий нягтлан бодогч  </v>
      </c>
      <c r="C41" s="513"/>
      <c r="D41" s="513"/>
      <c r="E41" s="512"/>
      <c r="F41" s="512"/>
      <c r="G41" s="512" t="str">
        <f>+i.04108!D38</f>
        <v xml:space="preserve">/.................................../   </v>
      </c>
      <c r="H41" s="512"/>
      <c r="I41" s="512"/>
      <c r="J41" s="512" t="str">
        <f>+i.04108!F38</f>
        <v>/................................/</v>
      </c>
      <c r="K41" s="515"/>
      <c r="L41" s="507"/>
      <c r="M41" s="507"/>
      <c r="N41" s="507"/>
      <c r="O41" s="507"/>
      <c r="P41" s="507"/>
      <c r="Q41" s="507"/>
      <c r="R41" s="507"/>
      <c r="S41" s="507"/>
      <c r="T41" s="507"/>
      <c r="U41" s="507"/>
      <c r="V41" s="507"/>
      <c r="W41" s="507"/>
      <c r="X41" s="507"/>
      <c r="Y41" s="507"/>
    </row>
    <row r="42" spans="1:25" ht="30.5">
      <c r="A42" s="507"/>
      <c r="B42" s="512"/>
      <c r="C42" s="513"/>
      <c r="D42" s="513"/>
      <c r="E42" s="512"/>
      <c r="F42" s="512"/>
      <c r="G42" s="512"/>
      <c r="H42" s="512"/>
      <c r="I42" s="512"/>
      <c r="J42" s="512"/>
      <c r="K42" s="515"/>
      <c r="L42" s="507"/>
      <c r="M42" s="507"/>
      <c r="N42" s="507"/>
      <c r="O42" s="507"/>
      <c r="P42" s="507"/>
      <c r="Q42" s="507"/>
      <c r="R42" s="507"/>
      <c r="S42" s="507"/>
      <c r="T42" s="507"/>
      <c r="U42" s="507"/>
      <c r="V42" s="510"/>
      <c r="W42" s="510"/>
      <c r="X42" s="510"/>
      <c r="Y42" s="507"/>
    </row>
    <row r="43" spans="1:25" ht="30.5">
      <c r="A43" s="507"/>
      <c r="B43" s="512" t="str">
        <f>+i.04108!C40</f>
        <v>...................................................</v>
      </c>
      <c r="C43" s="513"/>
      <c r="D43" s="513"/>
      <c r="E43" s="512"/>
      <c r="F43" s="512"/>
      <c r="G43" s="512" t="str">
        <f>+i.04108!D40</f>
        <v xml:space="preserve">/................................../   </v>
      </c>
      <c r="H43" s="512"/>
      <c r="I43" s="512"/>
      <c r="J43" s="512" t="str">
        <f>+i.04108!F40</f>
        <v>/................................/</v>
      </c>
      <c r="K43" s="515"/>
      <c r="L43" s="507"/>
      <c r="M43" s="507"/>
      <c r="N43" s="507"/>
      <c r="O43" s="507"/>
      <c r="P43" s="507"/>
      <c r="Q43" s="507"/>
      <c r="R43" s="507"/>
      <c r="S43" s="507"/>
      <c r="T43" s="507"/>
      <c r="U43" s="507"/>
      <c r="V43" s="510"/>
      <c r="W43" s="510"/>
      <c r="X43" s="510"/>
      <c r="Y43" s="507"/>
    </row>
    <row r="44" spans="1:25">
      <c r="A44" s="507"/>
      <c r="B44" s="360"/>
      <c r="E44" s="507"/>
      <c r="F44" s="510"/>
      <c r="G44" s="510"/>
      <c r="H44" s="507"/>
      <c r="J44" s="507"/>
      <c r="K44" s="507"/>
      <c r="L44" s="507"/>
      <c r="M44" s="507"/>
      <c r="N44" s="507"/>
      <c r="O44" s="507"/>
      <c r="P44" s="507"/>
      <c r="Q44" s="507"/>
      <c r="R44" s="507"/>
      <c r="S44" s="507"/>
      <c r="T44" s="507"/>
      <c r="U44" s="507"/>
      <c r="V44" s="510"/>
      <c r="W44" s="510"/>
      <c r="X44" s="510"/>
      <c r="Y44" s="507"/>
    </row>
    <row r="45" spans="1:25">
      <c r="A45" s="507"/>
      <c r="B45" s="360"/>
      <c r="E45" s="507"/>
      <c r="F45" s="510"/>
      <c r="G45" s="510"/>
      <c r="H45" s="507"/>
      <c r="I45" s="507"/>
      <c r="J45" s="507"/>
      <c r="K45" s="507"/>
      <c r="L45" s="507"/>
      <c r="M45" s="507"/>
      <c r="N45" s="507"/>
      <c r="O45" s="507"/>
      <c r="P45" s="507"/>
      <c r="Q45" s="507"/>
      <c r="R45" s="507"/>
      <c r="S45" s="507"/>
      <c r="T45" s="507"/>
      <c r="U45" s="507"/>
      <c r="V45" s="510"/>
      <c r="W45" s="510"/>
      <c r="X45" s="510"/>
      <c r="Y45" s="507"/>
    </row>
    <row r="46" spans="1:25">
      <c r="A46" s="507"/>
      <c r="E46" s="507"/>
      <c r="F46" s="510"/>
      <c r="G46" s="510"/>
      <c r="H46" s="507"/>
      <c r="I46" s="507"/>
      <c r="J46" s="507"/>
      <c r="K46" s="507"/>
      <c r="L46" s="507"/>
      <c r="M46" s="507"/>
      <c r="N46" s="507"/>
      <c r="O46" s="507"/>
      <c r="P46" s="507"/>
      <c r="Q46" s="507"/>
      <c r="R46" s="507"/>
      <c r="S46" s="507"/>
      <c r="T46" s="507"/>
      <c r="U46" s="507"/>
      <c r="V46" s="510"/>
      <c r="W46" s="510"/>
      <c r="X46" s="510"/>
      <c r="Y46" s="507"/>
    </row>
    <row r="47" spans="1:25">
      <c r="A47" s="507"/>
      <c r="E47" s="507"/>
      <c r="F47" s="510"/>
      <c r="G47" s="510"/>
      <c r="H47" s="507"/>
      <c r="I47" s="507"/>
      <c r="J47" s="507"/>
      <c r="K47" s="507"/>
      <c r="L47" s="507"/>
      <c r="M47" s="507"/>
      <c r="N47" s="507"/>
      <c r="O47" s="507"/>
      <c r="P47" s="507"/>
      <c r="Q47" s="507"/>
      <c r="R47" s="507"/>
      <c r="S47" s="507"/>
      <c r="T47" s="507"/>
      <c r="U47" s="507"/>
      <c r="V47" s="510"/>
      <c r="W47" s="510"/>
      <c r="X47" s="510"/>
      <c r="Y47" s="507"/>
    </row>
    <row r="48" spans="1:25">
      <c r="A48" s="507"/>
      <c r="E48" s="507"/>
      <c r="F48" s="510"/>
      <c r="G48" s="510"/>
      <c r="H48" s="507"/>
      <c r="I48" s="507"/>
      <c r="J48" s="507"/>
      <c r="K48" s="507"/>
      <c r="L48" s="507"/>
      <c r="M48" s="507"/>
      <c r="N48" s="507"/>
      <c r="O48" s="507"/>
      <c r="P48" s="507"/>
      <c r="Q48" s="507"/>
      <c r="R48" s="507"/>
      <c r="S48" s="507"/>
      <c r="T48" s="507"/>
      <c r="U48" s="507"/>
      <c r="V48" s="510"/>
      <c r="W48" s="510"/>
      <c r="X48" s="510"/>
      <c r="Y48" s="507"/>
    </row>
    <row r="49" spans="1:25">
      <c r="A49" s="507"/>
      <c r="E49" s="507"/>
      <c r="F49" s="510"/>
      <c r="G49" s="510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S49" s="507"/>
      <c r="T49" s="507"/>
      <c r="U49" s="507"/>
      <c r="V49" s="510"/>
      <c r="W49" s="510"/>
      <c r="X49" s="510"/>
      <c r="Y49" s="507"/>
    </row>
    <row r="50" spans="1:25">
      <c r="A50" s="507"/>
      <c r="E50" s="507"/>
      <c r="F50" s="510"/>
      <c r="G50" s="510"/>
      <c r="H50" s="507"/>
      <c r="I50" s="507"/>
      <c r="J50" s="507"/>
      <c r="K50" s="507"/>
      <c r="L50" s="507"/>
      <c r="M50" s="507"/>
      <c r="N50" s="507"/>
      <c r="O50" s="507"/>
      <c r="P50" s="507"/>
      <c r="Q50" s="507"/>
      <c r="R50" s="507"/>
      <c r="S50" s="507"/>
      <c r="T50" s="507"/>
      <c r="U50" s="507"/>
      <c r="V50" s="510"/>
      <c r="W50" s="510"/>
      <c r="X50" s="510"/>
      <c r="Y50" s="507"/>
    </row>
    <row r="51" spans="1:25">
      <c r="A51" s="507"/>
      <c r="E51" s="507"/>
      <c r="F51" s="510"/>
      <c r="G51" s="510"/>
      <c r="H51" s="507"/>
      <c r="I51" s="507"/>
      <c r="J51" s="507"/>
      <c r="K51" s="507"/>
      <c r="L51" s="507"/>
      <c r="M51" s="507"/>
      <c r="N51" s="507"/>
      <c r="O51" s="507"/>
      <c r="P51" s="507"/>
      <c r="Q51" s="507"/>
      <c r="R51" s="507"/>
      <c r="S51" s="507"/>
      <c r="T51" s="507"/>
      <c r="U51" s="507"/>
      <c r="V51" s="510"/>
      <c r="W51" s="510"/>
      <c r="X51" s="510"/>
      <c r="Y51" s="507"/>
    </row>
    <row r="52" spans="1:25">
      <c r="A52" s="507"/>
      <c r="E52" s="507"/>
      <c r="F52" s="510"/>
      <c r="G52" s="510"/>
      <c r="H52" s="507"/>
      <c r="I52" s="507"/>
      <c r="J52" s="507"/>
      <c r="K52" s="507"/>
      <c r="L52" s="507"/>
      <c r="M52" s="507"/>
      <c r="N52" s="507"/>
      <c r="O52" s="507"/>
      <c r="P52" s="507"/>
      <c r="Q52" s="507"/>
      <c r="R52" s="507"/>
      <c r="S52" s="507"/>
      <c r="T52" s="507"/>
      <c r="U52" s="507"/>
      <c r="V52" s="510"/>
      <c r="W52" s="510"/>
      <c r="X52" s="510"/>
      <c r="Y52" s="507"/>
    </row>
    <row r="53" spans="1:25">
      <c r="A53" s="507"/>
      <c r="E53" s="507"/>
      <c r="F53" s="510"/>
      <c r="G53" s="510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10"/>
      <c r="W53" s="510"/>
      <c r="X53" s="510"/>
      <c r="Y53" s="507"/>
    </row>
    <row r="54" spans="1:25">
      <c r="A54" s="507"/>
      <c r="E54" s="507"/>
      <c r="F54" s="510"/>
      <c r="G54" s="510"/>
      <c r="H54" s="507"/>
      <c r="I54" s="507"/>
      <c r="J54" s="507"/>
      <c r="K54" s="507"/>
      <c r="L54" s="507"/>
      <c r="M54" s="507"/>
      <c r="N54" s="507"/>
      <c r="O54" s="507"/>
      <c r="P54" s="507"/>
      <c r="Q54" s="507"/>
      <c r="R54" s="507"/>
      <c r="S54" s="507"/>
      <c r="T54" s="507"/>
      <c r="U54" s="507"/>
      <c r="V54" s="510"/>
      <c r="W54" s="510"/>
      <c r="X54" s="510"/>
      <c r="Y54" s="507"/>
    </row>
    <row r="55" spans="1:25">
      <c r="A55" s="507"/>
      <c r="E55" s="507"/>
      <c r="F55" s="510"/>
      <c r="G55" s="510"/>
      <c r="H55" s="507"/>
      <c r="I55" s="507"/>
      <c r="J55" s="507"/>
      <c r="K55" s="507"/>
      <c r="L55" s="507"/>
      <c r="M55" s="507"/>
      <c r="N55" s="507"/>
      <c r="O55" s="507"/>
      <c r="P55" s="507"/>
      <c r="Q55" s="507"/>
      <c r="R55" s="507"/>
      <c r="S55" s="507"/>
      <c r="T55" s="507"/>
      <c r="U55" s="507"/>
      <c r="V55" s="510"/>
      <c r="W55" s="510"/>
      <c r="X55" s="510"/>
      <c r="Y55" s="507"/>
    </row>
    <row r="56" spans="1:25">
      <c r="A56" s="507"/>
      <c r="E56" s="507"/>
      <c r="F56" s="510"/>
      <c r="G56" s="510"/>
      <c r="H56" s="507"/>
      <c r="I56" s="507"/>
      <c r="J56" s="507"/>
      <c r="K56" s="507"/>
      <c r="L56" s="507"/>
      <c r="M56" s="507"/>
      <c r="N56" s="507"/>
      <c r="O56" s="507"/>
      <c r="P56" s="507"/>
      <c r="Q56" s="507"/>
      <c r="R56" s="507"/>
      <c r="S56" s="507"/>
      <c r="T56" s="507"/>
      <c r="U56" s="507"/>
      <c r="V56" s="510"/>
      <c r="W56" s="510"/>
      <c r="X56" s="510"/>
      <c r="Y56" s="507"/>
    </row>
    <row r="57" spans="1:25">
      <c r="A57" s="507"/>
      <c r="E57" s="507"/>
      <c r="F57" s="510"/>
      <c r="G57" s="510"/>
      <c r="H57" s="507"/>
      <c r="I57" s="507"/>
      <c r="J57" s="507"/>
      <c r="K57" s="507"/>
      <c r="L57" s="507"/>
      <c r="M57" s="507"/>
      <c r="N57" s="507"/>
      <c r="O57" s="507"/>
      <c r="P57" s="507"/>
      <c r="Q57" s="507"/>
      <c r="R57" s="507"/>
      <c r="S57" s="507"/>
      <c r="T57" s="507"/>
      <c r="U57" s="507"/>
      <c r="V57" s="510"/>
      <c r="W57" s="510"/>
      <c r="X57" s="510"/>
      <c r="Y57" s="507"/>
    </row>
    <row r="58" spans="1:25">
      <c r="A58" s="507"/>
      <c r="E58" s="507"/>
      <c r="F58" s="510"/>
      <c r="G58" s="510"/>
      <c r="H58" s="507"/>
      <c r="I58" s="507"/>
      <c r="J58" s="507"/>
      <c r="K58" s="507"/>
      <c r="L58" s="507"/>
      <c r="M58" s="507"/>
      <c r="N58" s="507"/>
      <c r="O58" s="507"/>
      <c r="P58" s="507"/>
      <c r="Q58" s="507"/>
      <c r="R58" s="507"/>
      <c r="S58" s="507"/>
      <c r="T58" s="507"/>
      <c r="U58" s="507"/>
      <c r="V58" s="510"/>
      <c r="W58" s="510"/>
      <c r="X58" s="510"/>
      <c r="Y58" s="507"/>
    </row>
    <row r="59" spans="1:25">
      <c r="A59" s="507"/>
      <c r="E59" s="507"/>
      <c r="F59" s="510"/>
      <c r="G59" s="510"/>
      <c r="H59" s="507"/>
      <c r="I59" s="507"/>
      <c r="J59" s="507"/>
      <c r="K59" s="507"/>
      <c r="L59" s="507"/>
      <c r="M59" s="507"/>
      <c r="N59" s="507"/>
      <c r="O59" s="507"/>
      <c r="P59" s="507"/>
      <c r="Q59" s="507"/>
      <c r="R59" s="507"/>
      <c r="S59" s="507"/>
      <c r="T59" s="507"/>
      <c r="U59" s="507"/>
      <c r="V59" s="510"/>
      <c r="W59" s="510"/>
      <c r="X59" s="510"/>
      <c r="Y59" s="507"/>
    </row>
    <row r="60" spans="1:25">
      <c r="A60" s="507"/>
      <c r="E60" s="507"/>
      <c r="F60" s="510"/>
      <c r="G60" s="510"/>
      <c r="H60" s="507"/>
      <c r="I60" s="507"/>
      <c r="J60" s="507"/>
      <c r="K60" s="507"/>
      <c r="L60" s="507"/>
      <c r="M60" s="507"/>
      <c r="N60" s="507"/>
      <c r="O60" s="507"/>
      <c r="P60" s="507"/>
      <c r="Q60" s="507"/>
      <c r="R60" s="507"/>
      <c r="S60" s="507"/>
      <c r="T60" s="507"/>
      <c r="U60" s="507"/>
      <c r="V60" s="510"/>
      <c r="W60" s="510"/>
      <c r="X60" s="510"/>
      <c r="Y60" s="507"/>
    </row>
    <row r="61" spans="1:25">
      <c r="A61" s="507"/>
      <c r="E61" s="507"/>
      <c r="F61" s="510"/>
      <c r="G61" s="510"/>
      <c r="H61" s="507"/>
      <c r="I61" s="507"/>
      <c r="J61" s="507"/>
      <c r="K61" s="507"/>
      <c r="L61" s="507"/>
      <c r="M61" s="507"/>
      <c r="N61" s="507"/>
      <c r="O61" s="507"/>
      <c r="P61" s="507"/>
      <c r="Q61" s="507"/>
      <c r="R61" s="507"/>
      <c r="S61" s="507"/>
      <c r="T61" s="507"/>
      <c r="U61" s="507"/>
      <c r="V61" s="510"/>
      <c r="W61" s="510"/>
      <c r="X61" s="510"/>
      <c r="Y61" s="507"/>
    </row>
    <row r="62" spans="1:25">
      <c r="A62" s="507"/>
      <c r="E62" s="507"/>
      <c r="F62" s="510"/>
      <c r="G62" s="510"/>
      <c r="H62" s="507"/>
      <c r="I62" s="507"/>
      <c r="J62" s="507"/>
      <c r="K62" s="507"/>
      <c r="L62" s="507"/>
      <c r="M62" s="507"/>
      <c r="N62" s="507"/>
      <c r="O62" s="507"/>
      <c r="P62" s="507"/>
      <c r="Q62" s="507"/>
      <c r="R62" s="507"/>
      <c r="S62" s="507"/>
      <c r="T62" s="507"/>
      <c r="U62" s="507"/>
      <c r="V62" s="510"/>
      <c r="W62" s="510"/>
      <c r="X62" s="510"/>
      <c r="Y62" s="507"/>
    </row>
    <row r="63" spans="1:25">
      <c r="A63" s="507"/>
      <c r="E63" s="507"/>
      <c r="F63" s="510"/>
      <c r="G63" s="510"/>
      <c r="H63" s="507"/>
      <c r="I63" s="507"/>
      <c r="J63" s="507"/>
      <c r="K63" s="507"/>
      <c r="L63" s="507"/>
      <c r="M63" s="507"/>
      <c r="N63" s="507"/>
      <c r="O63" s="507"/>
      <c r="P63" s="507"/>
      <c r="Q63" s="507"/>
      <c r="R63" s="507"/>
      <c r="S63" s="507"/>
      <c r="T63" s="507"/>
      <c r="U63" s="507"/>
      <c r="V63" s="510"/>
      <c r="W63" s="510"/>
      <c r="X63" s="510"/>
      <c r="Y63" s="507"/>
    </row>
    <row r="64" spans="1:25">
      <c r="A64" s="507"/>
      <c r="E64" s="507"/>
      <c r="F64" s="510"/>
      <c r="G64" s="510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10"/>
      <c r="W64" s="510"/>
      <c r="X64" s="510"/>
      <c r="Y64" s="507"/>
    </row>
    <row r="65" spans="1:25">
      <c r="A65" s="507"/>
      <c r="E65" s="507"/>
      <c r="F65" s="510"/>
      <c r="G65" s="510"/>
      <c r="H65" s="507"/>
      <c r="I65" s="507"/>
      <c r="J65" s="507"/>
      <c r="K65" s="507"/>
      <c r="L65" s="507"/>
      <c r="M65" s="507"/>
      <c r="N65" s="507"/>
      <c r="O65" s="507"/>
      <c r="P65" s="507"/>
      <c r="Q65" s="507"/>
      <c r="R65" s="507"/>
      <c r="S65" s="507"/>
      <c r="T65" s="507"/>
      <c r="U65" s="507"/>
      <c r="V65" s="510"/>
      <c r="W65" s="510"/>
      <c r="X65" s="510"/>
      <c r="Y65" s="507"/>
    </row>
    <row r="66" spans="1:25">
      <c r="A66" s="507"/>
      <c r="E66" s="507"/>
      <c r="F66" s="510"/>
      <c r="G66" s="510"/>
      <c r="H66" s="507"/>
      <c r="I66" s="507"/>
      <c r="J66" s="507"/>
      <c r="K66" s="507"/>
      <c r="L66" s="507"/>
      <c r="M66" s="507"/>
      <c r="N66" s="507"/>
      <c r="O66" s="507"/>
      <c r="P66" s="507"/>
      <c r="Q66" s="507"/>
      <c r="R66" s="507"/>
      <c r="S66" s="507"/>
      <c r="T66" s="507"/>
      <c r="U66" s="507"/>
      <c r="V66" s="510"/>
      <c r="W66" s="510"/>
      <c r="X66" s="510"/>
      <c r="Y66" s="507"/>
    </row>
    <row r="67" spans="1:25">
      <c r="A67" s="507"/>
      <c r="E67" s="507"/>
      <c r="F67" s="510"/>
      <c r="G67" s="510"/>
      <c r="H67" s="507"/>
      <c r="I67" s="507"/>
      <c r="J67" s="507"/>
      <c r="K67" s="507"/>
      <c r="L67" s="507"/>
      <c r="M67" s="507"/>
      <c r="N67" s="507"/>
      <c r="O67" s="507"/>
      <c r="P67" s="507"/>
      <c r="Q67" s="507"/>
      <c r="R67" s="507"/>
      <c r="S67" s="507"/>
      <c r="T67" s="507"/>
      <c r="U67" s="507"/>
      <c r="V67" s="510"/>
      <c r="W67" s="510"/>
      <c r="X67" s="510"/>
      <c r="Y67" s="507"/>
    </row>
    <row r="68" spans="1:25">
      <c r="A68" s="507"/>
      <c r="E68" s="507"/>
      <c r="F68" s="510"/>
      <c r="G68" s="510"/>
      <c r="H68" s="507"/>
      <c r="I68" s="507"/>
      <c r="J68" s="507"/>
      <c r="K68" s="507"/>
      <c r="L68" s="507"/>
      <c r="M68" s="507"/>
      <c r="N68" s="507"/>
      <c r="O68" s="507"/>
      <c r="P68" s="507"/>
      <c r="Q68" s="507"/>
      <c r="R68" s="507"/>
      <c r="S68" s="507"/>
      <c r="T68" s="507"/>
      <c r="U68" s="507"/>
      <c r="V68" s="510"/>
      <c r="W68" s="510"/>
      <c r="X68" s="510"/>
      <c r="Y68" s="507"/>
    </row>
    <row r="69" spans="1:25">
      <c r="A69" s="507"/>
      <c r="E69" s="507"/>
      <c r="F69" s="510"/>
      <c r="G69" s="510"/>
      <c r="H69" s="507"/>
      <c r="I69" s="507"/>
      <c r="J69" s="507"/>
      <c r="K69" s="507"/>
      <c r="L69" s="507"/>
      <c r="M69" s="507"/>
      <c r="N69" s="507"/>
      <c r="O69" s="507"/>
      <c r="P69" s="507"/>
      <c r="Q69" s="507"/>
      <c r="R69" s="507"/>
      <c r="S69" s="507"/>
      <c r="T69" s="507"/>
      <c r="U69" s="507"/>
      <c r="V69" s="510"/>
      <c r="W69" s="510"/>
      <c r="X69" s="510"/>
      <c r="Y69" s="507"/>
    </row>
    <row r="70" spans="1:25">
      <c r="A70" s="507"/>
      <c r="E70" s="507"/>
      <c r="F70" s="510"/>
      <c r="G70" s="510"/>
      <c r="H70" s="507"/>
      <c r="I70" s="507"/>
      <c r="J70" s="507"/>
      <c r="K70" s="507"/>
      <c r="L70" s="507"/>
      <c r="M70" s="507"/>
      <c r="N70" s="507"/>
      <c r="O70" s="507"/>
      <c r="P70" s="507"/>
      <c r="Q70" s="507"/>
      <c r="R70" s="507"/>
      <c r="S70" s="507"/>
      <c r="T70" s="507"/>
      <c r="U70" s="507"/>
      <c r="V70" s="510"/>
      <c r="W70" s="510"/>
      <c r="X70" s="510"/>
      <c r="Y70" s="507"/>
    </row>
    <row r="71" spans="1:25">
      <c r="A71" s="507"/>
      <c r="E71" s="507"/>
      <c r="F71" s="510"/>
      <c r="G71" s="510"/>
      <c r="H71" s="507"/>
      <c r="I71" s="507"/>
      <c r="J71" s="507"/>
      <c r="K71" s="507"/>
      <c r="L71" s="507"/>
      <c r="M71" s="507"/>
      <c r="N71" s="507"/>
      <c r="O71" s="507"/>
      <c r="P71" s="507"/>
      <c r="Q71" s="507"/>
      <c r="R71" s="507"/>
      <c r="S71" s="507"/>
      <c r="T71" s="507"/>
      <c r="U71" s="507"/>
      <c r="V71" s="510"/>
      <c r="W71" s="510"/>
      <c r="X71" s="510"/>
      <c r="Y71" s="507"/>
    </row>
    <row r="72" spans="1:25">
      <c r="A72" s="507"/>
      <c r="E72" s="507"/>
      <c r="F72" s="510"/>
      <c r="G72" s="510"/>
      <c r="H72" s="507"/>
      <c r="I72" s="507"/>
      <c r="J72" s="507"/>
      <c r="K72" s="507"/>
      <c r="L72" s="507"/>
      <c r="M72" s="507"/>
      <c r="N72" s="507"/>
      <c r="O72" s="507"/>
      <c r="P72" s="507"/>
      <c r="Q72" s="507"/>
      <c r="R72" s="507"/>
      <c r="S72" s="507"/>
      <c r="T72" s="507"/>
      <c r="U72" s="507"/>
      <c r="V72" s="510"/>
      <c r="W72" s="510"/>
      <c r="X72" s="510"/>
      <c r="Y72" s="507"/>
    </row>
    <row r="73" spans="1:25">
      <c r="A73" s="507"/>
      <c r="E73" s="507"/>
      <c r="F73" s="510"/>
      <c r="G73" s="510"/>
      <c r="H73" s="507"/>
      <c r="I73" s="507"/>
      <c r="J73" s="507"/>
      <c r="K73" s="507"/>
      <c r="L73" s="507"/>
      <c r="M73" s="507"/>
      <c r="N73" s="507"/>
      <c r="O73" s="507"/>
      <c r="P73" s="507"/>
      <c r="Q73" s="507"/>
      <c r="R73" s="507"/>
      <c r="S73" s="507"/>
      <c r="T73" s="507"/>
      <c r="U73" s="507"/>
      <c r="V73" s="510"/>
      <c r="W73" s="510"/>
      <c r="X73" s="510"/>
      <c r="Y73" s="507"/>
    </row>
    <row r="74" spans="1:25">
      <c r="A74" s="507"/>
      <c r="E74" s="507"/>
      <c r="F74" s="510"/>
      <c r="G74" s="510"/>
      <c r="H74" s="507"/>
      <c r="I74" s="507"/>
      <c r="J74" s="507"/>
      <c r="K74" s="507"/>
      <c r="L74" s="507"/>
      <c r="M74" s="507"/>
      <c r="N74" s="507"/>
      <c r="O74" s="507"/>
      <c r="P74" s="507"/>
      <c r="Q74" s="507"/>
      <c r="R74" s="507"/>
      <c r="S74" s="507"/>
      <c r="T74" s="507"/>
      <c r="U74" s="507"/>
      <c r="V74" s="510"/>
      <c r="W74" s="510"/>
      <c r="X74" s="510"/>
      <c r="Y74" s="507"/>
    </row>
    <row r="75" spans="1:25">
      <c r="A75" s="507"/>
      <c r="E75" s="507"/>
      <c r="F75" s="510"/>
      <c r="G75" s="510"/>
      <c r="H75" s="507"/>
      <c r="I75" s="507"/>
      <c r="J75" s="507"/>
      <c r="K75" s="507"/>
      <c r="L75" s="507"/>
      <c r="M75" s="507"/>
      <c r="N75" s="507"/>
      <c r="O75" s="507"/>
      <c r="P75" s="507"/>
      <c r="Q75" s="507"/>
      <c r="R75" s="507"/>
      <c r="S75" s="507"/>
      <c r="T75" s="507"/>
      <c r="U75" s="507"/>
      <c r="V75" s="510"/>
      <c r="W75" s="510"/>
      <c r="X75" s="510"/>
      <c r="Y75" s="507"/>
    </row>
    <row r="76" spans="1:25">
      <c r="A76" s="507"/>
      <c r="E76" s="507"/>
      <c r="F76" s="510"/>
      <c r="G76" s="510"/>
      <c r="H76" s="507"/>
      <c r="I76" s="507"/>
      <c r="J76" s="507"/>
      <c r="K76" s="507"/>
      <c r="L76" s="507"/>
      <c r="M76" s="507"/>
      <c r="N76" s="507"/>
      <c r="O76" s="507"/>
      <c r="P76" s="507"/>
      <c r="Q76" s="507"/>
      <c r="R76" s="507"/>
      <c r="S76" s="507"/>
      <c r="T76" s="507"/>
      <c r="U76" s="507"/>
      <c r="V76" s="510"/>
      <c r="W76" s="510"/>
      <c r="X76" s="510"/>
      <c r="Y76" s="507"/>
    </row>
    <row r="77" spans="1:25">
      <c r="A77" s="507"/>
      <c r="E77" s="507"/>
      <c r="F77" s="510"/>
      <c r="G77" s="510"/>
      <c r="H77" s="507"/>
      <c r="I77" s="507"/>
      <c r="J77" s="507"/>
      <c r="K77" s="507"/>
      <c r="L77" s="507"/>
      <c r="M77" s="507"/>
      <c r="N77" s="507"/>
      <c r="O77" s="507"/>
      <c r="P77" s="507"/>
      <c r="Q77" s="507"/>
      <c r="R77" s="507"/>
      <c r="S77" s="507"/>
      <c r="T77" s="507"/>
      <c r="U77" s="507"/>
      <c r="V77" s="510"/>
      <c r="W77" s="510"/>
      <c r="X77" s="510"/>
      <c r="Y77" s="507"/>
    </row>
    <row r="78" spans="1:25">
      <c r="A78" s="507"/>
      <c r="E78" s="507"/>
      <c r="F78" s="510"/>
      <c r="G78" s="510"/>
      <c r="H78" s="507"/>
      <c r="I78" s="507"/>
      <c r="J78" s="507"/>
      <c r="K78" s="507"/>
      <c r="L78" s="507"/>
      <c r="M78" s="507"/>
      <c r="N78" s="507"/>
      <c r="O78" s="507"/>
      <c r="P78" s="507"/>
      <c r="Q78" s="507"/>
      <c r="R78" s="507"/>
      <c r="S78" s="507"/>
      <c r="T78" s="507"/>
      <c r="U78" s="507"/>
      <c r="V78" s="510"/>
      <c r="W78" s="510"/>
      <c r="X78" s="510"/>
      <c r="Y78" s="507"/>
    </row>
    <row r="79" spans="1:25">
      <c r="A79" s="507"/>
      <c r="E79" s="507"/>
      <c r="F79" s="510"/>
      <c r="G79" s="510"/>
      <c r="H79" s="507"/>
      <c r="I79" s="507"/>
      <c r="J79" s="507"/>
      <c r="K79" s="507"/>
      <c r="L79" s="507"/>
      <c r="M79" s="507"/>
      <c r="N79" s="507"/>
      <c r="O79" s="507"/>
      <c r="P79" s="507"/>
      <c r="Q79" s="507"/>
      <c r="R79" s="507"/>
      <c r="S79" s="507"/>
      <c r="T79" s="507"/>
      <c r="U79" s="507"/>
      <c r="V79" s="510"/>
      <c r="W79" s="510"/>
      <c r="X79" s="510"/>
      <c r="Y79" s="507"/>
    </row>
    <row r="80" spans="1:25">
      <c r="A80" s="507"/>
      <c r="E80" s="507"/>
      <c r="F80" s="510"/>
      <c r="G80" s="510"/>
      <c r="H80" s="507"/>
      <c r="I80" s="507"/>
      <c r="J80" s="507"/>
      <c r="K80" s="507"/>
      <c r="L80" s="507"/>
      <c r="M80" s="507"/>
      <c r="N80" s="507"/>
      <c r="O80" s="507"/>
      <c r="P80" s="507"/>
      <c r="Q80" s="507"/>
      <c r="R80" s="507"/>
      <c r="S80" s="507"/>
      <c r="T80" s="507"/>
      <c r="U80" s="507"/>
      <c r="V80" s="510"/>
      <c r="W80" s="510"/>
      <c r="X80" s="510"/>
      <c r="Y80" s="507"/>
    </row>
    <row r="81" spans="1:25">
      <c r="A81" s="507"/>
      <c r="E81" s="507"/>
      <c r="F81" s="510"/>
      <c r="G81" s="510"/>
      <c r="H81" s="507"/>
      <c r="I81" s="507"/>
      <c r="J81" s="507"/>
      <c r="K81" s="507"/>
      <c r="L81" s="507"/>
      <c r="M81" s="507"/>
      <c r="N81" s="507"/>
      <c r="O81" s="507"/>
      <c r="P81" s="507"/>
      <c r="Q81" s="507"/>
      <c r="R81" s="507"/>
      <c r="S81" s="507"/>
      <c r="T81" s="507"/>
      <c r="U81" s="507"/>
      <c r="V81" s="510"/>
      <c r="W81" s="510"/>
      <c r="X81" s="510"/>
      <c r="Y81" s="507"/>
    </row>
    <row r="82" spans="1:25">
      <c r="A82" s="507"/>
      <c r="E82" s="507"/>
      <c r="F82" s="510"/>
      <c r="G82" s="510"/>
      <c r="H82" s="507"/>
      <c r="I82" s="507"/>
      <c r="J82" s="507"/>
      <c r="K82" s="507"/>
      <c r="L82" s="507"/>
      <c r="M82" s="507"/>
      <c r="N82" s="507"/>
      <c r="O82" s="507"/>
      <c r="P82" s="507"/>
      <c r="Q82" s="507"/>
      <c r="R82" s="507"/>
      <c r="S82" s="507"/>
      <c r="T82" s="507"/>
      <c r="U82" s="507"/>
      <c r="V82" s="510"/>
      <c r="W82" s="510"/>
      <c r="X82" s="510"/>
      <c r="Y82" s="507"/>
    </row>
    <row r="83" spans="1:25">
      <c r="A83" s="507"/>
      <c r="E83" s="507"/>
      <c r="F83" s="510"/>
      <c r="G83" s="510"/>
      <c r="H83" s="507"/>
      <c r="I83" s="507"/>
      <c r="J83" s="507"/>
      <c r="K83" s="507"/>
      <c r="L83" s="507"/>
      <c r="M83" s="507"/>
      <c r="N83" s="507"/>
      <c r="O83" s="507"/>
      <c r="P83" s="507"/>
      <c r="Q83" s="507"/>
      <c r="R83" s="507"/>
      <c r="S83" s="507"/>
      <c r="T83" s="507"/>
      <c r="U83" s="507"/>
      <c r="V83" s="510"/>
      <c r="W83" s="510"/>
      <c r="X83" s="510"/>
      <c r="Y83" s="507"/>
    </row>
    <row r="84" spans="1:25">
      <c r="A84" s="507"/>
      <c r="E84" s="507"/>
      <c r="F84" s="510"/>
      <c r="G84" s="510"/>
      <c r="H84" s="507"/>
      <c r="I84" s="507"/>
      <c r="J84" s="507"/>
      <c r="K84" s="507"/>
      <c r="L84" s="507"/>
      <c r="M84" s="507"/>
      <c r="N84" s="507"/>
      <c r="O84" s="507"/>
      <c r="P84" s="507"/>
      <c r="Q84" s="507"/>
      <c r="R84" s="507"/>
      <c r="S84" s="507"/>
      <c r="T84" s="507"/>
      <c r="U84" s="507"/>
      <c r="V84" s="510"/>
      <c r="W84" s="510"/>
      <c r="X84" s="510"/>
      <c r="Y84" s="507"/>
    </row>
    <row r="85" spans="1:25">
      <c r="A85" s="507"/>
      <c r="E85" s="507"/>
      <c r="F85" s="510"/>
      <c r="G85" s="510"/>
      <c r="H85" s="507"/>
      <c r="I85" s="507"/>
      <c r="J85" s="507"/>
      <c r="K85" s="507"/>
      <c r="L85" s="507"/>
      <c r="M85" s="507"/>
      <c r="N85" s="507"/>
      <c r="O85" s="507"/>
      <c r="P85" s="507"/>
      <c r="Q85" s="507"/>
      <c r="R85" s="507"/>
      <c r="S85" s="507"/>
      <c r="T85" s="507"/>
      <c r="U85" s="507"/>
      <c r="V85" s="510"/>
      <c r="W85" s="510"/>
      <c r="X85" s="510"/>
      <c r="Y85" s="507"/>
    </row>
    <row r="86" spans="1:25">
      <c r="A86" s="507"/>
      <c r="E86" s="507"/>
      <c r="F86" s="510"/>
      <c r="G86" s="510"/>
      <c r="H86" s="507"/>
      <c r="I86" s="507"/>
      <c r="J86" s="507"/>
      <c r="K86" s="507"/>
      <c r="L86" s="507"/>
      <c r="M86" s="507"/>
      <c r="N86" s="507"/>
      <c r="O86" s="507"/>
      <c r="P86" s="507"/>
      <c r="Q86" s="507"/>
      <c r="R86" s="507"/>
      <c r="S86" s="507"/>
      <c r="T86" s="507"/>
      <c r="U86" s="507"/>
      <c r="V86" s="510"/>
      <c r="W86" s="510"/>
      <c r="X86" s="510"/>
      <c r="Y86" s="507"/>
    </row>
    <row r="87" spans="1:25">
      <c r="A87" s="507"/>
      <c r="E87" s="507"/>
      <c r="F87" s="510"/>
      <c r="G87" s="510"/>
      <c r="H87" s="507"/>
      <c r="I87" s="507"/>
      <c r="J87" s="507"/>
      <c r="K87" s="507"/>
      <c r="L87" s="507"/>
      <c r="M87" s="507"/>
      <c r="N87" s="507"/>
      <c r="O87" s="507"/>
      <c r="P87" s="507"/>
      <c r="Q87" s="507"/>
      <c r="R87" s="507"/>
      <c r="S87" s="507"/>
      <c r="T87" s="507"/>
      <c r="U87" s="507"/>
      <c r="V87" s="510"/>
      <c r="W87" s="510"/>
      <c r="X87" s="510"/>
      <c r="Y87" s="507"/>
    </row>
    <row r="88" spans="1:25">
      <c r="A88" s="507"/>
      <c r="E88" s="507"/>
      <c r="F88" s="510"/>
      <c r="G88" s="510"/>
      <c r="H88" s="507"/>
      <c r="I88" s="507"/>
      <c r="J88" s="507"/>
      <c r="K88" s="507"/>
      <c r="L88" s="507"/>
      <c r="M88" s="507"/>
      <c r="N88" s="507"/>
      <c r="O88" s="507"/>
      <c r="P88" s="507"/>
      <c r="Q88" s="507"/>
      <c r="R88" s="507"/>
      <c r="S88" s="507"/>
      <c r="T88" s="507"/>
      <c r="U88" s="507"/>
      <c r="V88" s="510"/>
      <c r="W88" s="510"/>
      <c r="X88" s="510"/>
      <c r="Y88" s="507"/>
    </row>
    <row r="89" spans="1:25">
      <c r="A89" s="507"/>
      <c r="E89" s="507"/>
      <c r="F89" s="510"/>
      <c r="G89" s="510"/>
      <c r="H89" s="507"/>
      <c r="I89" s="507"/>
      <c r="J89" s="507"/>
      <c r="K89" s="507"/>
      <c r="L89" s="507"/>
      <c r="M89" s="507"/>
      <c r="N89" s="507"/>
      <c r="O89" s="507"/>
      <c r="P89" s="507"/>
      <c r="Q89" s="507"/>
      <c r="R89" s="507"/>
      <c r="S89" s="507"/>
      <c r="T89" s="507"/>
      <c r="U89" s="507"/>
      <c r="V89" s="510"/>
      <c r="W89" s="510"/>
      <c r="X89" s="510"/>
      <c r="Y89" s="507"/>
    </row>
    <row r="90" spans="1:25">
      <c r="A90" s="507"/>
      <c r="E90" s="507"/>
      <c r="F90" s="510"/>
      <c r="G90" s="510"/>
      <c r="H90" s="507"/>
      <c r="I90" s="507"/>
      <c r="J90" s="507"/>
      <c r="K90" s="507"/>
      <c r="L90" s="507"/>
      <c r="M90" s="507"/>
      <c r="N90" s="507"/>
      <c r="O90" s="507"/>
      <c r="P90" s="507"/>
      <c r="Q90" s="507"/>
      <c r="R90" s="507"/>
      <c r="S90" s="507"/>
      <c r="T90" s="507"/>
      <c r="U90" s="507"/>
      <c r="V90" s="510"/>
      <c r="W90" s="510"/>
      <c r="X90" s="510"/>
      <c r="Y90" s="507"/>
    </row>
    <row r="91" spans="1:25">
      <c r="A91" s="507"/>
      <c r="E91" s="507"/>
      <c r="F91" s="510"/>
      <c r="G91" s="510"/>
      <c r="H91" s="507"/>
      <c r="I91" s="507"/>
      <c r="J91" s="507"/>
      <c r="K91" s="507"/>
      <c r="L91" s="507"/>
      <c r="M91" s="507"/>
      <c r="N91" s="507"/>
      <c r="O91" s="507"/>
      <c r="P91" s="507"/>
      <c r="Q91" s="507"/>
      <c r="R91" s="507"/>
      <c r="S91" s="507"/>
      <c r="T91" s="507"/>
      <c r="U91" s="507"/>
      <c r="V91" s="510"/>
      <c r="W91" s="510"/>
      <c r="X91" s="510"/>
      <c r="Y91" s="507"/>
    </row>
    <row r="92" spans="1:25">
      <c r="A92" s="507"/>
      <c r="E92" s="507"/>
      <c r="F92" s="510"/>
      <c r="G92" s="510"/>
      <c r="H92" s="507"/>
      <c r="I92" s="507"/>
      <c r="J92" s="507"/>
      <c r="K92" s="507"/>
      <c r="L92" s="507"/>
      <c r="M92" s="507"/>
      <c r="N92" s="507"/>
      <c r="O92" s="507"/>
      <c r="P92" s="507"/>
      <c r="Q92" s="507"/>
      <c r="R92" s="507"/>
      <c r="S92" s="507"/>
      <c r="T92" s="507"/>
      <c r="U92" s="507"/>
      <c r="V92" s="510"/>
      <c r="W92" s="510"/>
      <c r="X92" s="510"/>
      <c r="Y92" s="507"/>
    </row>
    <row r="93" spans="1:25">
      <c r="A93" s="507"/>
      <c r="E93" s="507"/>
      <c r="F93" s="510"/>
      <c r="G93" s="510"/>
      <c r="H93" s="507"/>
      <c r="I93" s="507"/>
      <c r="J93" s="507"/>
      <c r="K93" s="507"/>
      <c r="L93" s="507"/>
      <c r="M93" s="507"/>
      <c r="N93" s="507"/>
      <c r="O93" s="507"/>
      <c r="P93" s="507"/>
      <c r="Q93" s="507"/>
      <c r="R93" s="507"/>
      <c r="S93" s="507"/>
      <c r="T93" s="507"/>
      <c r="U93" s="507"/>
      <c r="V93" s="510"/>
      <c r="W93" s="510"/>
      <c r="X93" s="510"/>
      <c r="Y93" s="507"/>
    </row>
    <row r="94" spans="1:25">
      <c r="A94" s="507"/>
      <c r="E94" s="507"/>
      <c r="F94" s="510"/>
      <c r="G94" s="510"/>
      <c r="H94" s="507"/>
      <c r="I94" s="507"/>
      <c r="J94" s="507"/>
      <c r="K94" s="507"/>
      <c r="L94" s="507"/>
      <c r="M94" s="507"/>
      <c r="N94" s="507"/>
      <c r="O94" s="507"/>
      <c r="P94" s="507"/>
      <c r="Q94" s="507"/>
      <c r="R94" s="507"/>
      <c r="S94" s="507"/>
      <c r="T94" s="507"/>
      <c r="U94" s="507"/>
      <c r="V94" s="510"/>
      <c r="W94" s="510"/>
      <c r="X94" s="510"/>
      <c r="Y94" s="507"/>
    </row>
    <row r="95" spans="1:25">
      <c r="A95" s="507"/>
      <c r="E95" s="507"/>
      <c r="F95" s="510"/>
      <c r="G95" s="510"/>
      <c r="H95" s="507"/>
      <c r="I95" s="507"/>
      <c r="J95" s="507"/>
      <c r="K95" s="507"/>
      <c r="L95" s="507"/>
      <c r="M95" s="507"/>
      <c r="N95" s="507"/>
      <c r="O95" s="507"/>
      <c r="P95" s="507"/>
      <c r="Q95" s="507"/>
      <c r="R95" s="507"/>
      <c r="S95" s="507"/>
      <c r="T95" s="507"/>
      <c r="U95" s="507"/>
      <c r="V95" s="510"/>
      <c r="W95" s="510"/>
      <c r="X95" s="510"/>
      <c r="Y95" s="507"/>
    </row>
    <row r="96" spans="1:25">
      <c r="A96" s="507"/>
      <c r="E96" s="507"/>
      <c r="F96" s="510"/>
      <c r="G96" s="510"/>
      <c r="H96" s="507"/>
      <c r="I96" s="507"/>
      <c r="J96" s="507"/>
      <c r="K96" s="507"/>
      <c r="L96" s="507"/>
      <c r="M96" s="507"/>
      <c r="N96" s="507"/>
      <c r="O96" s="507"/>
      <c r="P96" s="507"/>
      <c r="Q96" s="507"/>
      <c r="R96" s="507"/>
      <c r="S96" s="507"/>
      <c r="T96" s="507"/>
      <c r="U96" s="507"/>
      <c r="V96" s="510"/>
      <c r="W96" s="510"/>
      <c r="X96" s="510"/>
      <c r="Y96" s="507"/>
    </row>
    <row r="97" spans="1:25">
      <c r="A97" s="507"/>
      <c r="E97" s="507"/>
      <c r="F97" s="510"/>
      <c r="G97" s="510"/>
      <c r="H97" s="507"/>
      <c r="I97" s="507"/>
      <c r="J97" s="507"/>
      <c r="K97" s="507"/>
      <c r="L97" s="507"/>
      <c r="M97" s="507"/>
      <c r="N97" s="507"/>
      <c r="O97" s="507"/>
      <c r="P97" s="507"/>
      <c r="Q97" s="507"/>
      <c r="R97" s="507"/>
      <c r="S97" s="507"/>
      <c r="T97" s="507"/>
      <c r="U97" s="507"/>
      <c r="V97" s="510"/>
      <c r="W97" s="510"/>
      <c r="X97" s="510"/>
      <c r="Y97" s="507"/>
    </row>
    <row r="98" spans="1:25">
      <c r="A98" s="507"/>
      <c r="E98" s="507"/>
      <c r="F98" s="510"/>
      <c r="G98" s="510"/>
      <c r="H98" s="507"/>
      <c r="I98" s="507"/>
      <c r="J98" s="507"/>
      <c r="K98" s="507"/>
      <c r="L98" s="507"/>
      <c r="M98" s="507"/>
      <c r="N98" s="507"/>
      <c r="O98" s="507"/>
      <c r="P98" s="507"/>
      <c r="Q98" s="507"/>
      <c r="R98" s="507"/>
      <c r="S98" s="507"/>
      <c r="T98" s="507"/>
      <c r="U98" s="507"/>
      <c r="V98" s="510"/>
      <c r="W98" s="510"/>
      <c r="X98" s="510"/>
      <c r="Y98" s="507"/>
    </row>
    <row r="99" spans="1:25">
      <c r="A99" s="507"/>
      <c r="E99" s="507"/>
      <c r="F99" s="510"/>
      <c r="G99" s="510"/>
      <c r="H99" s="507"/>
      <c r="I99" s="507"/>
      <c r="J99" s="507"/>
      <c r="K99" s="507"/>
      <c r="L99" s="507"/>
      <c r="M99" s="507"/>
      <c r="N99" s="507"/>
      <c r="O99" s="507"/>
      <c r="P99" s="507"/>
      <c r="Q99" s="507"/>
      <c r="R99" s="507"/>
      <c r="S99" s="507"/>
      <c r="T99" s="507"/>
      <c r="U99" s="507"/>
      <c r="V99" s="510"/>
      <c r="W99" s="510"/>
      <c r="X99" s="510"/>
      <c r="Y99" s="507"/>
    </row>
    <row r="100" spans="1:25">
      <c r="A100" s="507"/>
      <c r="E100" s="507"/>
      <c r="F100" s="510"/>
      <c r="G100" s="510"/>
      <c r="H100" s="507"/>
      <c r="I100" s="507"/>
      <c r="J100" s="507"/>
      <c r="K100" s="507"/>
      <c r="L100" s="507"/>
      <c r="M100" s="507"/>
      <c r="N100" s="507"/>
      <c r="O100" s="507"/>
      <c r="P100" s="507"/>
      <c r="Q100" s="507"/>
      <c r="R100" s="507"/>
      <c r="S100" s="507"/>
      <c r="T100" s="507"/>
      <c r="U100" s="507"/>
      <c r="V100" s="510"/>
      <c r="W100" s="510"/>
      <c r="X100" s="510"/>
      <c r="Y100" s="507"/>
    </row>
    <row r="101" spans="1:25">
      <c r="A101" s="507"/>
      <c r="E101" s="507"/>
      <c r="F101" s="510"/>
      <c r="G101" s="510"/>
      <c r="H101" s="507"/>
      <c r="I101" s="507"/>
      <c r="J101" s="507"/>
      <c r="K101" s="507"/>
      <c r="L101" s="507"/>
      <c r="M101" s="507"/>
      <c r="N101" s="507"/>
      <c r="O101" s="507"/>
      <c r="P101" s="507"/>
      <c r="Q101" s="507"/>
      <c r="R101" s="507"/>
      <c r="S101" s="507"/>
      <c r="T101" s="507"/>
      <c r="U101" s="507"/>
      <c r="V101" s="510"/>
      <c r="W101" s="510"/>
      <c r="X101" s="510"/>
      <c r="Y101" s="507"/>
    </row>
    <row r="102" spans="1:25">
      <c r="A102" s="507"/>
      <c r="E102" s="507"/>
      <c r="F102" s="510"/>
      <c r="G102" s="510"/>
      <c r="H102" s="507"/>
      <c r="I102" s="507"/>
      <c r="J102" s="507"/>
      <c r="K102" s="507"/>
      <c r="L102" s="507"/>
      <c r="M102" s="507"/>
      <c r="N102" s="507"/>
      <c r="O102" s="507"/>
      <c r="P102" s="507"/>
      <c r="Q102" s="507"/>
      <c r="R102" s="507"/>
      <c r="S102" s="507"/>
      <c r="T102" s="507"/>
      <c r="U102" s="507"/>
      <c r="V102" s="510"/>
      <c r="W102" s="510"/>
      <c r="X102" s="510"/>
      <c r="Y102" s="507"/>
    </row>
    <row r="103" spans="1:25">
      <c r="A103" s="507"/>
      <c r="E103" s="507"/>
      <c r="F103" s="510"/>
      <c r="G103" s="510"/>
      <c r="H103" s="507"/>
      <c r="I103" s="507"/>
      <c r="J103" s="507"/>
      <c r="K103" s="507"/>
      <c r="L103" s="507"/>
      <c r="M103" s="507"/>
      <c r="N103" s="507"/>
      <c r="O103" s="507"/>
      <c r="P103" s="507"/>
      <c r="Q103" s="507"/>
      <c r="R103" s="507"/>
      <c r="S103" s="507"/>
      <c r="T103" s="507"/>
      <c r="U103" s="507"/>
      <c r="V103" s="510"/>
      <c r="W103" s="510"/>
      <c r="X103" s="510"/>
      <c r="Y103" s="507"/>
    </row>
    <row r="104" spans="1:25">
      <c r="A104" s="507"/>
      <c r="E104" s="507"/>
      <c r="F104" s="510"/>
      <c r="G104" s="510"/>
      <c r="H104" s="507"/>
      <c r="I104" s="507"/>
      <c r="J104" s="507"/>
      <c r="K104" s="507"/>
      <c r="L104" s="507"/>
      <c r="M104" s="507"/>
      <c r="N104" s="507"/>
      <c r="O104" s="507"/>
      <c r="P104" s="507"/>
      <c r="Q104" s="507"/>
      <c r="R104" s="507"/>
      <c r="S104" s="507"/>
      <c r="T104" s="507"/>
      <c r="U104" s="507"/>
      <c r="V104" s="510"/>
      <c r="W104" s="510"/>
      <c r="X104" s="510"/>
      <c r="Y104" s="507"/>
    </row>
    <row r="105" spans="1:25">
      <c r="A105" s="507"/>
      <c r="E105" s="507"/>
      <c r="F105" s="510"/>
      <c r="G105" s="510"/>
      <c r="H105" s="507"/>
      <c r="I105" s="507"/>
      <c r="J105" s="507"/>
      <c r="K105" s="507"/>
      <c r="L105" s="507"/>
      <c r="M105" s="507"/>
      <c r="N105" s="507"/>
      <c r="O105" s="507"/>
      <c r="P105" s="507"/>
      <c r="Q105" s="507"/>
      <c r="R105" s="507"/>
      <c r="S105" s="507"/>
      <c r="T105" s="507"/>
      <c r="U105" s="507"/>
      <c r="V105" s="510"/>
      <c r="W105" s="510"/>
      <c r="X105" s="510"/>
      <c r="Y105" s="507"/>
    </row>
    <row r="106" spans="1:25">
      <c r="A106" s="507"/>
      <c r="E106" s="507"/>
      <c r="F106" s="510"/>
      <c r="G106" s="510"/>
      <c r="H106" s="507"/>
      <c r="I106" s="507"/>
      <c r="J106" s="507"/>
      <c r="K106" s="507"/>
      <c r="L106" s="507"/>
      <c r="M106" s="507"/>
      <c r="N106" s="507"/>
      <c r="O106" s="507"/>
      <c r="P106" s="507"/>
      <c r="Q106" s="507"/>
      <c r="R106" s="507"/>
      <c r="S106" s="507"/>
      <c r="T106" s="507"/>
      <c r="U106" s="507"/>
      <c r="V106" s="510"/>
      <c r="W106" s="510"/>
      <c r="X106" s="510"/>
      <c r="Y106" s="507"/>
    </row>
    <row r="107" spans="1:25">
      <c r="A107" s="507"/>
      <c r="E107" s="507"/>
      <c r="F107" s="510"/>
      <c r="G107" s="510"/>
      <c r="H107" s="507"/>
      <c r="I107" s="507"/>
      <c r="J107" s="507"/>
      <c r="K107" s="507"/>
      <c r="L107" s="507"/>
      <c r="M107" s="507"/>
      <c r="N107" s="507"/>
      <c r="O107" s="507"/>
      <c r="P107" s="507"/>
      <c r="Q107" s="507"/>
      <c r="R107" s="507"/>
      <c r="S107" s="507"/>
      <c r="T107" s="507"/>
      <c r="U107" s="507"/>
      <c r="V107" s="510"/>
      <c r="W107" s="510"/>
      <c r="X107" s="510"/>
      <c r="Y107" s="507"/>
    </row>
    <row r="108" spans="1:25">
      <c r="A108" s="507"/>
      <c r="E108" s="507"/>
      <c r="F108" s="510"/>
      <c r="G108" s="510"/>
      <c r="H108" s="507"/>
      <c r="I108" s="507"/>
      <c r="J108" s="507"/>
      <c r="K108" s="507"/>
      <c r="L108" s="507"/>
      <c r="M108" s="507"/>
      <c r="N108" s="507"/>
      <c r="O108" s="507"/>
      <c r="P108" s="507"/>
      <c r="Q108" s="507"/>
      <c r="R108" s="507"/>
      <c r="S108" s="507"/>
      <c r="T108" s="507"/>
      <c r="U108" s="507"/>
      <c r="V108" s="510"/>
      <c r="W108" s="510"/>
      <c r="X108" s="510"/>
      <c r="Y108" s="507"/>
    </row>
    <row r="109" spans="1:25">
      <c r="A109" s="507"/>
      <c r="E109" s="507"/>
      <c r="F109" s="510"/>
      <c r="G109" s="510"/>
      <c r="H109" s="507"/>
      <c r="I109" s="507"/>
      <c r="J109" s="507"/>
      <c r="K109" s="507"/>
      <c r="L109" s="507"/>
      <c r="M109" s="507"/>
      <c r="N109" s="507"/>
      <c r="O109" s="507"/>
      <c r="P109" s="507"/>
      <c r="Q109" s="507"/>
      <c r="R109" s="507"/>
      <c r="S109" s="507"/>
      <c r="T109" s="507"/>
      <c r="U109" s="507"/>
      <c r="V109" s="510"/>
      <c r="W109" s="510"/>
      <c r="X109" s="510"/>
      <c r="Y109" s="507"/>
    </row>
    <row r="110" spans="1:25">
      <c r="A110" s="507"/>
      <c r="E110" s="507"/>
      <c r="F110" s="510"/>
      <c r="G110" s="510"/>
      <c r="H110" s="507"/>
      <c r="I110" s="507"/>
      <c r="J110" s="507"/>
      <c r="K110" s="507"/>
      <c r="L110" s="507"/>
      <c r="M110" s="507"/>
      <c r="N110" s="507"/>
      <c r="O110" s="507"/>
      <c r="P110" s="507"/>
      <c r="Q110" s="507"/>
      <c r="R110" s="507"/>
      <c r="S110" s="507"/>
      <c r="T110" s="507"/>
      <c r="U110" s="507"/>
      <c r="V110" s="510"/>
      <c r="W110" s="510"/>
      <c r="X110" s="510"/>
      <c r="Y110" s="507"/>
    </row>
    <row r="111" spans="1:25">
      <c r="A111" s="507"/>
      <c r="E111" s="507"/>
      <c r="F111" s="510"/>
      <c r="G111" s="510"/>
      <c r="H111" s="507"/>
      <c r="I111" s="507"/>
      <c r="J111" s="507"/>
      <c r="K111" s="507"/>
      <c r="L111" s="507"/>
      <c r="M111" s="507"/>
      <c r="N111" s="507"/>
      <c r="O111" s="507"/>
      <c r="P111" s="507"/>
      <c r="Q111" s="507"/>
      <c r="R111" s="507"/>
      <c r="S111" s="507"/>
      <c r="T111" s="507"/>
      <c r="U111" s="507"/>
      <c r="V111" s="510"/>
      <c r="W111" s="510"/>
      <c r="X111" s="510"/>
      <c r="Y111" s="507"/>
    </row>
    <row r="112" spans="1:25">
      <c r="A112" s="507"/>
      <c r="E112" s="507"/>
      <c r="F112" s="510"/>
      <c r="G112" s="510"/>
      <c r="H112" s="507"/>
      <c r="I112" s="507"/>
      <c r="J112" s="507"/>
      <c r="K112" s="507"/>
      <c r="L112" s="507"/>
      <c r="M112" s="507"/>
      <c r="N112" s="507"/>
      <c r="O112" s="507"/>
      <c r="P112" s="507"/>
      <c r="Q112" s="507"/>
      <c r="R112" s="507"/>
      <c r="S112" s="507"/>
      <c r="T112" s="507"/>
      <c r="U112" s="507"/>
      <c r="V112" s="510"/>
      <c r="W112" s="510"/>
      <c r="X112" s="510"/>
      <c r="Y112" s="507"/>
    </row>
    <row r="113" spans="1:25">
      <c r="A113" s="507"/>
      <c r="E113" s="507"/>
      <c r="F113" s="510"/>
      <c r="G113" s="510"/>
      <c r="H113" s="507"/>
      <c r="I113" s="507"/>
      <c r="J113" s="507"/>
      <c r="K113" s="507"/>
      <c r="L113" s="507"/>
      <c r="M113" s="507"/>
      <c r="N113" s="507"/>
      <c r="O113" s="507"/>
      <c r="P113" s="507"/>
      <c r="Q113" s="507"/>
      <c r="R113" s="507"/>
      <c r="S113" s="507"/>
      <c r="T113" s="507"/>
      <c r="U113" s="507"/>
      <c r="V113" s="510"/>
      <c r="W113" s="510"/>
      <c r="X113" s="510"/>
      <c r="Y113" s="507"/>
    </row>
    <row r="114" spans="1:25">
      <c r="A114" s="507"/>
      <c r="E114" s="507"/>
      <c r="F114" s="510"/>
      <c r="G114" s="510"/>
      <c r="H114" s="507"/>
      <c r="I114" s="507"/>
      <c r="J114" s="507"/>
      <c r="K114" s="507"/>
      <c r="L114" s="507"/>
      <c r="M114" s="507"/>
      <c r="N114" s="507"/>
      <c r="O114" s="507"/>
      <c r="P114" s="507"/>
      <c r="Q114" s="507"/>
      <c r="R114" s="507"/>
      <c r="S114" s="507"/>
      <c r="T114" s="507"/>
      <c r="U114" s="507"/>
      <c r="V114" s="510"/>
      <c r="W114" s="510"/>
      <c r="X114" s="510"/>
      <c r="Y114" s="507"/>
    </row>
    <row r="115" spans="1:25">
      <c r="A115" s="507"/>
      <c r="E115" s="507"/>
      <c r="F115" s="510"/>
      <c r="G115" s="510"/>
      <c r="H115" s="507"/>
      <c r="I115" s="507"/>
      <c r="J115" s="507"/>
      <c r="K115" s="507"/>
      <c r="L115" s="507"/>
      <c r="M115" s="507"/>
      <c r="N115" s="507"/>
      <c r="O115" s="507"/>
      <c r="P115" s="507"/>
      <c r="Q115" s="507"/>
      <c r="R115" s="507"/>
      <c r="S115" s="507"/>
      <c r="T115" s="507"/>
      <c r="U115" s="507"/>
      <c r="V115" s="510"/>
      <c r="W115" s="510"/>
      <c r="X115" s="510"/>
      <c r="Y115" s="507"/>
    </row>
    <row r="116" spans="1:25">
      <c r="A116" s="507"/>
      <c r="E116" s="507"/>
      <c r="F116" s="510"/>
      <c r="G116" s="510"/>
      <c r="H116" s="507"/>
      <c r="I116" s="507"/>
      <c r="J116" s="507"/>
      <c r="K116" s="507"/>
      <c r="L116" s="507"/>
      <c r="M116" s="507"/>
      <c r="N116" s="507"/>
      <c r="O116" s="507"/>
      <c r="P116" s="507"/>
      <c r="Q116" s="507"/>
      <c r="R116" s="507"/>
      <c r="S116" s="507"/>
      <c r="T116" s="507"/>
      <c r="U116" s="507"/>
      <c r="V116" s="510"/>
      <c r="W116" s="510"/>
      <c r="X116" s="510"/>
      <c r="Y116" s="507"/>
    </row>
    <row r="117" spans="1:25">
      <c r="A117" s="507"/>
      <c r="E117" s="507"/>
      <c r="F117" s="510"/>
      <c r="G117" s="510"/>
      <c r="H117" s="507"/>
      <c r="I117" s="507"/>
      <c r="J117" s="507"/>
      <c r="K117" s="507"/>
      <c r="L117" s="507"/>
      <c r="M117" s="507"/>
      <c r="N117" s="507"/>
      <c r="O117" s="507"/>
      <c r="P117" s="507"/>
      <c r="Q117" s="507"/>
      <c r="R117" s="507"/>
      <c r="S117" s="507"/>
      <c r="T117" s="507"/>
      <c r="U117" s="507"/>
      <c r="V117" s="510"/>
      <c r="W117" s="510"/>
      <c r="X117" s="510"/>
      <c r="Y117" s="507"/>
    </row>
    <row r="118" spans="1:25">
      <c r="A118" s="507"/>
      <c r="E118" s="507"/>
      <c r="F118" s="510"/>
      <c r="G118" s="510"/>
      <c r="H118" s="507"/>
      <c r="I118" s="507"/>
      <c r="J118" s="507"/>
      <c r="K118" s="507"/>
      <c r="L118" s="507"/>
      <c r="M118" s="507"/>
      <c r="N118" s="507"/>
      <c r="O118" s="507"/>
      <c r="P118" s="507"/>
      <c r="Q118" s="507"/>
      <c r="R118" s="507"/>
      <c r="S118" s="507"/>
      <c r="T118" s="507"/>
      <c r="U118" s="507"/>
      <c r="V118" s="510"/>
      <c r="W118" s="510"/>
      <c r="X118" s="510"/>
      <c r="Y118" s="507"/>
    </row>
    <row r="119" spans="1:25">
      <c r="A119" s="507"/>
      <c r="E119" s="507"/>
      <c r="F119" s="510"/>
      <c r="G119" s="510"/>
      <c r="H119" s="507"/>
      <c r="I119" s="507"/>
      <c r="J119" s="507"/>
      <c r="K119" s="507"/>
      <c r="L119" s="507"/>
      <c r="M119" s="507"/>
      <c r="N119" s="507"/>
      <c r="O119" s="507"/>
      <c r="P119" s="507"/>
      <c r="Q119" s="507"/>
      <c r="R119" s="507"/>
      <c r="S119" s="507"/>
      <c r="T119" s="507"/>
      <c r="U119" s="507"/>
      <c r="V119" s="510"/>
      <c r="W119" s="510"/>
      <c r="X119" s="510"/>
      <c r="Y119" s="507"/>
    </row>
    <row r="120" spans="1:25">
      <c r="A120" s="507"/>
      <c r="E120" s="507"/>
      <c r="F120" s="510"/>
      <c r="G120" s="510"/>
      <c r="H120" s="507"/>
      <c r="I120" s="507"/>
      <c r="J120" s="507"/>
      <c r="K120" s="507"/>
      <c r="L120" s="507"/>
      <c r="M120" s="507"/>
      <c r="N120" s="507"/>
      <c r="O120" s="507"/>
      <c r="P120" s="507"/>
      <c r="Q120" s="507"/>
      <c r="R120" s="507"/>
      <c r="S120" s="507"/>
      <c r="T120" s="507"/>
      <c r="U120" s="507"/>
      <c r="V120" s="510"/>
      <c r="W120" s="510"/>
      <c r="X120" s="510"/>
      <c r="Y120" s="507"/>
    </row>
    <row r="121" spans="1:25">
      <c r="A121" s="507"/>
      <c r="E121" s="507"/>
      <c r="F121" s="510"/>
      <c r="G121" s="510"/>
      <c r="H121" s="507"/>
      <c r="I121" s="507"/>
      <c r="J121" s="507"/>
      <c r="K121" s="507"/>
      <c r="L121" s="507"/>
      <c r="M121" s="507"/>
      <c r="N121" s="507"/>
      <c r="O121" s="507"/>
      <c r="P121" s="507"/>
      <c r="Q121" s="507"/>
      <c r="R121" s="507"/>
      <c r="S121" s="507"/>
      <c r="T121" s="507"/>
      <c r="U121" s="507"/>
      <c r="V121" s="510"/>
      <c r="W121" s="510"/>
      <c r="X121" s="510"/>
      <c r="Y121" s="507"/>
    </row>
    <row r="122" spans="1:25">
      <c r="A122" s="507"/>
      <c r="E122" s="507"/>
      <c r="F122" s="510"/>
      <c r="G122" s="510"/>
      <c r="H122" s="507"/>
      <c r="I122" s="507"/>
      <c r="J122" s="507"/>
      <c r="K122" s="507"/>
      <c r="L122" s="507"/>
      <c r="M122" s="507"/>
      <c r="N122" s="507"/>
      <c r="O122" s="507"/>
      <c r="P122" s="507"/>
      <c r="Q122" s="507"/>
      <c r="R122" s="507"/>
      <c r="S122" s="507"/>
      <c r="T122" s="507"/>
      <c r="U122" s="507"/>
      <c r="V122" s="510"/>
      <c r="W122" s="510"/>
      <c r="X122" s="510"/>
      <c r="Y122" s="507"/>
    </row>
    <row r="123" spans="1:25">
      <c r="A123" s="507"/>
      <c r="E123" s="507"/>
      <c r="F123" s="510"/>
      <c r="G123" s="510"/>
      <c r="H123" s="507"/>
      <c r="I123" s="507"/>
      <c r="J123" s="507"/>
      <c r="K123" s="507"/>
      <c r="L123" s="507"/>
      <c r="M123" s="507"/>
      <c r="N123" s="507"/>
      <c r="O123" s="507"/>
      <c r="P123" s="507"/>
      <c r="Q123" s="507"/>
      <c r="R123" s="507"/>
      <c r="S123" s="507"/>
      <c r="T123" s="507"/>
      <c r="U123" s="507"/>
      <c r="V123" s="510"/>
      <c r="W123" s="510"/>
      <c r="X123" s="510"/>
      <c r="Y123" s="507"/>
    </row>
    <row r="124" spans="1:25">
      <c r="A124" s="507"/>
      <c r="E124" s="507"/>
      <c r="F124" s="510"/>
      <c r="G124" s="510"/>
      <c r="H124" s="507"/>
      <c r="I124" s="507"/>
      <c r="J124" s="507"/>
      <c r="K124" s="507"/>
      <c r="L124" s="507"/>
      <c r="M124" s="507"/>
      <c r="N124" s="507"/>
      <c r="O124" s="507"/>
      <c r="P124" s="507"/>
      <c r="Q124" s="507"/>
      <c r="R124" s="507"/>
      <c r="S124" s="507"/>
      <c r="T124" s="507"/>
      <c r="U124" s="507"/>
      <c r="V124" s="510"/>
      <c r="W124" s="510"/>
      <c r="X124" s="510"/>
      <c r="Y124" s="507"/>
    </row>
    <row r="125" spans="1:25">
      <c r="A125" s="507"/>
      <c r="E125" s="507"/>
      <c r="F125" s="510"/>
      <c r="G125" s="510"/>
      <c r="H125" s="507"/>
      <c r="I125" s="507"/>
      <c r="J125" s="507"/>
      <c r="K125" s="507"/>
      <c r="L125" s="507"/>
      <c r="M125" s="507"/>
      <c r="N125" s="507"/>
      <c r="O125" s="507"/>
      <c r="P125" s="507"/>
      <c r="Q125" s="507"/>
      <c r="R125" s="507"/>
      <c r="S125" s="507"/>
      <c r="T125" s="507"/>
      <c r="U125" s="507"/>
      <c r="V125" s="510"/>
      <c r="W125" s="510"/>
      <c r="X125" s="510"/>
      <c r="Y125" s="507"/>
    </row>
    <row r="126" spans="1:25">
      <c r="A126" s="507"/>
      <c r="E126" s="507"/>
      <c r="F126" s="510"/>
      <c r="G126" s="510"/>
      <c r="H126" s="507"/>
      <c r="I126" s="507"/>
      <c r="J126" s="507"/>
      <c r="K126" s="507"/>
      <c r="L126" s="507"/>
      <c r="M126" s="507"/>
      <c r="N126" s="507"/>
      <c r="O126" s="507"/>
      <c r="P126" s="507"/>
      <c r="Q126" s="507"/>
      <c r="R126" s="507"/>
      <c r="S126" s="507"/>
      <c r="T126" s="507"/>
      <c r="U126" s="507"/>
      <c r="V126" s="510"/>
      <c r="W126" s="510"/>
      <c r="X126" s="510"/>
      <c r="Y126" s="507"/>
    </row>
    <row r="127" spans="1:25">
      <c r="A127" s="507"/>
      <c r="E127" s="507"/>
      <c r="F127" s="510"/>
      <c r="G127" s="510"/>
      <c r="H127" s="507"/>
      <c r="I127" s="507"/>
      <c r="J127" s="507"/>
      <c r="K127" s="507"/>
      <c r="L127" s="507"/>
      <c r="M127" s="507"/>
      <c r="N127" s="507"/>
      <c r="O127" s="507"/>
      <c r="P127" s="507"/>
      <c r="Q127" s="507"/>
      <c r="R127" s="507"/>
      <c r="S127" s="507"/>
      <c r="T127" s="507"/>
      <c r="U127" s="507"/>
      <c r="V127" s="510"/>
      <c r="W127" s="510"/>
      <c r="X127" s="510"/>
      <c r="Y127" s="507"/>
    </row>
    <row r="128" spans="1:25">
      <c r="A128" s="507"/>
      <c r="E128" s="507"/>
      <c r="F128" s="510"/>
      <c r="G128" s="510"/>
      <c r="H128" s="507"/>
      <c r="I128" s="507"/>
      <c r="J128" s="507"/>
      <c r="K128" s="507"/>
      <c r="L128" s="507"/>
      <c r="M128" s="507"/>
      <c r="N128" s="507"/>
      <c r="O128" s="507"/>
      <c r="P128" s="507"/>
      <c r="Q128" s="507"/>
      <c r="R128" s="507"/>
      <c r="S128" s="507"/>
      <c r="T128" s="507"/>
      <c r="U128" s="507"/>
      <c r="V128" s="510"/>
      <c r="W128" s="510"/>
      <c r="X128" s="510"/>
      <c r="Y128" s="507"/>
    </row>
    <row r="129" spans="1:25">
      <c r="A129" s="507"/>
      <c r="E129" s="507"/>
      <c r="F129" s="510"/>
      <c r="G129" s="510"/>
      <c r="H129" s="507"/>
      <c r="I129" s="507"/>
      <c r="J129" s="507"/>
      <c r="K129" s="507"/>
      <c r="L129" s="507"/>
      <c r="M129" s="507"/>
      <c r="N129" s="507"/>
      <c r="O129" s="507"/>
      <c r="P129" s="507"/>
      <c r="Q129" s="507"/>
      <c r="R129" s="507"/>
      <c r="S129" s="507"/>
      <c r="T129" s="507"/>
      <c r="U129" s="507"/>
      <c r="V129" s="510"/>
      <c r="W129" s="510"/>
      <c r="X129" s="510"/>
      <c r="Y129" s="507"/>
    </row>
    <row r="130" spans="1:25">
      <c r="A130" s="507"/>
      <c r="E130" s="507"/>
      <c r="F130" s="510"/>
      <c r="G130" s="510"/>
      <c r="H130" s="507"/>
      <c r="I130" s="507"/>
      <c r="J130" s="507"/>
      <c r="K130" s="507"/>
      <c r="L130" s="507"/>
      <c r="M130" s="507"/>
      <c r="N130" s="507"/>
      <c r="O130" s="507"/>
      <c r="P130" s="507"/>
      <c r="Q130" s="507"/>
      <c r="R130" s="507"/>
      <c r="S130" s="507"/>
      <c r="T130" s="507"/>
      <c r="U130" s="507"/>
      <c r="V130" s="510"/>
      <c r="W130" s="510"/>
      <c r="X130" s="510"/>
      <c r="Y130" s="507"/>
    </row>
    <row r="131" spans="1:25">
      <c r="A131" s="507"/>
      <c r="E131" s="507"/>
      <c r="F131" s="510"/>
      <c r="G131" s="510"/>
      <c r="H131" s="507"/>
      <c r="I131" s="507"/>
      <c r="J131" s="507"/>
      <c r="K131" s="507"/>
      <c r="L131" s="507"/>
      <c r="M131" s="507"/>
      <c r="N131" s="507"/>
      <c r="O131" s="507"/>
      <c r="P131" s="507"/>
      <c r="Q131" s="507"/>
      <c r="R131" s="507"/>
      <c r="S131" s="507"/>
      <c r="T131" s="507"/>
      <c r="U131" s="507"/>
      <c r="V131" s="510"/>
      <c r="W131" s="510"/>
      <c r="X131" s="510"/>
      <c r="Y131" s="507"/>
    </row>
    <row r="132" spans="1:25">
      <c r="A132" s="507"/>
      <c r="E132" s="507"/>
      <c r="F132" s="510"/>
      <c r="G132" s="510"/>
      <c r="H132" s="507"/>
      <c r="I132" s="507"/>
      <c r="J132" s="507"/>
      <c r="K132" s="507"/>
      <c r="L132" s="507"/>
      <c r="M132" s="507"/>
      <c r="N132" s="507"/>
      <c r="O132" s="507"/>
      <c r="P132" s="507"/>
      <c r="Q132" s="507"/>
      <c r="R132" s="507"/>
      <c r="S132" s="507"/>
      <c r="T132" s="507"/>
      <c r="U132" s="507"/>
      <c r="V132" s="510"/>
      <c r="W132" s="510"/>
      <c r="X132" s="510"/>
      <c r="Y132" s="507"/>
    </row>
    <row r="133" spans="1:25">
      <c r="A133" s="507"/>
      <c r="E133" s="507"/>
      <c r="F133" s="510"/>
      <c r="G133" s="510"/>
      <c r="H133" s="507"/>
      <c r="I133" s="507"/>
      <c r="J133" s="507"/>
      <c r="K133" s="507"/>
      <c r="L133" s="507"/>
      <c r="M133" s="507"/>
      <c r="N133" s="507"/>
      <c r="O133" s="507"/>
      <c r="P133" s="507"/>
      <c r="Q133" s="507"/>
      <c r="R133" s="507"/>
      <c r="S133" s="507"/>
      <c r="T133" s="507"/>
      <c r="U133" s="507"/>
      <c r="V133" s="510"/>
      <c r="W133" s="510"/>
      <c r="X133" s="510"/>
      <c r="Y133" s="507"/>
    </row>
    <row r="134" spans="1:25">
      <c r="A134" s="507"/>
      <c r="E134" s="507"/>
      <c r="F134" s="510"/>
      <c r="G134" s="510"/>
      <c r="H134" s="507"/>
      <c r="I134" s="507"/>
      <c r="J134" s="507"/>
      <c r="K134" s="507"/>
      <c r="L134" s="507"/>
      <c r="M134" s="507"/>
      <c r="N134" s="507"/>
      <c r="O134" s="507"/>
      <c r="P134" s="507"/>
      <c r="Q134" s="507"/>
      <c r="R134" s="507"/>
      <c r="S134" s="507"/>
      <c r="T134" s="507"/>
      <c r="U134" s="507"/>
      <c r="V134" s="510"/>
      <c r="W134" s="510"/>
      <c r="X134" s="510"/>
      <c r="Y134" s="507"/>
    </row>
    <row r="135" spans="1:25">
      <c r="A135" s="507"/>
      <c r="E135" s="507"/>
      <c r="F135" s="510"/>
      <c r="G135" s="510"/>
      <c r="H135" s="507"/>
      <c r="I135" s="507"/>
      <c r="J135" s="507"/>
      <c r="K135" s="507"/>
      <c r="L135" s="507"/>
      <c r="M135" s="507"/>
      <c r="N135" s="507"/>
      <c r="O135" s="507"/>
      <c r="P135" s="507"/>
      <c r="Q135" s="507"/>
      <c r="R135" s="507"/>
      <c r="S135" s="507"/>
      <c r="T135" s="507"/>
      <c r="U135" s="507"/>
      <c r="V135" s="510"/>
      <c r="W135" s="510"/>
      <c r="X135" s="510"/>
      <c r="Y135" s="507"/>
    </row>
    <row r="136" spans="1:25">
      <c r="A136" s="507"/>
      <c r="E136" s="507"/>
      <c r="F136" s="510"/>
      <c r="G136" s="510"/>
      <c r="H136" s="507"/>
      <c r="I136" s="507"/>
      <c r="J136" s="507"/>
      <c r="K136" s="507"/>
      <c r="L136" s="507"/>
      <c r="M136" s="507"/>
      <c r="N136" s="507"/>
      <c r="O136" s="507"/>
      <c r="P136" s="507"/>
      <c r="Q136" s="507"/>
      <c r="R136" s="507"/>
      <c r="S136" s="507"/>
      <c r="T136" s="507"/>
      <c r="U136" s="507"/>
      <c r="V136" s="510"/>
      <c r="W136" s="510"/>
      <c r="X136" s="510"/>
      <c r="Y136" s="507"/>
    </row>
    <row r="137" spans="1:25">
      <c r="A137" s="507"/>
      <c r="E137" s="507"/>
      <c r="F137" s="510"/>
      <c r="G137" s="510"/>
      <c r="H137" s="507"/>
      <c r="I137" s="507"/>
      <c r="J137" s="507"/>
      <c r="K137" s="507"/>
      <c r="L137" s="507"/>
      <c r="M137" s="507"/>
      <c r="N137" s="507"/>
      <c r="O137" s="507"/>
      <c r="P137" s="507"/>
      <c r="Q137" s="507"/>
      <c r="R137" s="507"/>
      <c r="S137" s="507"/>
      <c r="T137" s="507"/>
      <c r="U137" s="507"/>
      <c r="V137" s="510"/>
      <c r="W137" s="510"/>
      <c r="X137" s="510"/>
      <c r="Y137" s="507"/>
    </row>
    <row r="138" spans="1:25">
      <c r="A138" s="507"/>
      <c r="E138" s="507"/>
      <c r="F138" s="510"/>
      <c r="G138" s="510"/>
      <c r="H138" s="507"/>
      <c r="I138" s="507"/>
      <c r="J138" s="507"/>
      <c r="K138" s="507"/>
      <c r="L138" s="507"/>
      <c r="M138" s="507"/>
      <c r="N138" s="507"/>
      <c r="O138" s="507"/>
      <c r="P138" s="507"/>
      <c r="Q138" s="507"/>
      <c r="R138" s="507"/>
      <c r="S138" s="507"/>
      <c r="T138" s="507"/>
      <c r="U138" s="507"/>
      <c r="V138" s="510"/>
      <c r="W138" s="510"/>
      <c r="X138" s="510"/>
      <c r="Y138" s="507"/>
    </row>
    <row r="139" spans="1:25">
      <c r="A139" s="507"/>
      <c r="E139" s="507"/>
      <c r="F139" s="510"/>
      <c r="G139" s="510"/>
      <c r="H139" s="507"/>
      <c r="I139" s="507"/>
      <c r="J139" s="507"/>
      <c r="K139" s="507"/>
      <c r="L139" s="507"/>
      <c r="M139" s="507"/>
      <c r="N139" s="507"/>
      <c r="O139" s="507"/>
      <c r="P139" s="507"/>
      <c r="Q139" s="507"/>
      <c r="R139" s="507"/>
      <c r="S139" s="507"/>
      <c r="T139" s="507"/>
      <c r="U139" s="507"/>
      <c r="V139" s="510"/>
      <c r="W139" s="510"/>
      <c r="X139" s="510"/>
      <c r="Y139" s="507"/>
    </row>
    <row r="140" spans="1:25">
      <c r="A140" s="507"/>
      <c r="E140" s="507"/>
      <c r="F140" s="510"/>
      <c r="G140" s="510"/>
      <c r="H140" s="507"/>
      <c r="I140" s="507"/>
      <c r="J140" s="507"/>
      <c r="K140" s="507"/>
      <c r="L140" s="507"/>
      <c r="M140" s="507"/>
      <c r="N140" s="507"/>
      <c r="O140" s="507"/>
      <c r="P140" s="507"/>
      <c r="Q140" s="507"/>
      <c r="R140" s="507"/>
      <c r="S140" s="507"/>
      <c r="T140" s="507"/>
      <c r="U140" s="507"/>
      <c r="V140" s="510"/>
      <c r="W140" s="510"/>
      <c r="X140" s="510"/>
      <c r="Y140" s="507"/>
    </row>
    <row r="141" spans="1:25">
      <c r="A141" s="507"/>
      <c r="E141" s="507"/>
      <c r="F141" s="510"/>
      <c r="G141" s="510"/>
      <c r="H141" s="507"/>
      <c r="I141" s="507"/>
      <c r="J141" s="507"/>
      <c r="K141" s="507"/>
      <c r="L141" s="507"/>
      <c r="M141" s="507"/>
      <c r="N141" s="507"/>
      <c r="O141" s="507"/>
      <c r="P141" s="507"/>
      <c r="Q141" s="507"/>
      <c r="R141" s="507"/>
      <c r="S141" s="507"/>
      <c r="T141" s="507"/>
      <c r="U141" s="507"/>
      <c r="V141" s="510"/>
      <c r="W141" s="510"/>
      <c r="X141" s="510"/>
      <c r="Y141" s="507"/>
    </row>
    <row r="142" spans="1:25">
      <c r="A142" s="507"/>
      <c r="E142" s="507"/>
      <c r="F142" s="510"/>
      <c r="G142" s="510"/>
      <c r="H142" s="507"/>
      <c r="I142" s="507"/>
      <c r="J142" s="507"/>
      <c r="K142" s="507"/>
      <c r="L142" s="507"/>
      <c r="M142" s="507"/>
      <c r="N142" s="507"/>
      <c r="O142" s="507"/>
      <c r="P142" s="507"/>
      <c r="Q142" s="507"/>
      <c r="R142" s="507"/>
      <c r="S142" s="507"/>
      <c r="T142" s="507"/>
      <c r="U142" s="507"/>
      <c r="V142" s="510"/>
      <c r="W142" s="510"/>
      <c r="X142" s="510"/>
      <c r="Y142" s="507"/>
    </row>
    <row r="143" spans="1:25">
      <c r="A143" s="507"/>
      <c r="E143" s="507"/>
      <c r="F143" s="510"/>
      <c r="G143" s="510"/>
      <c r="H143" s="507"/>
      <c r="I143" s="507"/>
      <c r="J143" s="507"/>
      <c r="K143" s="507"/>
      <c r="L143" s="507"/>
      <c r="M143" s="507"/>
      <c r="N143" s="507"/>
      <c r="O143" s="507"/>
      <c r="P143" s="507"/>
      <c r="Q143" s="507"/>
      <c r="R143" s="507"/>
      <c r="S143" s="507"/>
      <c r="T143" s="507"/>
      <c r="U143" s="507"/>
      <c r="V143" s="510"/>
      <c r="W143" s="510"/>
      <c r="X143" s="510"/>
      <c r="Y143" s="507"/>
    </row>
    <row r="144" spans="1:25">
      <c r="A144" s="507"/>
      <c r="E144" s="507"/>
      <c r="F144" s="510"/>
      <c r="G144" s="510"/>
      <c r="H144" s="507"/>
      <c r="I144" s="507"/>
      <c r="J144" s="507"/>
      <c r="K144" s="507"/>
      <c r="L144" s="507"/>
      <c r="M144" s="507"/>
      <c r="N144" s="507"/>
      <c r="O144" s="507"/>
      <c r="P144" s="507"/>
      <c r="Q144" s="507"/>
      <c r="R144" s="507"/>
      <c r="S144" s="507"/>
      <c r="T144" s="507"/>
      <c r="U144" s="507"/>
      <c r="V144" s="510"/>
      <c r="W144" s="510"/>
      <c r="X144" s="510"/>
      <c r="Y144" s="507"/>
    </row>
    <row r="145" spans="1:25">
      <c r="A145" s="507"/>
      <c r="E145" s="507"/>
      <c r="F145" s="510"/>
      <c r="G145" s="510"/>
      <c r="H145" s="507"/>
      <c r="I145" s="507"/>
      <c r="J145" s="507"/>
      <c r="K145" s="507"/>
      <c r="L145" s="507"/>
      <c r="M145" s="507"/>
      <c r="N145" s="507"/>
      <c r="O145" s="507"/>
      <c r="P145" s="507"/>
      <c r="Q145" s="507"/>
      <c r="R145" s="507"/>
      <c r="S145" s="507"/>
      <c r="T145" s="507"/>
      <c r="U145" s="507"/>
      <c r="V145" s="510"/>
      <c r="W145" s="510"/>
      <c r="X145" s="510"/>
      <c r="Y145" s="507"/>
    </row>
    <row r="146" spans="1:25">
      <c r="A146" s="507"/>
      <c r="E146" s="507"/>
      <c r="F146" s="510"/>
      <c r="G146" s="510"/>
      <c r="H146" s="507"/>
      <c r="I146" s="507"/>
      <c r="J146" s="507"/>
      <c r="K146" s="507"/>
      <c r="L146" s="507"/>
      <c r="M146" s="507"/>
      <c r="N146" s="507"/>
      <c r="O146" s="507"/>
      <c r="P146" s="507"/>
      <c r="Q146" s="507"/>
      <c r="R146" s="507"/>
      <c r="S146" s="507"/>
      <c r="T146" s="507"/>
      <c r="U146" s="507"/>
      <c r="V146" s="510"/>
      <c r="W146" s="510"/>
      <c r="X146" s="510"/>
      <c r="Y146" s="507"/>
    </row>
    <row r="147" spans="1:25">
      <c r="A147" s="507"/>
      <c r="E147" s="507"/>
      <c r="F147" s="510"/>
      <c r="G147" s="510"/>
      <c r="H147" s="507"/>
      <c r="I147" s="507"/>
      <c r="J147" s="507"/>
      <c r="K147" s="507"/>
      <c r="L147" s="507"/>
      <c r="M147" s="507"/>
      <c r="N147" s="507"/>
      <c r="O147" s="507"/>
      <c r="P147" s="507"/>
      <c r="Q147" s="507"/>
      <c r="R147" s="507"/>
      <c r="S147" s="507"/>
      <c r="T147" s="507"/>
      <c r="U147" s="507"/>
      <c r="V147" s="510"/>
      <c r="W147" s="510"/>
      <c r="X147" s="510"/>
      <c r="Y147" s="507"/>
    </row>
    <row r="148" spans="1:25">
      <c r="A148" s="507"/>
      <c r="E148" s="507"/>
      <c r="F148" s="510"/>
      <c r="G148" s="510"/>
      <c r="H148" s="507"/>
      <c r="I148" s="507"/>
      <c r="J148" s="507"/>
      <c r="K148" s="507"/>
      <c r="L148" s="507"/>
      <c r="M148" s="507"/>
      <c r="N148" s="507"/>
      <c r="O148" s="507"/>
      <c r="P148" s="507"/>
      <c r="Q148" s="507"/>
      <c r="R148" s="507"/>
      <c r="S148" s="507"/>
      <c r="T148" s="507"/>
      <c r="U148" s="507"/>
      <c r="V148" s="510"/>
      <c r="W148" s="510"/>
      <c r="X148" s="510"/>
      <c r="Y148" s="507"/>
    </row>
    <row r="149" spans="1:25">
      <c r="A149" s="507"/>
      <c r="E149" s="507"/>
      <c r="F149" s="510"/>
      <c r="G149" s="510"/>
      <c r="H149" s="507"/>
      <c r="I149" s="507"/>
      <c r="J149" s="507"/>
      <c r="K149" s="507"/>
      <c r="L149" s="507"/>
      <c r="M149" s="507"/>
      <c r="N149" s="507"/>
      <c r="O149" s="507"/>
      <c r="P149" s="507"/>
      <c r="Q149" s="507"/>
      <c r="R149" s="507"/>
      <c r="S149" s="507"/>
      <c r="T149" s="507"/>
      <c r="U149" s="507"/>
      <c r="V149" s="510"/>
      <c r="W149" s="510"/>
      <c r="X149" s="510"/>
      <c r="Y149" s="507"/>
    </row>
    <row r="150" spans="1:25">
      <c r="A150" s="507"/>
      <c r="E150" s="507"/>
      <c r="F150" s="510"/>
      <c r="G150" s="510"/>
      <c r="H150" s="507"/>
      <c r="I150" s="507"/>
      <c r="J150" s="507"/>
      <c r="K150" s="507"/>
      <c r="L150" s="507"/>
      <c r="M150" s="507"/>
      <c r="N150" s="507"/>
      <c r="O150" s="507"/>
      <c r="P150" s="507"/>
      <c r="Q150" s="507"/>
      <c r="R150" s="507"/>
      <c r="S150" s="507"/>
      <c r="T150" s="507"/>
      <c r="U150" s="507"/>
      <c r="V150" s="510"/>
      <c r="W150" s="510"/>
      <c r="X150" s="510"/>
      <c r="Y150" s="507"/>
    </row>
    <row r="151" spans="1:25">
      <c r="A151" s="507"/>
      <c r="E151" s="507"/>
      <c r="F151" s="510"/>
      <c r="G151" s="510"/>
      <c r="H151" s="507"/>
      <c r="I151" s="507"/>
      <c r="J151" s="507"/>
      <c r="K151" s="507"/>
      <c r="L151" s="507"/>
      <c r="M151" s="507"/>
      <c r="N151" s="507"/>
      <c r="O151" s="507"/>
      <c r="P151" s="507"/>
      <c r="Q151" s="507"/>
      <c r="R151" s="507"/>
      <c r="S151" s="507"/>
      <c r="T151" s="507"/>
      <c r="U151" s="507"/>
      <c r="V151" s="510"/>
      <c r="W151" s="510"/>
      <c r="X151" s="510"/>
      <c r="Y151" s="507"/>
    </row>
    <row r="152" spans="1:25">
      <c r="A152" s="507"/>
      <c r="E152" s="507"/>
      <c r="F152" s="510"/>
      <c r="G152" s="510"/>
      <c r="H152" s="507"/>
      <c r="I152" s="507"/>
      <c r="J152" s="507"/>
      <c r="K152" s="507"/>
      <c r="L152" s="507"/>
      <c r="M152" s="507"/>
      <c r="N152" s="507"/>
      <c r="O152" s="507"/>
      <c r="P152" s="507"/>
      <c r="Q152" s="507"/>
      <c r="R152" s="507"/>
      <c r="S152" s="507"/>
      <c r="T152" s="507"/>
      <c r="U152" s="507"/>
      <c r="V152" s="510"/>
      <c r="W152" s="510"/>
      <c r="X152" s="510"/>
      <c r="Y152" s="507"/>
    </row>
    <row r="153" spans="1:25">
      <c r="A153" s="507"/>
      <c r="E153" s="507"/>
      <c r="F153" s="510"/>
      <c r="G153" s="510"/>
      <c r="H153" s="507"/>
      <c r="I153" s="507"/>
      <c r="J153" s="507"/>
      <c r="K153" s="507"/>
      <c r="L153" s="507"/>
      <c r="M153" s="507"/>
      <c r="N153" s="507"/>
      <c r="O153" s="507"/>
      <c r="P153" s="507"/>
      <c r="Q153" s="507"/>
      <c r="R153" s="507"/>
      <c r="S153" s="507"/>
      <c r="T153" s="507"/>
      <c r="U153" s="507"/>
      <c r="V153" s="510"/>
      <c r="W153" s="510"/>
      <c r="X153" s="510"/>
      <c r="Y153" s="507"/>
    </row>
    <row r="154" spans="1:25">
      <c r="A154" s="507"/>
      <c r="E154" s="507"/>
      <c r="F154" s="510"/>
      <c r="G154" s="510"/>
      <c r="H154" s="507"/>
      <c r="I154" s="507"/>
      <c r="J154" s="507"/>
      <c r="K154" s="507"/>
      <c r="L154" s="507"/>
      <c r="M154" s="507"/>
      <c r="N154" s="507"/>
      <c r="O154" s="507"/>
      <c r="P154" s="507"/>
      <c r="Q154" s="507"/>
      <c r="R154" s="507"/>
      <c r="S154" s="507"/>
      <c r="T154" s="507"/>
      <c r="U154" s="507"/>
      <c r="V154" s="510"/>
      <c r="W154" s="510"/>
      <c r="X154" s="510"/>
      <c r="Y154" s="507"/>
    </row>
    <row r="155" spans="1:25">
      <c r="A155" s="507"/>
      <c r="E155" s="507"/>
      <c r="F155" s="510"/>
      <c r="G155" s="510"/>
      <c r="H155" s="507"/>
      <c r="I155" s="507"/>
      <c r="J155" s="507"/>
      <c r="K155" s="507"/>
      <c r="L155" s="507"/>
      <c r="M155" s="507"/>
      <c r="N155" s="507"/>
      <c r="O155" s="507"/>
      <c r="P155" s="507"/>
      <c r="Q155" s="507"/>
      <c r="R155" s="507"/>
      <c r="S155" s="507"/>
      <c r="T155" s="507"/>
      <c r="U155" s="507"/>
      <c r="V155" s="510"/>
      <c r="W155" s="510"/>
      <c r="X155" s="510"/>
      <c r="Y155" s="507"/>
    </row>
    <row r="156" spans="1:25">
      <c r="A156" s="507"/>
      <c r="E156" s="507"/>
      <c r="F156" s="510"/>
      <c r="G156" s="510"/>
      <c r="H156" s="507"/>
      <c r="I156" s="507"/>
      <c r="J156" s="507"/>
      <c r="K156" s="507"/>
      <c r="L156" s="507"/>
      <c r="M156" s="507"/>
      <c r="N156" s="507"/>
      <c r="O156" s="507"/>
      <c r="P156" s="507"/>
      <c r="Q156" s="507"/>
      <c r="R156" s="507"/>
      <c r="S156" s="507"/>
      <c r="T156" s="507"/>
      <c r="U156" s="507"/>
      <c r="V156" s="510"/>
      <c r="W156" s="510"/>
      <c r="X156" s="510"/>
      <c r="Y156" s="507"/>
    </row>
    <row r="157" spans="1:25">
      <c r="A157" s="507"/>
      <c r="E157" s="507"/>
      <c r="F157" s="510"/>
      <c r="G157" s="510"/>
      <c r="H157" s="507"/>
      <c r="I157" s="507"/>
      <c r="J157" s="507"/>
      <c r="K157" s="507"/>
      <c r="L157" s="507"/>
      <c r="M157" s="507"/>
      <c r="N157" s="507"/>
      <c r="O157" s="507"/>
      <c r="P157" s="507"/>
      <c r="Q157" s="507"/>
      <c r="R157" s="507"/>
      <c r="S157" s="507"/>
      <c r="T157" s="507"/>
      <c r="U157" s="507"/>
      <c r="V157" s="510"/>
      <c r="W157" s="510"/>
      <c r="X157" s="510"/>
      <c r="Y157" s="507"/>
    </row>
    <row r="158" spans="1:25">
      <c r="A158" s="507"/>
      <c r="E158" s="507"/>
      <c r="F158" s="510"/>
      <c r="G158" s="510"/>
      <c r="H158" s="507"/>
      <c r="I158" s="507"/>
      <c r="J158" s="507"/>
      <c r="K158" s="507"/>
      <c r="L158" s="507"/>
      <c r="M158" s="507"/>
      <c r="N158" s="507"/>
      <c r="O158" s="507"/>
      <c r="P158" s="507"/>
      <c r="Q158" s="507"/>
      <c r="R158" s="507"/>
      <c r="S158" s="507"/>
      <c r="T158" s="507"/>
      <c r="U158" s="507"/>
      <c r="V158" s="510"/>
      <c r="W158" s="510"/>
      <c r="X158" s="510"/>
      <c r="Y158" s="507"/>
    </row>
    <row r="159" spans="1:25">
      <c r="A159" s="507"/>
      <c r="E159" s="507"/>
      <c r="F159" s="510"/>
      <c r="G159" s="510"/>
      <c r="H159" s="507"/>
      <c r="I159" s="507"/>
      <c r="J159" s="507"/>
      <c r="K159" s="507"/>
      <c r="L159" s="507"/>
      <c r="M159" s="507"/>
      <c r="N159" s="507"/>
      <c r="O159" s="507"/>
      <c r="P159" s="507"/>
      <c r="Q159" s="507"/>
      <c r="R159" s="507"/>
      <c r="S159" s="507"/>
      <c r="T159" s="507"/>
      <c r="U159" s="507"/>
      <c r="V159" s="510"/>
      <c r="W159" s="510"/>
      <c r="X159" s="510"/>
      <c r="Y159" s="507"/>
    </row>
    <row r="160" spans="1:25">
      <c r="A160" s="507"/>
      <c r="E160" s="507"/>
      <c r="F160" s="510"/>
      <c r="G160" s="510"/>
      <c r="H160" s="507"/>
      <c r="I160" s="507"/>
      <c r="J160" s="507"/>
      <c r="K160" s="507"/>
      <c r="L160" s="507"/>
      <c r="M160" s="507"/>
      <c r="N160" s="507"/>
      <c r="O160" s="507"/>
      <c r="P160" s="507"/>
      <c r="Q160" s="507"/>
      <c r="R160" s="507"/>
      <c r="S160" s="507"/>
      <c r="T160" s="507"/>
      <c r="U160" s="507"/>
      <c r="V160" s="510"/>
      <c r="W160" s="510"/>
      <c r="X160" s="510"/>
      <c r="Y160" s="507"/>
    </row>
    <row r="161" spans="1:25">
      <c r="A161" s="507"/>
      <c r="E161" s="507"/>
      <c r="F161" s="510"/>
      <c r="G161" s="510"/>
      <c r="H161" s="507"/>
      <c r="I161" s="507"/>
      <c r="J161" s="507"/>
      <c r="K161" s="507"/>
      <c r="L161" s="507"/>
      <c r="M161" s="507"/>
      <c r="N161" s="507"/>
      <c r="O161" s="507"/>
      <c r="P161" s="507"/>
      <c r="Q161" s="507"/>
      <c r="R161" s="507"/>
      <c r="S161" s="507"/>
      <c r="T161" s="507"/>
      <c r="U161" s="507"/>
      <c r="V161" s="510"/>
      <c r="W161" s="510"/>
      <c r="X161" s="510"/>
      <c r="Y161" s="507"/>
    </row>
    <row r="162" spans="1:25">
      <c r="A162" s="507"/>
      <c r="E162" s="507"/>
      <c r="F162" s="510"/>
      <c r="G162" s="510"/>
      <c r="H162" s="507"/>
      <c r="I162" s="507"/>
      <c r="J162" s="507"/>
      <c r="K162" s="507"/>
      <c r="L162" s="507"/>
      <c r="M162" s="507"/>
      <c r="N162" s="507"/>
      <c r="O162" s="507"/>
      <c r="P162" s="507"/>
      <c r="Q162" s="507"/>
      <c r="R162" s="507"/>
      <c r="S162" s="507"/>
      <c r="T162" s="507"/>
      <c r="U162" s="507"/>
      <c r="V162" s="510"/>
      <c r="W162" s="510"/>
      <c r="X162" s="510"/>
      <c r="Y162" s="507"/>
    </row>
    <row r="163" spans="1:25">
      <c r="A163" s="507"/>
      <c r="E163" s="507"/>
      <c r="F163" s="510"/>
      <c r="G163" s="510"/>
      <c r="H163" s="507"/>
      <c r="I163" s="507"/>
      <c r="J163" s="507"/>
      <c r="K163" s="507"/>
      <c r="L163" s="507"/>
      <c r="M163" s="507"/>
      <c r="N163" s="507"/>
      <c r="O163" s="507"/>
      <c r="P163" s="507"/>
      <c r="Q163" s="507"/>
      <c r="R163" s="507"/>
      <c r="S163" s="507"/>
      <c r="T163" s="507"/>
      <c r="U163" s="507"/>
      <c r="V163" s="510"/>
      <c r="W163" s="510"/>
      <c r="X163" s="510"/>
      <c r="Y163" s="507"/>
    </row>
    <row r="164" spans="1:25">
      <c r="A164" s="507"/>
      <c r="E164" s="507"/>
      <c r="F164" s="510"/>
      <c r="G164" s="510"/>
      <c r="H164" s="507"/>
      <c r="I164" s="507"/>
      <c r="J164" s="507"/>
      <c r="K164" s="507"/>
      <c r="L164" s="507"/>
      <c r="M164" s="507"/>
      <c r="N164" s="507"/>
      <c r="O164" s="507"/>
      <c r="P164" s="507"/>
      <c r="Q164" s="507"/>
      <c r="R164" s="507"/>
      <c r="S164" s="507"/>
      <c r="T164" s="507"/>
      <c r="U164" s="507"/>
      <c r="V164" s="510"/>
      <c r="W164" s="510"/>
      <c r="X164" s="510"/>
      <c r="Y164" s="507"/>
    </row>
    <row r="165" spans="1:25">
      <c r="A165" s="507"/>
      <c r="E165" s="507"/>
      <c r="F165" s="510"/>
      <c r="G165" s="510"/>
      <c r="H165" s="507"/>
      <c r="I165" s="507"/>
      <c r="J165" s="507"/>
      <c r="K165" s="507"/>
      <c r="L165" s="507"/>
      <c r="M165" s="507"/>
      <c r="N165" s="507"/>
      <c r="O165" s="507"/>
      <c r="P165" s="507"/>
      <c r="Q165" s="507"/>
      <c r="R165" s="507"/>
      <c r="S165" s="507"/>
      <c r="T165" s="507"/>
      <c r="U165" s="507"/>
      <c r="V165" s="510"/>
      <c r="W165" s="510"/>
      <c r="X165" s="510"/>
      <c r="Y165" s="507"/>
    </row>
    <row r="166" spans="1:25">
      <c r="A166" s="507"/>
      <c r="E166" s="507"/>
      <c r="F166" s="510"/>
      <c r="G166" s="510"/>
      <c r="H166" s="507"/>
      <c r="I166" s="507"/>
      <c r="J166" s="507"/>
      <c r="K166" s="507"/>
      <c r="L166" s="507"/>
      <c r="M166" s="507"/>
      <c r="N166" s="507"/>
      <c r="O166" s="507"/>
      <c r="P166" s="507"/>
      <c r="Q166" s="507"/>
      <c r="R166" s="507"/>
      <c r="S166" s="507"/>
      <c r="T166" s="507"/>
      <c r="U166" s="507"/>
      <c r="V166" s="510"/>
      <c r="W166" s="510"/>
      <c r="X166" s="510"/>
      <c r="Y166" s="507"/>
    </row>
    <row r="167" spans="1:25">
      <c r="A167" s="507"/>
      <c r="E167" s="507"/>
      <c r="F167" s="510"/>
      <c r="G167" s="510"/>
      <c r="H167" s="507"/>
      <c r="I167" s="507"/>
      <c r="J167" s="507"/>
      <c r="K167" s="507"/>
      <c r="L167" s="507"/>
      <c r="M167" s="507"/>
      <c r="N167" s="507"/>
      <c r="O167" s="507"/>
      <c r="P167" s="507"/>
      <c r="Q167" s="507"/>
      <c r="R167" s="507"/>
      <c r="S167" s="507"/>
      <c r="T167" s="507"/>
      <c r="U167" s="507"/>
      <c r="V167" s="510"/>
      <c r="W167" s="510"/>
      <c r="X167" s="510"/>
      <c r="Y167" s="507"/>
    </row>
    <row r="168" spans="1:25">
      <c r="A168" s="507"/>
      <c r="E168" s="507"/>
      <c r="F168" s="510"/>
      <c r="G168" s="510"/>
      <c r="H168" s="507"/>
      <c r="I168" s="507"/>
      <c r="J168" s="507"/>
      <c r="K168" s="507"/>
      <c r="L168" s="507"/>
      <c r="M168" s="507"/>
      <c r="N168" s="507"/>
      <c r="O168" s="507"/>
      <c r="P168" s="507"/>
      <c r="Q168" s="507"/>
      <c r="R168" s="507"/>
      <c r="S168" s="507"/>
      <c r="T168" s="507"/>
      <c r="U168" s="507"/>
      <c r="V168" s="510"/>
      <c r="W168" s="510"/>
      <c r="X168" s="510"/>
      <c r="Y168" s="507"/>
    </row>
    <row r="169" spans="1:25">
      <c r="A169" s="507"/>
      <c r="E169" s="507"/>
      <c r="F169" s="510"/>
      <c r="G169" s="510"/>
      <c r="H169" s="507"/>
      <c r="I169" s="507"/>
      <c r="J169" s="507"/>
      <c r="K169" s="507"/>
      <c r="L169" s="507"/>
      <c r="M169" s="507"/>
      <c r="N169" s="507"/>
      <c r="O169" s="507"/>
      <c r="P169" s="507"/>
      <c r="Q169" s="507"/>
      <c r="R169" s="507"/>
      <c r="S169" s="507"/>
      <c r="T169" s="507"/>
      <c r="U169" s="507"/>
      <c r="V169" s="510"/>
      <c r="W169" s="510"/>
      <c r="X169" s="510"/>
      <c r="Y169" s="507"/>
    </row>
    <row r="170" spans="1:25">
      <c r="A170" s="507"/>
      <c r="E170" s="507"/>
      <c r="F170" s="510"/>
      <c r="G170" s="510"/>
      <c r="H170" s="507"/>
      <c r="I170" s="507"/>
      <c r="J170" s="507"/>
      <c r="K170" s="507"/>
      <c r="L170" s="507"/>
      <c r="M170" s="507"/>
      <c r="N170" s="507"/>
      <c r="O170" s="507"/>
      <c r="P170" s="507"/>
      <c r="Q170" s="507"/>
      <c r="R170" s="507"/>
      <c r="S170" s="507"/>
      <c r="T170" s="507"/>
      <c r="U170" s="507"/>
      <c r="V170" s="510"/>
      <c r="W170" s="510"/>
      <c r="X170" s="510"/>
      <c r="Y170" s="507"/>
    </row>
    <row r="171" spans="1:25">
      <c r="A171" s="507"/>
      <c r="E171" s="507"/>
      <c r="F171" s="510"/>
      <c r="G171" s="510"/>
      <c r="H171" s="507"/>
      <c r="I171" s="507"/>
      <c r="J171" s="507"/>
      <c r="K171" s="507"/>
      <c r="L171" s="507"/>
      <c r="M171" s="507"/>
      <c r="N171" s="507"/>
      <c r="O171" s="507"/>
      <c r="P171" s="507"/>
      <c r="Q171" s="507"/>
      <c r="R171" s="507"/>
      <c r="S171" s="507"/>
      <c r="T171" s="507"/>
      <c r="U171" s="507"/>
      <c r="V171" s="510"/>
      <c r="W171" s="510"/>
      <c r="X171" s="510"/>
      <c r="Y171" s="507"/>
    </row>
    <row r="172" spans="1:25">
      <c r="A172" s="507"/>
      <c r="E172" s="507"/>
      <c r="F172" s="510"/>
      <c r="G172" s="510"/>
      <c r="H172" s="507"/>
      <c r="I172" s="507"/>
      <c r="J172" s="507"/>
      <c r="K172" s="507"/>
      <c r="L172" s="507"/>
      <c r="M172" s="507"/>
      <c r="N172" s="507"/>
      <c r="O172" s="507"/>
      <c r="P172" s="507"/>
      <c r="Q172" s="507"/>
      <c r="R172" s="507"/>
      <c r="S172" s="507"/>
      <c r="T172" s="507"/>
      <c r="U172" s="507"/>
      <c r="V172" s="510"/>
      <c r="W172" s="510"/>
      <c r="X172" s="510"/>
      <c r="Y172" s="507"/>
    </row>
    <row r="173" spans="1:25">
      <c r="A173" s="507"/>
      <c r="E173" s="507"/>
      <c r="F173" s="510"/>
      <c r="G173" s="510"/>
      <c r="H173" s="507"/>
      <c r="I173" s="507"/>
      <c r="J173" s="507"/>
      <c r="K173" s="507"/>
      <c r="L173" s="507"/>
      <c r="M173" s="507"/>
      <c r="N173" s="507"/>
      <c r="O173" s="507"/>
      <c r="P173" s="507"/>
      <c r="Q173" s="507"/>
      <c r="R173" s="507"/>
      <c r="S173" s="507"/>
      <c r="T173" s="507"/>
      <c r="U173" s="507"/>
      <c r="V173" s="510"/>
      <c r="W173" s="510"/>
      <c r="X173" s="510"/>
      <c r="Y173" s="507"/>
    </row>
    <row r="174" spans="1:25">
      <c r="A174" s="507"/>
      <c r="E174" s="507"/>
      <c r="F174" s="510"/>
      <c r="G174" s="510"/>
      <c r="H174" s="507"/>
      <c r="I174" s="507"/>
      <c r="J174" s="507"/>
      <c r="K174" s="507"/>
      <c r="L174" s="507"/>
      <c r="M174" s="507"/>
      <c r="N174" s="507"/>
      <c r="O174" s="507"/>
      <c r="P174" s="507"/>
      <c r="Q174" s="507"/>
      <c r="R174" s="507"/>
      <c r="S174" s="507"/>
      <c r="T174" s="507"/>
      <c r="U174" s="507"/>
      <c r="V174" s="510"/>
      <c r="W174" s="510"/>
      <c r="X174" s="510"/>
      <c r="Y174" s="507"/>
    </row>
    <row r="175" spans="1:25">
      <c r="A175" s="507"/>
      <c r="E175" s="507"/>
      <c r="F175" s="510"/>
      <c r="G175" s="510"/>
      <c r="H175" s="507"/>
      <c r="I175" s="507"/>
      <c r="J175" s="507"/>
      <c r="K175" s="507"/>
      <c r="L175" s="507"/>
      <c r="M175" s="507"/>
      <c r="N175" s="507"/>
      <c r="O175" s="507"/>
      <c r="P175" s="507"/>
      <c r="Q175" s="507"/>
      <c r="R175" s="507"/>
      <c r="S175" s="507"/>
      <c r="T175" s="507"/>
      <c r="U175" s="507"/>
      <c r="V175" s="510"/>
      <c r="W175" s="510"/>
      <c r="X175" s="510"/>
      <c r="Y175" s="507"/>
    </row>
    <row r="176" spans="1:25">
      <c r="A176" s="507"/>
      <c r="E176" s="507"/>
      <c r="F176" s="510"/>
      <c r="G176" s="510"/>
      <c r="H176" s="507"/>
      <c r="I176" s="507"/>
      <c r="J176" s="507"/>
      <c r="K176" s="507"/>
      <c r="L176" s="507"/>
      <c r="M176" s="507"/>
      <c r="N176" s="507"/>
      <c r="O176" s="507"/>
      <c r="P176" s="507"/>
      <c r="Q176" s="507"/>
      <c r="R176" s="507"/>
      <c r="S176" s="507"/>
      <c r="T176" s="507"/>
      <c r="U176" s="507"/>
      <c r="V176" s="510"/>
      <c r="W176" s="510"/>
      <c r="X176" s="510"/>
      <c r="Y176" s="507"/>
    </row>
    <row r="177" spans="1:25">
      <c r="A177" s="507"/>
      <c r="E177" s="507"/>
      <c r="F177" s="510"/>
      <c r="G177" s="510"/>
      <c r="H177" s="507"/>
      <c r="I177" s="507"/>
      <c r="J177" s="507"/>
      <c r="K177" s="507"/>
      <c r="L177" s="507"/>
      <c r="M177" s="507"/>
      <c r="N177" s="507"/>
      <c r="O177" s="507"/>
      <c r="P177" s="507"/>
      <c r="Q177" s="507"/>
      <c r="R177" s="507"/>
      <c r="S177" s="507"/>
      <c r="T177" s="507"/>
      <c r="U177" s="507"/>
      <c r="V177" s="510"/>
      <c r="W177" s="510"/>
      <c r="X177" s="510"/>
      <c r="Y177" s="507"/>
    </row>
    <row r="178" spans="1:25">
      <c r="A178" s="507"/>
      <c r="E178" s="507"/>
      <c r="F178" s="510"/>
      <c r="G178" s="510"/>
      <c r="H178" s="507"/>
      <c r="I178" s="507"/>
      <c r="J178" s="507"/>
      <c r="K178" s="507"/>
      <c r="L178" s="507"/>
      <c r="M178" s="507"/>
      <c r="N178" s="507"/>
      <c r="O178" s="507"/>
      <c r="P178" s="507"/>
      <c r="Q178" s="507"/>
      <c r="R178" s="507"/>
      <c r="S178" s="507"/>
      <c r="T178" s="507"/>
      <c r="U178" s="507"/>
      <c r="V178" s="510"/>
      <c r="W178" s="510"/>
      <c r="X178" s="510"/>
      <c r="Y178" s="507"/>
    </row>
    <row r="179" spans="1:25">
      <c r="A179" s="507"/>
      <c r="E179" s="507"/>
      <c r="F179" s="510"/>
      <c r="G179" s="510"/>
      <c r="H179" s="507"/>
      <c r="I179" s="507"/>
      <c r="J179" s="507"/>
      <c r="K179" s="507"/>
      <c r="L179" s="507"/>
      <c r="M179" s="507"/>
      <c r="N179" s="507"/>
      <c r="O179" s="507"/>
      <c r="P179" s="507"/>
      <c r="Q179" s="507"/>
      <c r="R179" s="507"/>
      <c r="S179" s="507"/>
      <c r="T179" s="507"/>
      <c r="U179" s="507"/>
      <c r="V179" s="510"/>
      <c r="W179" s="510"/>
      <c r="X179" s="510"/>
      <c r="Y179" s="507"/>
    </row>
    <row r="180" spans="1:25">
      <c r="A180" s="507"/>
      <c r="E180" s="507"/>
      <c r="F180" s="510"/>
      <c r="G180" s="510"/>
      <c r="H180" s="507"/>
      <c r="I180" s="507"/>
      <c r="J180" s="507"/>
      <c r="K180" s="507"/>
      <c r="L180" s="507"/>
      <c r="M180" s="507"/>
      <c r="N180" s="507"/>
      <c r="O180" s="507"/>
      <c r="P180" s="507"/>
      <c r="Q180" s="507"/>
      <c r="R180" s="507"/>
      <c r="S180" s="507"/>
      <c r="T180" s="507"/>
      <c r="U180" s="507"/>
      <c r="V180" s="510"/>
      <c r="W180" s="510"/>
      <c r="X180" s="510"/>
      <c r="Y180" s="507"/>
    </row>
    <row r="181" spans="1:25">
      <c r="A181" s="507"/>
      <c r="E181" s="507"/>
      <c r="F181" s="510"/>
      <c r="G181" s="510"/>
      <c r="H181" s="507"/>
      <c r="I181" s="507"/>
      <c r="J181" s="507"/>
      <c r="K181" s="507"/>
      <c r="L181" s="507"/>
      <c r="M181" s="507"/>
      <c r="N181" s="507"/>
      <c r="O181" s="507"/>
      <c r="P181" s="507"/>
      <c r="Q181" s="507"/>
      <c r="R181" s="507"/>
      <c r="S181" s="507"/>
      <c r="T181" s="507"/>
      <c r="U181" s="507"/>
      <c r="V181" s="510"/>
      <c r="W181" s="510"/>
      <c r="X181" s="510"/>
      <c r="Y181" s="507"/>
    </row>
    <row r="182" spans="1:25">
      <c r="A182" s="507"/>
      <c r="E182" s="507"/>
      <c r="F182" s="510"/>
      <c r="G182" s="510"/>
      <c r="H182" s="507"/>
      <c r="I182" s="507"/>
      <c r="J182" s="507"/>
      <c r="K182" s="507"/>
      <c r="L182" s="507"/>
      <c r="M182" s="507"/>
      <c r="N182" s="507"/>
      <c r="O182" s="507"/>
      <c r="P182" s="507"/>
      <c r="Q182" s="507"/>
      <c r="R182" s="507"/>
      <c r="S182" s="507"/>
      <c r="T182" s="507"/>
      <c r="U182" s="507"/>
      <c r="V182" s="510"/>
      <c r="W182" s="510"/>
      <c r="X182" s="510"/>
      <c r="Y182" s="507"/>
    </row>
    <row r="183" spans="1:25">
      <c r="A183" s="507"/>
      <c r="E183" s="507"/>
      <c r="F183" s="510"/>
      <c r="G183" s="510"/>
      <c r="H183" s="507"/>
      <c r="I183" s="507"/>
      <c r="J183" s="507"/>
      <c r="K183" s="507"/>
      <c r="L183" s="507"/>
      <c r="M183" s="507"/>
      <c r="N183" s="507"/>
      <c r="O183" s="507"/>
      <c r="P183" s="507"/>
      <c r="Q183" s="507"/>
      <c r="R183" s="507"/>
      <c r="S183" s="507"/>
      <c r="T183" s="507"/>
      <c r="U183" s="507"/>
      <c r="V183" s="510"/>
      <c r="W183" s="510"/>
      <c r="X183" s="510"/>
      <c r="Y183" s="507"/>
    </row>
    <row r="184" spans="1:25">
      <c r="A184" s="507"/>
      <c r="E184" s="507"/>
      <c r="F184" s="510"/>
      <c r="G184" s="510"/>
      <c r="H184" s="507"/>
      <c r="I184" s="507"/>
      <c r="J184" s="507"/>
      <c r="K184" s="507"/>
      <c r="L184" s="507"/>
      <c r="M184" s="507"/>
      <c r="N184" s="507"/>
      <c r="O184" s="507"/>
      <c r="P184" s="507"/>
      <c r="Q184" s="507"/>
      <c r="R184" s="507"/>
      <c r="S184" s="507"/>
      <c r="T184" s="507"/>
      <c r="U184" s="507"/>
      <c r="V184" s="510"/>
      <c r="W184" s="510"/>
      <c r="X184" s="510"/>
      <c r="Y184" s="507"/>
    </row>
    <row r="185" spans="1:25">
      <c r="A185" s="507"/>
      <c r="E185" s="507"/>
      <c r="F185" s="510"/>
      <c r="G185" s="510"/>
      <c r="H185" s="507"/>
      <c r="I185" s="507"/>
      <c r="J185" s="507"/>
      <c r="K185" s="507"/>
      <c r="L185" s="507"/>
      <c r="M185" s="507"/>
      <c r="N185" s="507"/>
      <c r="O185" s="507"/>
      <c r="P185" s="507"/>
      <c r="Q185" s="507"/>
      <c r="R185" s="507"/>
      <c r="S185" s="507"/>
      <c r="T185" s="507"/>
      <c r="U185" s="507"/>
      <c r="V185" s="510"/>
      <c r="W185" s="510"/>
      <c r="X185" s="510"/>
      <c r="Y185" s="507"/>
    </row>
    <row r="186" spans="1:25">
      <c r="A186" s="507"/>
      <c r="E186" s="507"/>
      <c r="F186" s="510"/>
      <c r="G186" s="510"/>
      <c r="H186" s="507"/>
      <c r="I186" s="507"/>
      <c r="J186" s="507"/>
      <c r="K186" s="507"/>
      <c r="L186" s="507"/>
      <c r="M186" s="507"/>
      <c r="N186" s="507"/>
      <c r="O186" s="507"/>
      <c r="P186" s="507"/>
      <c r="Q186" s="507"/>
      <c r="R186" s="507"/>
      <c r="S186" s="507"/>
      <c r="T186" s="507"/>
      <c r="U186" s="507"/>
      <c r="V186" s="510"/>
      <c r="W186" s="510"/>
      <c r="X186" s="510"/>
      <c r="Y186" s="507"/>
    </row>
    <row r="187" spans="1:25">
      <c r="A187" s="507"/>
      <c r="E187" s="507"/>
      <c r="F187" s="510"/>
      <c r="G187" s="510"/>
      <c r="H187" s="507"/>
      <c r="I187" s="507"/>
      <c r="J187" s="507"/>
      <c r="K187" s="507"/>
      <c r="L187" s="507"/>
      <c r="M187" s="507"/>
      <c r="N187" s="507"/>
      <c r="O187" s="507"/>
      <c r="P187" s="507"/>
      <c r="Q187" s="507"/>
      <c r="R187" s="507"/>
      <c r="S187" s="507"/>
      <c r="T187" s="507"/>
      <c r="U187" s="507"/>
      <c r="V187" s="510"/>
      <c r="W187" s="510"/>
      <c r="X187" s="510"/>
      <c r="Y187" s="507"/>
    </row>
    <row r="188" spans="1:25">
      <c r="A188" s="507"/>
      <c r="E188" s="507"/>
      <c r="F188" s="510"/>
      <c r="G188" s="510"/>
      <c r="H188" s="507"/>
      <c r="I188" s="507"/>
      <c r="J188" s="507"/>
      <c r="K188" s="507"/>
      <c r="L188" s="507"/>
      <c r="M188" s="507"/>
      <c r="N188" s="507"/>
      <c r="O188" s="507"/>
      <c r="P188" s="507"/>
      <c r="Q188" s="507"/>
      <c r="R188" s="507"/>
      <c r="S188" s="507"/>
      <c r="T188" s="507"/>
      <c r="U188" s="507"/>
      <c r="V188" s="510"/>
      <c r="W188" s="510"/>
      <c r="X188" s="510"/>
      <c r="Y188" s="507"/>
    </row>
    <row r="189" spans="1:25">
      <c r="A189" s="507"/>
      <c r="E189" s="507"/>
      <c r="F189" s="510"/>
      <c r="G189" s="510"/>
      <c r="H189" s="507"/>
      <c r="I189" s="507"/>
      <c r="J189" s="507"/>
      <c r="K189" s="507"/>
      <c r="L189" s="507"/>
      <c r="M189" s="507"/>
      <c r="N189" s="507"/>
      <c r="O189" s="507"/>
      <c r="P189" s="507"/>
      <c r="Q189" s="507"/>
      <c r="R189" s="507"/>
      <c r="S189" s="507"/>
      <c r="T189" s="507"/>
      <c r="U189" s="507"/>
      <c r="V189" s="510"/>
      <c r="W189" s="510"/>
      <c r="X189" s="510"/>
      <c r="Y189" s="507"/>
    </row>
    <row r="190" spans="1:25">
      <c r="A190" s="507"/>
      <c r="E190" s="507"/>
      <c r="F190" s="510"/>
      <c r="G190" s="510"/>
      <c r="H190" s="507"/>
      <c r="I190" s="507"/>
      <c r="J190" s="507"/>
      <c r="K190" s="507"/>
      <c r="L190" s="507"/>
      <c r="M190" s="507"/>
      <c r="N190" s="507"/>
      <c r="O190" s="507"/>
      <c r="P190" s="507"/>
      <c r="Q190" s="507"/>
      <c r="R190" s="507"/>
      <c r="S190" s="507"/>
      <c r="T190" s="507"/>
      <c r="U190" s="507"/>
      <c r="V190" s="510"/>
      <c r="W190" s="510"/>
      <c r="X190" s="510"/>
      <c r="Y190" s="507"/>
    </row>
    <row r="191" spans="1:25">
      <c r="A191" s="507"/>
      <c r="E191" s="507"/>
      <c r="F191" s="510"/>
      <c r="G191" s="510"/>
      <c r="H191" s="507"/>
      <c r="I191" s="507"/>
      <c r="J191" s="507"/>
      <c r="K191" s="507"/>
      <c r="L191" s="507"/>
      <c r="M191" s="507"/>
      <c r="N191" s="507"/>
      <c r="O191" s="507"/>
      <c r="P191" s="507"/>
      <c r="Q191" s="507"/>
      <c r="R191" s="507"/>
      <c r="S191" s="507"/>
      <c r="T191" s="507"/>
      <c r="U191" s="507"/>
      <c r="V191" s="510"/>
      <c r="W191" s="510"/>
      <c r="X191" s="510"/>
      <c r="Y191" s="507"/>
    </row>
    <row r="192" spans="1:25">
      <c r="A192" s="507"/>
      <c r="E192" s="507"/>
      <c r="F192" s="510"/>
      <c r="G192" s="510"/>
      <c r="H192" s="507"/>
      <c r="I192" s="507"/>
      <c r="J192" s="507"/>
      <c r="K192" s="507"/>
      <c r="L192" s="507"/>
      <c r="M192" s="507"/>
      <c r="N192" s="507"/>
      <c r="O192" s="507"/>
      <c r="P192" s="507"/>
      <c r="Q192" s="507"/>
      <c r="R192" s="507"/>
      <c r="S192" s="507"/>
      <c r="T192" s="507"/>
      <c r="U192" s="507"/>
      <c r="V192" s="510"/>
      <c r="W192" s="510"/>
      <c r="X192" s="510"/>
      <c r="Y192" s="507"/>
    </row>
    <row r="193" spans="1:25">
      <c r="A193" s="507"/>
      <c r="E193" s="507"/>
      <c r="F193" s="510"/>
      <c r="G193" s="510"/>
      <c r="H193" s="507"/>
      <c r="I193" s="507"/>
      <c r="J193" s="507"/>
      <c r="K193" s="507"/>
      <c r="L193" s="507"/>
      <c r="M193" s="507"/>
      <c r="N193" s="507"/>
      <c r="O193" s="507"/>
      <c r="P193" s="507"/>
      <c r="Q193" s="507"/>
      <c r="R193" s="507"/>
      <c r="S193" s="507"/>
      <c r="T193" s="507"/>
      <c r="U193" s="507"/>
      <c r="V193" s="510"/>
      <c r="W193" s="510"/>
      <c r="X193" s="510"/>
      <c r="Y193" s="507"/>
    </row>
    <row r="194" spans="1:25">
      <c r="A194" s="507"/>
      <c r="E194" s="507"/>
      <c r="F194" s="510"/>
      <c r="G194" s="510"/>
      <c r="H194" s="507"/>
      <c r="I194" s="507"/>
      <c r="J194" s="507"/>
      <c r="K194" s="507"/>
      <c r="L194" s="507"/>
      <c r="M194" s="507"/>
      <c r="N194" s="507"/>
      <c r="O194" s="507"/>
      <c r="P194" s="507"/>
      <c r="Q194" s="507"/>
      <c r="R194" s="507"/>
      <c r="S194" s="507"/>
      <c r="T194" s="507"/>
      <c r="U194" s="507"/>
      <c r="V194" s="510"/>
      <c r="W194" s="510"/>
      <c r="X194" s="510"/>
      <c r="Y194" s="507"/>
    </row>
    <row r="195" spans="1:25">
      <c r="A195" s="507"/>
      <c r="E195" s="507"/>
      <c r="F195" s="510"/>
      <c r="G195" s="510"/>
      <c r="H195" s="507"/>
      <c r="I195" s="507"/>
      <c r="J195" s="507"/>
      <c r="K195" s="507"/>
      <c r="L195" s="507"/>
      <c r="M195" s="507"/>
      <c r="N195" s="507"/>
      <c r="O195" s="507"/>
      <c r="P195" s="507"/>
      <c r="Q195" s="507"/>
      <c r="R195" s="507"/>
      <c r="S195" s="507"/>
      <c r="T195" s="507"/>
      <c r="U195" s="507"/>
      <c r="V195" s="510"/>
      <c r="W195" s="510"/>
      <c r="X195" s="510"/>
      <c r="Y195" s="507"/>
    </row>
    <row r="196" spans="1:25">
      <c r="A196" s="507"/>
      <c r="E196" s="507"/>
      <c r="F196" s="510"/>
      <c r="G196" s="510"/>
      <c r="H196" s="507"/>
      <c r="I196" s="507"/>
      <c r="J196" s="507"/>
      <c r="K196" s="507"/>
      <c r="L196" s="507"/>
      <c r="M196" s="507"/>
      <c r="N196" s="507"/>
      <c r="O196" s="507"/>
      <c r="P196" s="507"/>
      <c r="Q196" s="507"/>
      <c r="R196" s="507"/>
      <c r="S196" s="507"/>
      <c r="T196" s="507"/>
      <c r="U196" s="507"/>
      <c r="V196" s="510"/>
      <c r="W196" s="510"/>
      <c r="X196" s="510"/>
      <c r="Y196" s="507"/>
    </row>
    <row r="197" spans="1:25">
      <c r="A197" s="507"/>
      <c r="E197" s="507"/>
      <c r="F197" s="510"/>
      <c r="G197" s="510"/>
      <c r="H197" s="507"/>
      <c r="I197" s="507"/>
      <c r="J197" s="507"/>
      <c r="K197" s="507"/>
      <c r="L197" s="507"/>
      <c r="M197" s="507"/>
      <c r="N197" s="507"/>
      <c r="O197" s="507"/>
      <c r="P197" s="507"/>
      <c r="Q197" s="507"/>
      <c r="R197" s="507"/>
      <c r="S197" s="507"/>
      <c r="T197" s="507"/>
      <c r="U197" s="507"/>
      <c r="V197" s="510"/>
      <c r="W197" s="510"/>
      <c r="X197" s="510"/>
      <c r="Y197" s="507"/>
    </row>
    <row r="198" spans="1:25">
      <c r="A198" s="507"/>
      <c r="E198" s="507"/>
      <c r="F198" s="510"/>
      <c r="G198" s="510"/>
      <c r="H198" s="507"/>
      <c r="I198" s="507"/>
      <c r="J198" s="507"/>
      <c r="K198" s="507"/>
      <c r="L198" s="507"/>
      <c r="M198" s="507"/>
      <c r="N198" s="507"/>
      <c r="O198" s="507"/>
      <c r="P198" s="507"/>
      <c r="Q198" s="507"/>
      <c r="R198" s="507"/>
      <c r="S198" s="507"/>
      <c r="T198" s="507"/>
      <c r="U198" s="507"/>
      <c r="V198" s="510"/>
      <c r="W198" s="510"/>
      <c r="X198" s="510"/>
      <c r="Y198" s="507"/>
    </row>
    <row r="199" spans="1:25">
      <c r="A199" s="507"/>
      <c r="E199" s="507"/>
      <c r="F199" s="510"/>
      <c r="G199" s="510"/>
      <c r="H199" s="507"/>
      <c r="I199" s="507"/>
      <c r="J199" s="507"/>
      <c r="K199" s="507"/>
      <c r="L199" s="507"/>
      <c r="M199" s="507"/>
      <c r="N199" s="507"/>
      <c r="O199" s="507"/>
      <c r="P199" s="507"/>
      <c r="Q199" s="507"/>
      <c r="R199" s="507"/>
      <c r="S199" s="507"/>
      <c r="T199" s="507"/>
      <c r="U199" s="507"/>
      <c r="V199" s="510"/>
      <c r="W199" s="510"/>
      <c r="X199" s="510"/>
      <c r="Y199" s="507"/>
    </row>
    <row r="200" spans="1:25">
      <c r="A200" s="507"/>
      <c r="E200" s="507"/>
      <c r="F200" s="510"/>
      <c r="G200" s="510"/>
      <c r="H200" s="507"/>
      <c r="I200" s="507"/>
      <c r="J200" s="507"/>
      <c r="K200" s="507"/>
      <c r="L200" s="507"/>
      <c r="M200" s="507"/>
      <c r="N200" s="507"/>
      <c r="O200" s="507"/>
      <c r="P200" s="507"/>
      <c r="Q200" s="507"/>
      <c r="R200" s="507"/>
      <c r="S200" s="507"/>
      <c r="T200" s="507"/>
      <c r="U200" s="507"/>
      <c r="V200" s="510"/>
      <c r="W200" s="510"/>
      <c r="X200" s="510"/>
      <c r="Y200" s="507"/>
    </row>
    <row r="201" spans="1:25">
      <c r="A201" s="507"/>
      <c r="E201" s="507"/>
      <c r="F201" s="510"/>
      <c r="G201" s="510"/>
      <c r="H201" s="507"/>
      <c r="I201" s="507"/>
      <c r="J201" s="507"/>
      <c r="K201" s="507"/>
      <c r="L201" s="507"/>
      <c r="M201" s="507"/>
      <c r="N201" s="507"/>
      <c r="O201" s="507"/>
      <c r="P201" s="507"/>
      <c r="Q201" s="507"/>
      <c r="R201" s="507"/>
      <c r="S201" s="507"/>
      <c r="T201" s="507"/>
      <c r="U201" s="507"/>
      <c r="V201" s="510"/>
      <c r="W201" s="510"/>
      <c r="X201" s="510"/>
      <c r="Y201" s="507"/>
    </row>
    <row r="202" spans="1:25">
      <c r="A202" s="507"/>
      <c r="E202" s="507"/>
      <c r="F202" s="510"/>
      <c r="G202" s="510"/>
      <c r="H202" s="507"/>
      <c r="I202" s="507"/>
      <c r="J202" s="507"/>
      <c r="K202" s="507"/>
      <c r="L202" s="507"/>
      <c r="M202" s="507"/>
      <c r="N202" s="507"/>
      <c r="O202" s="507"/>
      <c r="P202" s="507"/>
      <c r="Q202" s="507"/>
      <c r="R202" s="507"/>
      <c r="S202" s="507"/>
      <c r="T202" s="507"/>
      <c r="U202" s="507"/>
      <c r="V202" s="510"/>
      <c r="W202" s="510"/>
      <c r="X202" s="510"/>
      <c r="Y202" s="507"/>
    </row>
    <row r="203" spans="1:25">
      <c r="A203" s="507"/>
      <c r="E203" s="507"/>
      <c r="F203" s="510"/>
      <c r="G203" s="510"/>
      <c r="H203" s="507"/>
      <c r="I203" s="507"/>
      <c r="J203" s="507"/>
      <c r="K203" s="507"/>
      <c r="L203" s="507"/>
      <c r="M203" s="507"/>
      <c r="N203" s="507"/>
      <c r="O203" s="507"/>
      <c r="P203" s="507"/>
      <c r="Q203" s="507"/>
      <c r="R203" s="507"/>
      <c r="S203" s="507"/>
      <c r="T203" s="507"/>
      <c r="U203" s="507"/>
      <c r="V203" s="510"/>
      <c r="W203" s="510"/>
      <c r="X203" s="510"/>
      <c r="Y203" s="507"/>
    </row>
    <row r="204" spans="1:25">
      <c r="A204" s="507"/>
      <c r="E204" s="507"/>
      <c r="F204" s="510"/>
      <c r="G204" s="510"/>
      <c r="H204" s="507"/>
      <c r="I204" s="507"/>
      <c r="J204" s="507"/>
      <c r="K204" s="507"/>
      <c r="L204" s="507"/>
      <c r="M204" s="507"/>
      <c r="N204" s="507"/>
      <c r="O204" s="507"/>
      <c r="P204" s="507"/>
      <c r="Q204" s="507"/>
      <c r="R204" s="507"/>
      <c r="S204" s="507"/>
      <c r="T204" s="507"/>
      <c r="U204" s="507"/>
      <c r="V204" s="510"/>
      <c r="W204" s="510"/>
      <c r="X204" s="510"/>
      <c r="Y204" s="507"/>
    </row>
    <row r="205" spans="1:25">
      <c r="A205" s="507"/>
      <c r="E205" s="507"/>
      <c r="F205" s="510"/>
      <c r="G205" s="510"/>
      <c r="H205" s="507"/>
      <c r="I205" s="507"/>
      <c r="J205" s="507"/>
      <c r="K205" s="507"/>
      <c r="L205" s="507"/>
      <c r="M205" s="507"/>
      <c r="N205" s="507"/>
      <c r="O205" s="507"/>
      <c r="P205" s="507"/>
      <c r="Q205" s="507"/>
      <c r="R205" s="507"/>
      <c r="S205" s="507"/>
      <c r="T205" s="507"/>
      <c r="U205" s="507"/>
      <c r="V205" s="510"/>
      <c r="W205" s="510"/>
      <c r="X205" s="510"/>
      <c r="Y205" s="507"/>
    </row>
    <row r="206" spans="1:25">
      <c r="A206" s="507"/>
      <c r="E206" s="507"/>
      <c r="F206" s="510"/>
      <c r="G206" s="510"/>
      <c r="H206" s="507"/>
      <c r="I206" s="507"/>
      <c r="J206" s="507"/>
      <c r="K206" s="507"/>
      <c r="L206" s="507"/>
      <c r="M206" s="507"/>
      <c r="N206" s="507"/>
      <c r="O206" s="507"/>
      <c r="P206" s="507"/>
      <c r="Q206" s="507"/>
      <c r="R206" s="507"/>
      <c r="S206" s="507"/>
      <c r="T206" s="507"/>
      <c r="U206" s="507"/>
      <c r="V206" s="510"/>
      <c r="W206" s="510"/>
      <c r="X206" s="510"/>
      <c r="Y206" s="507"/>
    </row>
    <row r="207" spans="1:25">
      <c r="A207" s="507"/>
      <c r="E207" s="507"/>
      <c r="F207" s="510"/>
      <c r="G207" s="510"/>
      <c r="H207" s="507"/>
      <c r="I207" s="507"/>
      <c r="J207" s="507"/>
      <c r="K207" s="507"/>
      <c r="L207" s="507"/>
      <c r="M207" s="507"/>
      <c r="N207" s="507"/>
      <c r="O207" s="507"/>
      <c r="P207" s="507"/>
      <c r="Q207" s="507"/>
      <c r="R207" s="507"/>
      <c r="S207" s="507"/>
      <c r="T207" s="507"/>
      <c r="U207" s="507"/>
      <c r="V207" s="510"/>
      <c r="W207" s="510"/>
      <c r="X207" s="510"/>
      <c r="Y207" s="507"/>
    </row>
    <row r="208" spans="1:25">
      <c r="A208" s="507"/>
      <c r="E208" s="507"/>
      <c r="F208" s="510"/>
      <c r="G208" s="510"/>
      <c r="H208" s="507"/>
      <c r="I208" s="507"/>
      <c r="J208" s="507"/>
      <c r="K208" s="507"/>
      <c r="L208" s="507"/>
      <c r="M208" s="507"/>
      <c r="N208" s="507"/>
      <c r="O208" s="507"/>
      <c r="P208" s="507"/>
      <c r="Q208" s="507"/>
      <c r="R208" s="507"/>
      <c r="S208" s="507"/>
      <c r="T208" s="507"/>
      <c r="U208" s="507"/>
      <c r="V208" s="510"/>
      <c r="W208" s="510"/>
      <c r="X208" s="510"/>
      <c r="Y208" s="507"/>
    </row>
    <row r="209" spans="1:25">
      <c r="A209" s="507"/>
      <c r="E209" s="507"/>
      <c r="F209" s="510"/>
      <c r="G209" s="510"/>
      <c r="H209" s="507"/>
      <c r="I209" s="507"/>
      <c r="J209" s="507"/>
      <c r="K209" s="507"/>
      <c r="L209" s="507"/>
      <c r="M209" s="507"/>
      <c r="N209" s="507"/>
      <c r="O209" s="507"/>
      <c r="P209" s="507"/>
      <c r="Q209" s="507"/>
      <c r="R209" s="507"/>
      <c r="S209" s="507"/>
      <c r="T209" s="507"/>
      <c r="U209" s="507"/>
      <c r="V209" s="510"/>
      <c r="W209" s="510"/>
      <c r="X209" s="510"/>
      <c r="Y209" s="507"/>
    </row>
    <row r="210" spans="1:25">
      <c r="A210" s="507"/>
      <c r="E210" s="507"/>
      <c r="F210" s="510"/>
      <c r="G210" s="510"/>
      <c r="H210" s="507"/>
      <c r="I210" s="507"/>
      <c r="J210" s="507"/>
      <c r="K210" s="507"/>
      <c r="L210" s="507"/>
      <c r="M210" s="507"/>
      <c r="N210" s="507"/>
      <c r="O210" s="507"/>
      <c r="P210" s="507"/>
      <c r="Q210" s="507"/>
      <c r="R210" s="507"/>
      <c r="S210" s="507"/>
      <c r="T210" s="507"/>
      <c r="U210" s="507"/>
      <c r="V210" s="510"/>
      <c r="W210" s="510"/>
      <c r="X210" s="510"/>
      <c r="Y210" s="507"/>
    </row>
    <row r="211" spans="1:25">
      <c r="A211" s="507"/>
      <c r="E211" s="507"/>
      <c r="F211" s="510"/>
      <c r="G211" s="510"/>
      <c r="H211" s="507"/>
      <c r="I211" s="507"/>
      <c r="J211" s="507"/>
      <c r="K211" s="507"/>
      <c r="L211" s="507"/>
      <c r="M211" s="507"/>
      <c r="N211" s="507"/>
      <c r="O211" s="507"/>
      <c r="P211" s="507"/>
      <c r="Q211" s="507"/>
      <c r="R211" s="507"/>
      <c r="S211" s="507"/>
      <c r="T211" s="507"/>
      <c r="U211" s="507"/>
      <c r="V211" s="510"/>
      <c r="W211" s="510"/>
      <c r="X211" s="510"/>
      <c r="Y211" s="507"/>
    </row>
    <row r="212" spans="1:25">
      <c r="A212" s="507"/>
      <c r="E212" s="507"/>
      <c r="F212" s="510"/>
      <c r="G212" s="510"/>
      <c r="H212" s="507"/>
      <c r="I212" s="507"/>
      <c r="J212" s="507"/>
      <c r="K212" s="507"/>
      <c r="L212" s="507"/>
      <c r="M212" s="507"/>
      <c r="N212" s="507"/>
      <c r="O212" s="507"/>
      <c r="P212" s="507"/>
      <c r="Q212" s="507"/>
      <c r="R212" s="507"/>
      <c r="S212" s="507"/>
      <c r="T212" s="507"/>
      <c r="U212" s="507"/>
      <c r="V212" s="510"/>
      <c r="W212" s="510"/>
      <c r="X212" s="510"/>
      <c r="Y212" s="507"/>
    </row>
    <row r="213" spans="1:25">
      <c r="A213" s="507"/>
      <c r="E213" s="507"/>
      <c r="F213" s="510"/>
      <c r="G213" s="510"/>
      <c r="H213" s="507"/>
      <c r="I213" s="507"/>
      <c r="J213" s="507"/>
      <c r="K213" s="507"/>
      <c r="L213" s="507"/>
      <c r="M213" s="507"/>
      <c r="N213" s="507"/>
      <c r="O213" s="507"/>
      <c r="P213" s="507"/>
      <c r="Q213" s="507"/>
      <c r="R213" s="507"/>
      <c r="S213" s="507"/>
      <c r="T213" s="507"/>
      <c r="U213" s="507"/>
      <c r="V213" s="510"/>
      <c r="W213" s="510"/>
      <c r="X213" s="510"/>
      <c r="Y213" s="507"/>
    </row>
    <row r="214" spans="1:25">
      <c r="A214" s="507"/>
      <c r="E214" s="507"/>
      <c r="F214" s="510"/>
      <c r="G214" s="510"/>
      <c r="H214" s="507"/>
      <c r="I214" s="507"/>
      <c r="J214" s="507"/>
      <c r="K214" s="507"/>
      <c r="L214" s="507"/>
      <c r="M214" s="507"/>
      <c r="N214" s="507"/>
      <c r="O214" s="507"/>
      <c r="P214" s="507"/>
      <c r="Q214" s="507"/>
      <c r="R214" s="507"/>
      <c r="S214" s="507"/>
      <c r="T214" s="507"/>
      <c r="U214" s="507"/>
      <c r="V214" s="510"/>
      <c r="W214" s="510"/>
      <c r="X214" s="510"/>
      <c r="Y214" s="507"/>
    </row>
    <row r="215" spans="1:25">
      <c r="A215" s="507"/>
      <c r="E215" s="507"/>
      <c r="F215" s="510"/>
      <c r="G215" s="510"/>
      <c r="H215" s="507"/>
      <c r="I215" s="507"/>
      <c r="J215" s="507"/>
      <c r="K215" s="507"/>
      <c r="L215" s="507"/>
      <c r="M215" s="507"/>
      <c r="N215" s="507"/>
      <c r="O215" s="507"/>
      <c r="P215" s="507"/>
      <c r="Q215" s="507"/>
      <c r="R215" s="507"/>
      <c r="S215" s="507"/>
      <c r="T215" s="507"/>
      <c r="U215" s="507"/>
      <c r="V215" s="510"/>
      <c r="W215" s="510"/>
      <c r="X215" s="510"/>
      <c r="Y215" s="507"/>
    </row>
    <row r="216" spans="1:25">
      <c r="A216" s="507"/>
      <c r="E216" s="507"/>
      <c r="F216" s="510"/>
      <c r="G216" s="510"/>
      <c r="H216" s="507"/>
      <c r="I216" s="507"/>
      <c r="J216" s="507"/>
      <c r="K216" s="507"/>
      <c r="L216" s="507"/>
      <c r="M216" s="507"/>
      <c r="N216" s="507"/>
      <c r="O216" s="507"/>
      <c r="P216" s="507"/>
      <c r="Q216" s="507"/>
      <c r="R216" s="507"/>
      <c r="S216" s="507"/>
      <c r="T216" s="507"/>
      <c r="U216" s="507"/>
      <c r="V216" s="510"/>
      <c r="W216" s="510"/>
      <c r="X216" s="510"/>
      <c r="Y216" s="507"/>
    </row>
    <row r="217" spans="1:25">
      <c r="A217" s="507"/>
      <c r="E217" s="507"/>
      <c r="F217" s="510"/>
      <c r="G217" s="510"/>
      <c r="H217" s="507"/>
      <c r="I217" s="507"/>
      <c r="J217" s="507"/>
      <c r="K217" s="507"/>
      <c r="L217" s="507"/>
      <c r="M217" s="507"/>
      <c r="N217" s="507"/>
      <c r="O217" s="507"/>
      <c r="P217" s="507"/>
      <c r="Q217" s="507"/>
      <c r="R217" s="507"/>
      <c r="S217" s="507"/>
      <c r="T217" s="507"/>
      <c r="U217" s="507"/>
      <c r="V217" s="510"/>
      <c r="W217" s="510"/>
      <c r="X217" s="510"/>
      <c r="Y217" s="507"/>
    </row>
    <row r="218" spans="1:25">
      <c r="A218" s="507"/>
      <c r="E218" s="507"/>
      <c r="F218" s="510"/>
      <c r="G218" s="510"/>
      <c r="H218" s="507"/>
      <c r="I218" s="507"/>
      <c r="J218" s="507"/>
      <c r="K218" s="507"/>
      <c r="L218" s="507"/>
      <c r="M218" s="507"/>
      <c r="N218" s="507"/>
      <c r="O218" s="507"/>
      <c r="P218" s="507"/>
      <c r="Q218" s="507"/>
      <c r="R218" s="507"/>
      <c r="S218" s="507"/>
      <c r="T218" s="507"/>
      <c r="U218" s="507"/>
      <c r="V218" s="510"/>
      <c r="W218" s="510"/>
      <c r="X218" s="510"/>
      <c r="Y218" s="507"/>
    </row>
    <row r="219" spans="1:25">
      <c r="A219" s="507"/>
      <c r="E219" s="507"/>
      <c r="F219" s="510"/>
      <c r="G219" s="510"/>
      <c r="H219" s="507"/>
      <c r="I219" s="507"/>
      <c r="J219" s="507"/>
      <c r="K219" s="507"/>
      <c r="L219" s="507"/>
      <c r="M219" s="507"/>
      <c r="N219" s="507"/>
      <c r="O219" s="507"/>
      <c r="P219" s="507"/>
      <c r="Q219" s="507"/>
      <c r="R219" s="507"/>
      <c r="S219" s="507"/>
      <c r="T219" s="507"/>
      <c r="U219" s="507"/>
      <c r="V219" s="510"/>
      <c r="W219" s="510"/>
      <c r="X219" s="510"/>
      <c r="Y219" s="507"/>
    </row>
    <row r="220" spans="1:25">
      <c r="A220" s="507"/>
      <c r="E220" s="507"/>
      <c r="F220" s="510"/>
      <c r="G220" s="510"/>
      <c r="H220" s="507"/>
      <c r="I220" s="507"/>
      <c r="J220" s="507"/>
      <c r="K220" s="507"/>
      <c r="L220" s="507"/>
      <c r="M220" s="507"/>
      <c r="N220" s="507"/>
      <c r="O220" s="507"/>
      <c r="P220" s="507"/>
      <c r="Q220" s="507"/>
      <c r="R220" s="507"/>
      <c r="S220" s="507"/>
      <c r="T220" s="507"/>
      <c r="U220" s="507"/>
      <c r="V220" s="510"/>
      <c r="W220" s="510"/>
      <c r="X220" s="510"/>
      <c r="Y220" s="507"/>
    </row>
    <row r="221" spans="1:25">
      <c r="A221" s="507"/>
      <c r="E221" s="507"/>
      <c r="F221" s="510"/>
      <c r="G221" s="510"/>
      <c r="H221" s="507"/>
      <c r="I221" s="507"/>
      <c r="J221" s="507"/>
      <c r="K221" s="507"/>
      <c r="L221" s="507"/>
      <c r="M221" s="507"/>
      <c r="N221" s="507"/>
      <c r="O221" s="507"/>
      <c r="P221" s="507"/>
      <c r="Q221" s="507"/>
      <c r="R221" s="507"/>
      <c r="S221" s="507"/>
      <c r="T221" s="507"/>
      <c r="U221" s="507"/>
      <c r="V221" s="510"/>
      <c r="W221" s="510"/>
      <c r="X221" s="510"/>
      <c r="Y221" s="507"/>
    </row>
    <row r="222" spans="1:25">
      <c r="A222" s="507"/>
      <c r="E222" s="507"/>
      <c r="F222" s="510"/>
      <c r="G222" s="510"/>
      <c r="H222" s="507"/>
      <c r="I222" s="507"/>
      <c r="J222" s="507"/>
      <c r="K222" s="507"/>
      <c r="L222" s="507"/>
      <c r="M222" s="507"/>
      <c r="N222" s="507"/>
      <c r="O222" s="507"/>
      <c r="P222" s="507"/>
      <c r="Q222" s="507"/>
      <c r="R222" s="507"/>
      <c r="S222" s="507"/>
      <c r="T222" s="507"/>
      <c r="U222" s="507"/>
      <c r="V222" s="510"/>
      <c r="W222" s="510"/>
      <c r="X222" s="510"/>
      <c r="Y222" s="507"/>
    </row>
    <row r="223" spans="1:25">
      <c r="A223" s="507"/>
      <c r="E223" s="507"/>
      <c r="F223" s="510"/>
      <c r="G223" s="510"/>
      <c r="H223" s="507"/>
      <c r="I223" s="507"/>
      <c r="J223" s="507"/>
      <c r="K223" s="507"/>
      <c r="L223" s="507"/>
      <c r="M223" s="507"/>
      <c r="N223" s="507"/>
      <c r="O223" s="507"/>
      <c r="P223" s="507"/>
      <c r="Q223" s="507"/>
      <c r="R223" s="507"/>
      <c r="S223" s="507"/>
      <c r="T223" s="507"/>
      <c r="U223" s="507"/>
      <c r="V223" s="510"/>
      <c r="W223" s="510"/>
      <c r="X223" s="510"/>
      <c r="Y223" s="507"/>
    </row>
    <row r="224" spans="1:25">
      <c r="A224" s="507"/>
      <c r="E224" s="507"/>
      <c r="F224" s="510"/>
      <c r="G224" s="510"/>
      <c r="H224" s="507"/>
      <c r="I224" s="507"/>
      <c r="J224" s="507"/>
      <c r="K224" s="507"/>
      <c r="L224" s="507"/>
      <c r="M224" s="507"/>
      <c r="N224" s="507"/>
      <c r="O224" s="507"/>
      <c r="P224" s="507"/>
      <c r="Q224" s="507"/>
      <c r="R224" s="507"/>
      <c r="S224" s="507"/>
      <c r="T224" s="507"/>
      <c r="U224" s="507"/>
      <c r="V224" s="510"/>
      <c r="W224" s="510"/>
      <c r="X224" s="510"/>
      <c r="Y224" s="507"/>
    </row>
    <row r="225" spans="1:25">
      <c r="A225" s="507"/>
      <c r="E225" s="507"/>
      <c r="F225" s="510"/>
      <c r="G225" s="510"/>
      <c r="H225" s="507"/>
      <c r="I225" s="507"/>
      <c r="J225" s="507"/>
      <c r="K225" s="507"/>
      <c r="L225" s="507"/>
      <c r="M225" s="507"/>
      <c r="N225" s="507"/>
      <c r="O225" s="507"/>
      <c r="P225" s="507"/>
      <c r="Q225" s="507"/>
      <c r="R225" s="507"/>
      <c r="S225" s="507"/>
      <c r="T225" s="507"/>
      <c r="U225" s="507"/>
      <c r="V225" s="510"/>
      <c r="W225" s="510"/>
      <c r="X225" s="510"/>
      <c r="Y225" s="507"/>
    </row>
    <row r="226" spans="1:25">
      <c r="A226" s="507"/>
      <c r="E226" s="507"/>
      <c r="F226" s="510"/>
      <c r="G226" s="510"/>
      <c r="H226" s="507"/>
      <c r="I226" s="507"/>
      <c r="J226" s="507"/>
      <c r="K226" s="507"/>
      <c r="L226" s="507"/>
      <c r="M226" s="507"/>
      <c r="N226" s="507"/>
      <c r="O226" s="507"/>
      <c r="P226" s="507"/>
      <c r="Q226" s="507"/>
      <c r="R226" s="507"/>
      <c r="S226" s="507"/>
      <c r="T226" s="507"/>
      <c r="U226" s="507"/>
      <c r="V226" s="510"/>
      <c r="W226" s="510"/>
      <c r="X226" s="510"/>
      <c r="Y226" s="507"/>
    </row>
    <row r="227" spans="1:25">
      <c r="A227" s="507"/>
      <c r="E227" s="507"/>
      <c r="F227" s="510"/>
      <c r="G227" s="510"/>
      <c r="H227" s="507"/>
      <c r="I227" s="507"/>
      <c r="J227" s="507"/>
      <c r="K227" s="507"/>
      <c r="L227" s="507"/>
      <c r="M227" s="507"/>
      <c r="N227" s="507"/>
      <c r="O227" s="507"/>
      <c r="P227" s="507"/>
      <c r="Q227" s="507"/>
      <c r="R227" s="507"/>
      <c r="S227" s="507"/>
      <c r="T227" s="507"/>
      <c r="U227" s="507"/>
      <c r="V227" s="510"/>
      <c r="W227" s="510"/>
      <c r="X227" s="510"/>
      <c r="Y227" s="507"/>
    </row>
    <row r="228" spans="1:25">
      <c r="A228" s="507"/>
      <c r="E228" s="507"/>
      <c r="F228" s="510"/>
      <c r="G228" s="510"/>
      <c r="H228" s="507"/>
      <c r="I228" s="507"/>
      <c r="J228" s="507"/>
      <c r="K228" s="507"/>
      <c r="L228" s="507"/>
      <c r="M228" s="507"/>
      <c r="N228" s="507"/>
      <c r="O228" s="507"/>
      <c r="P228" s="507"/>
      <c r="Q228" s="507"/>
      <c r="R228" s="507"/>
      <c r="S228" s="507"/>
      <c r="T228" s="507"/>
      <c r="U228" s="507"/>
      <c r="V228" s="510"/>
      <c r="W228" s="510"/>
      <c r="X228" s="510"/>
      <c r="Y228" s="507"/>
    </row>
    <row r="229" spans="1:25">
      <c r="A229" s="507"/>
      <c r="E229" s="507"/>
      <c r="F229" s="510"/>
      <c r="G229" s="510"/>
      <c r="H229" s="507"/>
      <c r="I229" s="507"/>
      <c r="J229" s="507"/>
      <c r="K229" s="507"/>
      <c r="L229" s="507"/>
      <c r="M229" s="507"/>
      <c r="N229" s="507"/>
      <c r="O229" s="507"/>
      <c r="P229" s="507"/>
      <c r="Q229" s="507"/>
      <c r="R229" s="507"/>
      <c r="S229" s="507"/>
      <c r="T229" s="507"/>
      <c r="U229" s="507"/>
      <c r="V229" s="510"/>
      <c r="W229" s="510"/>
      <c r="X229" s="510"/>
      <c r="Y229" s="507"/>
    </row>
    <row r="230" spans="1:25">
      <c r="A230" s="507"/>
      <c r="E230" s="507"/>
      <c r="F230" s="510"/>
      <c r="G230" s="510"/>
      <c r="H230" s="507"/>
      <c r="I230" s="507"/>
      <c r="J230" s="507"/>
      <c r="K230" s="507"/>
      <c r="L230" s="507"/>
      <c r="M230" s="507"/>
      <c r="N230" s="507"/>
      <c r="O230" s="507"/>
      <c r="P230" s="507"/>
      <c r="Q230" s="507"/>
      <c r="R230" s="507"/>
      <c r="S230" s="507"/>
      <c r="T230" s="507"/>
      <c r="U230" s="507"/>
      <c r="V230" s="510"/>
      <c r="W230" s="510"/>
      <c r="X230" s="510"/>
      <c r="Y230" s="507"/>
    </row>
    <row r="231" spans="1:25">
      <c r="A231" s="507"/>
      <c r="E231" s="507"/>
      <c r="F231" s="510"/>
      <c r="G231" s="510"/>
      <c r="H231" s="507"/>
      <c r="I231" s="507"/>
      <c r="J231" s="507"/>
      <c r="K231" s="507"/>
      <c r="L231" s="507"/>
      <c r="M231" s="507"/>
      <c r="N231" s="507"/>
      <c r="O231" s="507"/>
      <c r="P231" s="507"/>
      <c r="Q231" s="507"/>
      <c r="R231" s="507"/>
      <c r="S231" s="507"/>
      <c r="T231" s="507"/>
      <c r="U231" s="507"/>
      <c r="V231" s="510"/>
      <c r="W231" s="510"/>
      <c r="X231" s="510"/>
      <c r="Y231" s="507"/>
    </row>
    <row r="232" spans="1:25">
      <c r="A232" s="507"/>
      <c r="E232" s="507"/>
      <c r="F232" s="510"/>
      <c r="G232" s="510"/>
      <c r="H232" s="507"/>
      <c r="I232" s="507"/>
      <c r="J232" s="507"/>
      <c r="K232" s="507"/>
      <c r="L232" s="507"/>
      <c r="M232" s="507"/>
      <c r="N232" s="507"/>
      <c r="O232" s="507"/>
      <c r="P232" s="507"/>
      <c r="Q232" s="507"/>
      <c r="R232" s="507"/>
      <c r="S232" s="507"/>
      <c r="T232" s="507"/>
      <c r="U232" s="507"/>
      <c r="V232" s="510"/>
      <c r="W232" s="510"/>
      <c r="X232" s="510"/>
      <c r="Y232" s="507"/>
    </row>
    <row r="233" spans="1:25">
      <c r="A233" s="507"/>
      <c r="E233" s="507"/>
      <c r="F233" s="510"/>
      <c r="G233" s="510"/>
      <c r="H233" s="507"/>
      <c r="I233" s="507"/>
      <c r="J233" s="507"/>
      <c r="K233" s="507"/>
      <c r="L233" s="507"/>
      <c r="M233" s="507"/>
      <c r="N233" s="507"/>
      <c r="O233" s="507"/>
      <c r="P233" s="507"/>
      <c r="Q233" s="507"/>
      <c r="R233" s="507"/>
      <c r="S233" s="507"/>
      <c r="T233" s="507"/>
      <c r="U233" s="507"/>
      <c r="V233" s="510"/>
      <c r="W233" s="510"/>
      <c r="X233" s="510"/>
      <c r="Y233" s="507"/>
    </row>
    <row r="234" spans="1:25">
      <c r="A234" s="507"/>
      <c r="E234" s="507"/>
      <c r="F234" s="510"/>
      <c r="G234" s="510"/>
      <c r="H234" s="507"/>
      <c r="I234" s="507"/>
      <c r="J234" s="507"/>
      <c r="K234" s="507"/>
      <c r="L234" s="507"/>
      <c r="M234" s="507"/>
      <c r="N234" s="507"/>
      <c r="O234" s="507"/>
      <c r="P234" s="507"/>
      <c r="Q234" s="507"/>
      <c r="R234" s="507"/>
      <c r="S234" s="507"/>
      <c r="T234" s="507"/>
      <c r="U234" s="507"/>
      <c r="V234" s="510"/>
      <c r="W234" s="510"/>
      <c r="X234" s="510"/>
      <c r="Y234" s="507"/>
    </row>
    <row r="235" spans="1:25">
      <c r="A235" s="507"/>
      <c r="E235" s="507"/>
      <c r="F235" s="510"/>
      <c r="G235" s="510"/>
      <c r="H235" s="507"/>
      <c r="I235" s="507"/>
      <c r="J235" s="507"/>
      <c r="K235" s="507"/>
      <c r="L235" s="507"/>
      <c r="M235" s="507"/>
      <c r="N235" s="507"/>
      <c r="O235" s="507"/>
      <c r="P235" s="507"/>
      <c r="Q235" s="507"/>
      <c r="R235" s="507"/>
      <c r="S235" s="507"/>
      <c r="T235" s="507"/>
      <c r="U235" s="507"/>
      <c r="V235" s="510"/>
      <c r="W235" s="510"/>
      <c r="X235" s="510"/>
      <c r="Y235" s="507"/>
    </row>
    <row r="236" spans="1:25">
      <c r="A236" s="507"/>
      <c r="E236" s="507"/>
      <c r="F236" s="510"/>
      <c r="G236" s="510"/>
      <c r="H236" s="507"/>
      <c r="I236" s="507"/>
      <c r="J236" s="507"/>
      <c r="K236" s="507"/>
      <c r="L236" s="507"/>
      <c r="M236" s="507"/>
      <c r="N236" s="507"/>
      <c r="O236" s="507"/>
      <c r="P236" s="507"/>
      <c r="Q236" s="507"/>
      <c r="R236" s="507"/>
      <c r="S236" s="507"/>
      <c r="T236" s="507"/>
      <c r="U236" s="507"/>
      <c r="V236" s="510"/>
      <c r="W236" s="510"/>
      <c r="X236" s="510"/>
      <c r="Y236" s="507"/>
    </row>
    <row r="237" spans="1:25">
      <c r="A237" s="507"/>
      <c r="E237" s="507"/>
      <c r="F237" s="510"/>
      <c r="G237" s="510"/>
      <c r="H237" s="507"/>
      <c r="I237" s="507"/>
      <c r="J237" s="507"/>
      <c r="K237" s="507"/>
      <c r="L237" s="507"/>
      <c r="M237" s="507"/>
      <c r="N237" s="507"/>
      <c r="O237" s="507"/>
      <c r="P237" s="507"/>
      <c r="Q237" s="507"/>
      <c r="R237" s="507"/>
      <c r="S237" s="507"/>
      <c r="T237" s="507"/>
      <c r="U237" s="507"/>
      <c r="V237" s="510"/>
      <c r="W237" s="510"/>
      <c r="X237" s="510"/>
      <c r="Y237" s="507"/>
    </row>
    <row r="238" spans="1:25">
      <c r="A238" s="507"/>
      <c r="E238" s="507"/>
      <c r="F238" s="510"/>
      <c r="G238" s="510"/>
      <c r="H238" s="507"/>
      <c r="I238" s="507"/>
      <c r="J238" s="507"/>
      <c r="K238" s="507"/>
      <c r="L238" s="507"/>
      <c r="M238" s="507"/>
      <c r="N238" s="507"/>
      <c r="O238" s="507"/>
      <c r="P238" s="507"/>
      <c r="Q238" s="507"/>
      <c r="R238" s="507"/>
      <c r="S238" s="507"/>
      <c r="T238" s="507"/>
      <c r="U238" s="507"/>
      <c r="V238" s="510"/>
      <c r="W238" s="510"/>
      <c r="X238" s="510"/>
      <c r="Y238" s="507"/>
    </row>
    <row r="239" spans="1:25">
      <c r="A239" s="507"/>
      <c r="E239" s="507"/>
      <c r="F239" s="510"/>
      <c r="G239" s="510"/>
      <c r="H239" s="507"/>
      <c r="I239" s="507"/>
      <c r="J239" s="507"/>
      <c r="K239" s="507"/>
      <c r="L239" s="507"/>
      <c r="M239" s="507"/>
      <c r="N239" s="507"/>
      <c r="O239" s="507"/>
      <c r="P239" s="507"/>
      <c r="Q239" s="507"/>
      <c r="R239" s="507"/>
      <c r="S239" s="507"/>
      <c r="T239" s="507"/>
      <c r="U239" s="507"/>
      <c r="V239" s="510"/>
      <c r="W239" s="510"/>
      <c r="X239" s="510"/>
      <c r="Y239" s="507"/>
    </row>
    <row r="240" spans="1:25">
      <c r="A240" s="507"/>
      <c r="E240" s="507"/>
      <c r="F240" s="510"/>
      <c r="G240" s="510"/>
      <c r="H240" s="507"/>
      <c r="I240" s="507"/>
      <c r="J240" s="507"/>
      <c r="K240" s="507"/>
      <c r="L240" s="507"/>
      <c r="M240" s="507"/>
      <c r="N240" s="507"/>
      <c r="O240" s="507"/>
      <c r="P240" s="507"/>
      <c r="Q240" s="507"/>
      <c r="R240" s="507"/>
      <c r="S240" s="507"/>
      <c r="T240" s="507"/>
      <c r="U240" s="507"/>
      <c r="V240" s="510"/>
      <c r="W240" s="510"/>
      <c r="X240" s="510"/>
      <c r="Y240" s="507"/>
    </row>
    <row r="241" spans="1:25">
      <c r="A241" s="507"/>
      <c r="E241" s="507"/>
      <c r="F241" s="510"/>
      <c r="G241" s="510"/>
      <c r="H241" s="507"/>
      <c r="I241" s="507"/>
      <c r="J241" s="507"/>
      <c r="K241" s="507"/>
      <c r="L241" s="507"/>
      <c r="M241" s="507"/>
      <c r="N241" s="507"/>
      <c r="O241" s="507"/>
      <c r="P241" s="507"/>
      <c r="Q241" s="507"/>
      <c r="R241" s="507"/>
      <c r="S241" s="507"/>
      <c r="T241" s="507"/>
      <c r="U241" s="507"/>
      <c r="V241" s="510"/>
      <c r="W241" s="510"/>
      <c r="X241" s="510"/>
      <c r="Y241" s="507"/>
    </row>
    <row r="242" spans="1:25">
      <c r="A242" s="507"/>
      <c r="E242" s="507"/>
      <c r="F242" s="510"/>
      <c r="G242" s="510"/>
      <c r="H242" s="507"/>
      <c r="I242" s="507"/>
      <c r="J242" s="507"/>
      <c r="K242" s="507"/>
      <c r="L242" s="507"/>
      <c r="M242" s="507"/>
      <c r="N242" s="507"/>
      <c r="O242" s="507"/>
      <c r="P242" s="507"/>
      <c r="Q242" s="507"/>
      <c r="R242" s="507"/>
      <c r="S242" s="507"/>
      <c r="T242" s="507"/>
      <c r="U242" s="507"/>
      <c r="V242" s="510"/>
      <c r="W242" s="510"/>
      <c r="X242" s="510"/>
      <c r="Y242" s="507"/>
    </row>
    <row r="243" spans="1:25">
      <c r="A243" s="507"/>
      <c r="E243" s="507"/>
      <c r="F243" s="510"/>
      <c r="G243" s="510"/>
      <c r="H243" s="507"/>
      <c r="I243" s="507"/>
      <c r="J243" s="507"/>
      <c r="K243" s="507"/>
      <c r="L243" s="507"/>
      <c r="M243" s="507"/>
      <c r="N243" s="507"/>
      <c r="O243" s="507"/>
      <c r="P243" s="507"/>
      <c r="Q243" s="507"/>
      <c r="R243" s="507"/>
      <c r="S243" s="507"/>
      <c r="T243" s="507"/>
      <c r="U243" s="507"/>
      <c r="V243" s="510"/>
      <c r="W243" s="510"/>
      <c r="X243" s="510"/>
      <c r="Y243" s="507"/>
    </row>
    <row r="244" spans="1:25">
      <c r="A244" s="507"/>
      <c r="E244" s="507"/>
      <c r="F244" s="510"/>
      <c r="G244" s="510"/>
      <c r="H244" s="507"/>
      <c r="I244" s="507"/>
      <c r="J244" s="507"/>
      <c r="K244" s="507"/>
      <c r="L244" s="507"/>
      <c r="M244" s="507"/>
      <c r="N244" s="507"/>
      <c r="O244" s="507"/>
      <c r="P244" s="507"/>
      <c r="Q244" s="507"/>
      <c r="R244" s="507"/>
      <c r="S244" s="507"/>
      <c r="T244" s="507"/>
      <c r="U244" s="507"/>
      <c r="V244" s="510"/>
      <c r="W244" s="510"/>
      <c r="X244" s="510"/>
      <c r="Y244" s="507"/>
    </row>
    <row r="245" spans="1:25">
      <c r="A245" s="507"/>
      <c r="E245" s="507"/>
      <c r="F245" s="510"/>
      <c r="G245" s="510"/>
      <c r="H245" s="507"/>
      <c r="I245" s="507"/>
      <c r="J245" s="507"/>
      <c r="K245" s="507"/>
      <c r="L245" s="507"/>
      <c r="M245" s="507"/>
      <c r="N245" s="507"/>
      <c r="O245" s="507"/>
      <c r="P245" s="507"/>
      <c r="Q245" s="507"/>
      <c r="R245" s="507"/>
      <c r="S245" s="507"/>
      <c r="T245" s="507"/>
      <c r="U245" s="507"/>
      <c r="V245" s="510"/>
      <c r="W245" s="510"/>
      <c r="X245" s="510"/>
      <c r="Y245" s="507"/>
    </row>
    <row r="246" spans="1:25">
      <c r="A246" s="507"/>
      <c r="E246" s="507"/>
      <c r="F246" s="510"/>
      <c r="G246" s="510"/>
      <c r="H246" s="507"/>
      <c r="I246" s="507"/>
      <c r="J246" s="507"/>
      <c r="K246" s="507"/>
      <c r="L246" s="507"/>
      <c r="M246" s="507"/>
      <c r="N246" s="507"/>
      <c r="O246" s="507"/>
      <c r="P246" s="507"/>
      <c r="Q246" s="507"/>
      <c r="R246" s="507"/>
      <c r="S246" s="507"/>
      <c r="T246" s="507"/>
      <c r="U246" s="507"/>
      <c r="V246" s="510"/>
      <c r="W246" s="510"/>
      <c r="X246" s="510"/>
      <c r="Y246" s="507"/>
    </row>
    <row r="247" spans="1:25">
      <c r="A247" s="507"/>
      <c r="E247" s="507"/>
      <c r="F247" s="510"/>
      <c r="G247" s="510"/>
      <c r="H247" s="507"/>
      <c r="I247" s="507"/>
      <c r="J247" s="507"/>
      <c r="K247" s="507"/>
      <c r="L247" s="507"/>
      <c r="M247" s="507"/>
      <c r="N247" s="507"/>
      <c r="O247" s="507"/>
      <c r="P247" s="507"/>
      <c r="Q247" s="507"/>
      <c r="R247" s="507"/>
      <c r="S247" s="507"/>
      <c r="T247" s="507"/>
      <c r="U247" s="507"/>
      <c r="V247" s="510"/>
      <c r="W247" s="510"/>
      <c r="X247" s="510"/>
      <c r="Y247" s="507"/>
    </row>
    <row r="248" spans="1:25">
      <c r="A248" s="507"/>
      <c r="E248" s="507"/>
      <c r="F248" s="510"/>
      <c r="G248" s="510"/>
      <c r="H248" s="507"/>
      <c r="I248" s="507"/>
      <c r="J248" s="507"/>
      <c r="K248" s="507"/>
      <c r="L248" s="507"/>
      <c r="M248" s="507"/>
      <c r="N248" s="507"/>
      <c r="O248" s="507"/>
      <c r="P248" s="507"/>
      <c r="Q248" s="507"/>
      <c r="R248" s="507"/>
      <c r="S248" s="507"/>
      <c r="T248" s="507"/>
      <c r="U248" s="507"/>
      <c r="V248" s="510"/>
      <c r="W248" s="510"/>
      <c r="X248" s="510"/>
      <c r="Y248" s="507"/>
    </row>
    <row r="249" spans="1:25">
      <c r="A249" s="507"/>
      <c r="E249" s="507"/>
      <c r="F249" s="510"/>
      <c r="G249" s="510"/>
      <c r="H249" s="507"/>
      <c r="I249" s="507"/>
      <c r="J249" s="507"/>
      <c r="K249" s="507"/>
      <c r="L249" s="507"/>
      <c r="M249" s="507"/>
      <c r="N249" s="507"/>
      <c r="O249" s="507"/>
      <c r="P249" s="507"/>
      <c r="Q249" s="507"/>
      <c r="R249" s="507"/>
      <c r="S249" s="507"/>
      <c r="T249" s="507"/>
      <c r="U249" s="507"/>
      <c r="V249" s="510"/>
      <c r="W249" s="510"/>
      <c r="X249" s="510"/>
      <c r="Y249" s="507"/>
    </row>
    <row r="250" spans="1:25">
      <c r="A250" s="507"/>
      <c r="E250" s="507"/>
      <c r="F250" s="510"/>
      <c r="G250" s="510"/>
      <c r="H250" s="507"/>
      <c r="I250" s="507"/>
      <c r="J250" s="507"/>
      <c r="K250" s="507"/>
      <c r="L250" s="507"/>
      <c r="M250" s="507"/>
      <c r="N250" s="507"/>
      <c r="O250" s="507"/>
      <c r="P250" s="507"/>
      <c r="Q250" s="507"/>
      <c r="R250" s="507"/>
      <c r="S250" s="507"/>
      <c r="T250" s="507"/>
      <c r="U250" s="507"/>
      <c r="V250" s="510"/>
      <c r="W250" s="510"/>
      <c r="X250" s="510"/>
      <c r="Y250" s="507"/>
    </row>
    <row r="251" spans="1:25">
      <c r="A251" s="507"/>
      <c r="E251" s="507"/>
      <c r="F251" s="510"/>
      <c r="G251" s="510"/>
      <c r="H251" s="507"/>
      <c r="I251" s="507"/>
      <c r="J251" s="507"/>
      <c r="K251" s="507"/>
      <c r="L251" s="507"/>
      <c r="M251" s="507"/>
      <c r="N251" s="507"/>
      <c r="O251" s="507"/>
      <c r="P251" s="507"/>
      <c r="Q251" s="507"/>
      <c r="R251" s="507"/>
      <c r="S251" s="507"/>
      <c r="T251" s="507"/>
      <c r="U251" s="507"/>
      <c r="V251" s="510"/>
      <c r="W251" s="510"/>
      <c r="X251" s="510"/>
      <c r="Y251" s="507"/>
    </row>
    <row r="252" spans="1:25">
      <c r="A252" s="507"/>
      <c r="E252" s="507"/>
      <c r="F252" s="510"/>
      <c r="G252" s="510"/>
      <c r="H252" s="507"/>
      <c r="I252" s="507"/>
      <c r="J252" s="507"/>
      <c r="K252" s="507"/>
      <c r="L252" s="507"/>
      <c r="M252" s="507"/>
      <c r="N252" s="507"/>
      <c r="O252" s="507"/>
      <c r="P252" s="507"/>
      <c r="Q252" s="507"/>
      <c r="R252" s="507"/>
      <c r="S252" s="507"/>
      <c r="T252" s="507"/>
      <c r="U252" s="507"/>
      <c r="V252" s="510"/>
      <c r="W252" s="510"/>
      <c r="X252" s="510"/>
      <c r="Y252" s="507"/>
    </row>
    <row r="253" spans="1:25">
      <c r="A253" s="507"/>
      <c r="E253" s="507"/>
      <c r="F253" s="510"/>
      <c r="G253" s="510"/>
      <c r="H253" s="507"/>
      <c r="I253" s="507"/>
      <c r="J253" s="507"/>
      <c r="K253" s="507"/>
      <c r="L253" s="507"/>
      <c r="M253" s="507"/>
      <c r="N253" s="507"/>
      <c r="O253" s="507"/>
      <c r="P253" s="507"/>
      <c r="Q253" s="507"/>
      <c r="R253" s="507"/>
      <c r="S253" s="507"/>
      <c r="T253" s="507"/>
      <c r="U253" s="507"/>
      <c r="V253" s="510"/>
      <c r="W253" s="510"/>
      <c r="X253" s="510"/>
      <c r="Y253" s="507"/>
    </row>
    <row r="254" spans="1:25">
      <c r="A254" s="507"/>
      <c r="E254" s="507"/>
      <c r="F254" s="510"/>
      <c r="G254" s="510"/>
      <c r="H254" s="507"/>
      <c r="I254" s="507"/>
      <c r="J254" s="507"/>
      <c r="K254" s="507"/>
      <c r="L254" s="507"/>
      <c r="M254" s="507"/>
      <c r="N254" s="507"/>
      <c r="O254" s="507"/>
      <c r="P254" s="507"/>
      <c r="Q254" s="507"/>
      <c r="R254" s="507"/>
      <c r="S254" s="507"/>
      <c r="T254" s="507"/>
      <c r="U254" s="507"/>
      <c r="V254" s="510"/>
      <c r="W254" s="510"/>
      <c r="X254" s="510"/>
      <c r="Y254" s="507"/>
    </row>
    <row r="255" spans="1:25">
      <c r="A255" s="507"/>
      <c r="E255" s="507"/>
      <c r="F255" s="510"/>
      <c r="G255" s="510"/>
      <c r="H255" s="507"/>
      <c r="I255" s="507"/>
      <c r="J255" s="507"/>
      <c r="K255" s="507"/>
      <c r="L255" s="507"/>
      <c r="M255" s="507"/>
      <c r="N255" s="507"/>
      <c r="O255" s="507"/>
      <c r="P255" s="507"/>
      <c r="Q255" s="507"/>
      <c r="R255" s="507"/>
      <c r="S255" s="507"/>
      <c r="T255" s="507"/>
      <c r="U255" s="507"/>
      <c r="V255" s="510"/>
      <c r="W255" s="510"/>
      <c r="X255" s="510"/>
      <c r="Y255" s="507"/>
    </row>
    <row r="256" spans="1:25">
      <c r="A256" s="507"/>
      <c r="E256" s="507"/>
      <c r="F256" s="510"/>
      <c r="G256" s="510"/>
      <c r="H256" s="507"/>
      <c r="I256" s="507"/>
      <c r="J256" s="507"/>
      <c r="K256" s="507"/>
      <c r="L256" s="507"/>
      <c r="M256" s="507"/>
      <c r="N256" s="507"/>
      <c r="O256" s="507"/>
      <c r="P256" s="507"/>
      <c r="Q256" s="507"/>
      <c r="R256" s="507"/>
      <c r="S256" s="507"/>
      <c r="T256" s="507"/>
      <c r="U256" s="507"/>
      <c r="V256" s="510"/>
      <c r="W256" s="510"/>
      <c r="X256" s="510"/>
      <c r="Y256" s="507"/>
    </row>
    <row r="257" spans="1:25">
      <c r="A257" s="507"/>
      <c r="E257" s="507"/>
      <c r="F257" s="510"/>
      <c r="G257" s="510"/>
      <c r="H257" s="507"/>
      <c r="I257" s="507"/>
      <c r="J257" s="507"/>
      <c r="K257" s="507"/>
      <c r="L257" s="507"/>
      <c r="M257" s="507"/>
      <c r="N257" s="507"/>
      <c r="O257" s="507"/>
      <c r="P257" s="507"/>
      <c r="Q257" s="507"/>
      <c r="R257" s="507"/>
      <c r="S257" s="507"/>
      <c r="T257" s="507"/>
      <c r="U257" s="507"/>
      <c r="V257" s="510"/>
      <c r="W257" s="510"/>
      <c r="X257" s="510"/>
      <c r="Y257" s="507"/>
    </row>
    <row r="258" spans="1:25">
      <c r="A258" s="507"/>
      <c r="E258" s="507"/>
      <c r="F258" s="510"/>
      <c r="G258" s="510"/>
      <c r="H258" s="507"/>
      <c r="I258" s="507"/>
      <c r="J258" s="507"/>
      <c r="K258" s="507"/>
      <c r="L258" s="507"/>
      <c r="M258" s="507"/>
      <c r="N258" s="507"/>
      <c r="O258" s="507"/>
      <c r="P258" s="507"/>
      <c r="Q258" s="507"/>
      <c r="R258" s="507"/>
      <c r="S258" s="507"/>
      <c r="T258" s="507"/>
      <c r="U258" s="507"/>
      <c r="V258" s="510"/>
      <c r="W258" s="510"/>
      <c r="X258" s="510"/>
      <c r="Y258" s="507"/>
    </row>
    <row r="259" spans="1:25">
      <c r="A259" s="507"/>
      <c r="E259" s="507"/>
      <c r="F259" s="510"/>
      <c r="G259" s="510"/>
      <c r="H259" s="507"/>
      <c r="I259" s="507"/>
      <c r="J259" s="507"/>
      <c r="K259" s="507"/>
      <c r="L259" s="507"/>
      <c r="M259" s="507"/>
      <c r="N259" s="507"/>
      <c r="O259" s="507"/>
      <c r="P259" s="507"/>
      <c r="Q259" s="507"/>
      <c r="R259" s="507"/>
      <c r="S259" s="507"/>
      <c r="T259" s="507"/>
      <c r="U259" s="507"/>
      <c r="V259" s="510"/>
      <c r="W259" s="510"/>
      <c r="X259" s="510"/>
      <c r="Y259" s="507"/>
    </row>
    <row r="260" spans="1:25">
      <c r="A260" s="507"/>
      <c r="E260" s="507"/>
      <c r="F260" s="510"/>
      <c r="G260" s="510"/>
      <c r="H260" s="507"/>
      <c r="I260" s="507"/>
      <c r="J260" s="507"/>
      <c r="K260" s="507"/>
      <c r="L260" s="507"/>
      <c r="M260" s="507"/>
      <c r="N260" s="507"/>
      <c r="O260" s="507"/>
      <c r="P260" s="507"/>
      <c r="Q260" s="507"/>
      <c r="R260" s="507"/>
      <c r="S260" s="507"/>
      <c r="T260" s="507"/>
      <c r="U260" s="507"/>
      <c r="V260" s="510"/>
      <c r="W260" s="510"/>
      <c r="X260" s="510"/>
      <c r="Y260" s="507"/>
    </row>
    <row r="261" spans="1:25">
      <c r="A261" s="507"/>
      <c r="E261" s="507"/>
      <c r="F261" s="510"/>
      <c r="G261" s="510"/>
      <c r="H261" s="507"/>
      <c r="I261" s="507"/>
      <c r="J261" s="507"/>
      <c r="K261" s="507"/>
      <c r="L261" s="507"/>
      <c r="M261" s="507"/>
      <c r="N261" s="507"/>
      <c r="O261" s="507"/>
      <c r="P261" s="507"/>
      <c r="Q261" s="507"/>
      <c r="R261" s="507"/>
      <c r="S261" s="507"/>
      <c r="T261" s="507"/>
      <c r="U261" s="507"/>
      <c r="V261" s="510"/>
      <c r="W261" s="510"/>
      <c r="X261" s="510"/>
      <c r="Y261" s="507"/>
    </row>
    <row r="262" spans="1:25">
      <c r="A262" s="507"/>
      <c r="E262" s="507"/>
      <c r="F262" s="510"/>
      <c r="G262" s="510"/>
      <c r="H262" s="507"/>
      <c r="I262" s="507"/>
      <c r="J262" s="507"/>
      <c r="K262" s="507"/>
      <c r="L262" s="507"/>
      <c r="M262" s="507"/>
      <c r="N262" s="507"/>
      <c r="O262" s="507"/>
      <c r="P262" s="507"/>
      <c r="Q262" s="507"/>
      <c r="R262" s="507"/>
      <c r="S262" s="507"/>
      <c r="T262" s="507"/>
      <c r="U262" s="507"/>
      <c r="V262" s="510"/>
      <c r="W262" s="510"/>
      <c r="X262" s="510"/>
      <c r="Y262" s="507"/>
    </row>
    <row r="263" spans="1:25">
      <c r="A263" s="507"/>
      <c r="E263" s="507"/>
      <c r="F263" s="510"/>
      <c r="G263" s="510"/>
      <c r="H263" s="507"/>
      <c r="I263" s="507"/>
      <c r="J263" s="507"/>
      <c r="K263" s="507"/>
      <c r="L263" s="507"/>
      <c r="M263" s="507"/>
      <c r="N263" s="507"/>
      <c r="O263" s="507"/>
      <c r="P263" s="507"/>
      <c r="Q263" s="507"/>
      <c r="R263" s="507"/>
      <c r="S263" s="507"/>
      <c r="T263" s="507"/>
      <c r="U263" s="507"/>
      <c r="V263" s="510"/>
      <c r="W263" s="510"/>
      <c r="X263" s="510"/>
      <c r="Y263" s="507"/>
    </row>
    <row r="264" spans="1:25">
      <c r="A264" s="507"/>
      <c r="E264" s="507"/>
      <c r="F264" s="510"/>
      <c r="G264" s="510"/>
      <c r="H264" s="507"/>
      <c r="I264" s="507"/>
      <c r="J264" s="507"/>
      <c r="K264" s="507"/>
      <c r="L264" s="507"/>
      <c r="M264" s="507"/>
      <c r="N264" s="507"/>
      <c r="O264" s="507"/>
      <c r="P264" s="507"/>
      <c r="Q264" s="507"/>
      <c r="R264" s="507"/>
      <c r="S264" s="507"/>
      <c r="T264" s="507"/>
      <c r="U264" s="507"/>
      <c r="V264" s="510"/>
      <c r="W264" s="510"/>
      <c r="X264" s="510"/>
      <c r="Y264" s="507"/>
    </row>
    <row r="265" spans="1:25">
      <c r="A265" s="507"/>
      <c r="E265" s="507"/>
      <c r="F265" s="510"/>
      <c r="G265" s="510"/>
      <c r="H265" s="507"/>
      <c r="I265" s="507"/>
      <c r="J265" s="507"/>
      <c r="K265" s="507"/>
      <c r="L265" s="507"/>
      <c r="M265" s="507"/>
      <c r="N265" s="507"/>
      <c r="O265" s="507"/>
      <c r="P265" s="507"/>
      <c r="Q265" s="507"/>
      <c r="R265" s="507"/>
      <c r="S265" s="507"/>
      <c r="T265" s="507"/>
      <c r="U265" s="507"/>
      <c r="V265" s="510"/>
      <c r="W265" s="510"/>
      <c r="X265" s="510"/>
      <c r="Y265" s="507"/>
    </row>
    <row r="266" spans="1:25">
      <c r="A266" s="507"/>
      <c r="E266" s="507"/>
      <c r="F266" s="510"/>
      <c r="G266" s="510"/>
      <c r="H266" s="507"/>
      <c r="I266" s="507"/>
      <c r="J266" s="507"/>
      <c r="K266" s="507"/>
      <c r="L266" s="507"/>
      <c r="M266" s="507"/>
      <c r="N266" s="507"/>
      <c r="O266" s="507"/>
      <c r="P266" s="507"/>
      <c r="Q266" s="507"/>
      <c r="R266" s="507"/>
      <c r="S266" s="507"/>
      <c r="T266" s="507"/>
      <c r="U266" s="507"/>
      <c r="V266" s="510"/>
      <c r="W266" s="510"/>
      <c r="X266" s="510"/>
      <c r="Y266" s="507"/>
    </row>
    <row r="267" spans="1:25">
      <c r="A267" s="507"/>
      <c r="E267" s="507"/>
      <c r="F267" s="510"/>
      <c r="G267" s="510"/>
      <c r="H267" s="507"/>
      <c r="I267" s="507"/>
      <c r="J267" s="507"/>
      <c r="K267" s="507"/>
      <c r="L267" s="507"/>
      <c r="M267" s="507"/>
      <c r="N267" s="507"/>
      <c r="O267" s="507"/>
      <c r="P267" s="507"/>
      <c r="Q267" s="507"/>
      <c r="R267" s="507"/>
      <c r="S267" s="507"/>
      <c r="T267" s="507"/>
      <c r="U267" s="507"/>
      <c r="V267" s="510"/>
      <c r="W267" s="510"/>
      <c r="X267" s="510"/>
      <c r="Y267" s="507"/>
    </row>
    <row r="268" spans="1:25">
      <c r="A268" s="507"/>
      <c r="E268" s="507"/>
      <c r="F268" s="510"/>
      <c r="G268" s="510"/>
      <c r="H268" s="507"/>
      <c r="I268" s="507"/>
      <c r="J268" s="507"/>
      <c r="K268" s="507"/>
      <c r="L268" s="507"/>
      <c r="M268" s="507"/>
      <c r="N268" s="507"/>
      <c r="O268" s="507"/>
      <c r="P268" s="507"/>
      <c r="Q268" s="507"/>
      <c r="R268" s="507"/>
      <c r="S268" s="507"/>
      <c r="T268" s="507"/>
      <c r="U268" s="507"/>
      <c r="V268" s="510"/>
      <c r="W268" s="510"/>
      <c r="X268" s="510"/>
      <c r="Y268" s="507"/>
    </row>
    <row r="269" spans="1:25">
      <c r="A269" s="507"/>
      <c r="E269" s="507"/>
      <c r="F269" s="510"/>
      <c r="G269" s="510"/>
      <c r="H269" s="507"/>
      <c r="I269" s="507"/>
      <c r="J269" s="507"/>
      <c r="K269" s="507"/>
      <c r="L269" s="507"/>
      <c r="M269" s="507"/>
      <c r="N269" s="507"/>
      <c r="O269" s="507"/>
      <c r="P269" s="507"/>
      <c r="Q269" s="507"/>
      <c r="R269" s="507"/>
      <c r="S269" s="507"/>
      <c r="T269" s="507"/>
      <c r="U269" s="507"/>
      <c r="V269" s="510"/>
      <c r="W269" s="510"/>
      <c r="X269" s="510"/>
      <c r="Y269" s="507"/>
    </row>
    <row r="270" spans="1:25">
      <c r="A270" s="507"/>
      <c r="E270" s="507"/>
      <c r="F270" s="510"/>
      <c r="G270" s="510"/>
      <c r="H270" s="507"/>
      <c r="I270" s="507"/>
      <c r="J270" s="507"/>
      <c r="K270" s="507"/>
      <c r="L270" s="507"/>
      <c r="M270" s="507"/>
      <c r="N270" s="507"/>
      <c r="O270" s="507"/>
      <c r="P270" s="507"/>
      <c r="Q270" s="507"/>
      <c r="R270" s="507"/>
      <c r="S270" s="507"/>
      <c r="T270" s="507"/>
      <c r="U270" s="507"/>
      <c r="V270" s="510"/>
      <c r="W270" s="510"/>
      <c r="X270" s="510"/>
      <c r="Y270" s="507"/>
    </row>
    <row r="271" spans="1:25">
      <c r="A271" s="507"/>
      <c r="E271" s="507"/>
      <c r="F271" s="510"/>
      <c r="G271" s="510"/>
      <c r="H271" s="507"/>
      <c r="I271" s="507"/>
      <c r="J271" s="507"/>
      <c r="K271" s="507"/>
      <c r="L271" s="507"/>
      <c r="M271" s="507"/>
      <c r="N271" s="507"/>
      <c r="O271" s="507"/>
      <c r="P271" s="507"/>
      <c r="Q271" s="507"/>
      <c r="R271" s="507"/>
      <c r="S271" s="507"/>
      <c r="T271" s="507"/>
      <c r="U271" s="507"/>
      <c r="V271" s="510"/>
      <c r="W271" s="510"/>
      <c r="X271" s="510"/>
      <c r="Y271" s="507"/>
    </row>
    <row r="272" spans="1:25">
      <c r="A272" s="507"/>
      <c r="E272" s="507"/>
      <c r="F272" s="510"/>
      <c r="G272" s="510"/>
      <c r="H272" s="507"/>
      <c r="I272" s="507"/>
      <c r="J272" s="507"/>
      <c r="K272" s="507"/>
      <c r="L272" s="507"/>
      <c r="M272" s="507"/>
      <c r="N272" s="507"/>
      <c r="O272" s="507"/>
      <c r="P272" s="507"/>
      <c r="Q272" s="507"/>
      <c r="R272" s="507"/>
      <c r="S272" s="507"/>
      <c r="T272" s="507"/>
      <c r="U272" s="507"/>
      <c r="V272" s="510"/>
      <c r="W272" s="510"/>
      <c r="X272" s="510"/>
      <c r="Y272" s="507"/>
    </row>
    <row r="273" spans="1:25">
      <c r="A273" s="507"/>
      <c r="E273" s="507"/>
      <c r="F273" s="510"/>
      <c r="G273" s="510"/>
      <c r="H273" s="507"/>
      <c r="I273" s="507"/>
      <c r="J273" s="507"/>
      <c r="K273" s="507"/>
      <c r="L273" s="507"/>
      <c r="M273" s="507"/>
      <c r="N273" s="507"/>
      <c r="O273" s="507"/>
      <c r="P273" s="507"/>
      <c r="Q273" s="507"/>
      <c r="R273" s="507"/>
      <c r="S273" s="507"/>
      <c r="T273" s="507"/>
      <c r="U273" s="507"/>
      <c r="V273" s="510"/>
      <c r="W273" s="510"/>
      <c r="X273" s="510"/>
      <c r="Y273" s="507"/>
    </row>
    <row r="274" spans="1:25">
      <c r="A274" s="507"/>
      <c r="E274" s="507"/>
      <c r="F274" s="510"/>
      <c r="G274" s="510"/>
      <c r="H274" s="507"/>
      <c r="I274" s="507"/>
      <c r="J274" s="507"/>
      <c r="K274" s="507"/>
      <c r="L274" s="507"/>
      <c r="M274" s="507"/>
      <c r="N274" s="507"/>
      <c r="O274" s="507"/>
      <c r="P274" s="507"/>
      <c r="Q274" s="507"/>
      <c r="R274" s="507"/>
      <c r="S274" s="507"/>
      <c r="T274" s="507"/>
      <c r="U274" s="507"/>
      <c r="V274" s="510"/>
      <c r="W274" s="510"/>
      <c r="X274" s="510"/>
      <c r="Y274" s="507"/>
    </row>
    <row r="275" spans="1:25">
      <c r="A275" s="507"/>
      <c r="E275" s="507"/>
      <c r="F275" s="510"/>
      <c r="G275" s="510"/>
      <c r="H275" s="507"/>
      <c r="I275" s="507"/>
      <c r="J275" s="507"/>
      <c r="K275" s="507"/>
      <c r="L275" s="507"/>
      <c r="M275" s="507"/>
      <c r="N275" s="507"/>
      <c r="O275" s="507"/>
      <c r="P275" s="507"/>
      <c r="Q275" s="507"/>
      <c r="R275" s="507"/>
      <c r="S275" s="507"/>
      <c r="T275" s="507"/>
      <c r="U275" s="507"/>
      <c r="V275" s="510"/>
      <c r="W275" s="510"/>
      <c r="X275" s="510"/>
      <c r="Y275" s="507"/>
    </row>
    <row r="276" spans="1:25">
      <c r="A276" s="507"/>
      <c r="E276" s="507"/>
      <c r="F276" s="510"/>
      <c r="G276" s="510"/>
      <c r="H276" s="507"/>
      <c r="I276" s="507"/>
      <c r="J276" s="507"/>
      <c r="K276" s="507"/>
      <c r="L276" s="507"/>
      <c r="M276" s="507"/>
      <c r="N276" s="507"/>
      <c r="O276" s="507"/>
      <c r="P276" s="507"/>
      <c r="Q276" s="507"/>
      <c r="R276" s="507"/>
      <c r="S276" s="507"/>
      <c r="T276" s="507"/>
      <c r="U276" s="507"/>
      <c r="V276" s="510"/>
      <c r="W276" s="510"/>
      <c r="X276" s="510"/>
      <c r="Y276" s="507"/>
    </row>
    <row r="277" spans="1:25">
      <c r="A277" s="507"/>
      <c r="E277" s="507"/>
      <c r="F277" s="510"/>
      <c r="G277" s="510"/>
      <c r="H277" s="507"/>
      <c r="I277" s="507"/>
      <c r="J277" s="507"/>
      <c r="K277" s="507"/>
      <c r="L277" s="507"/>
      <c r="M277" s="507"/>
      <c r="N277" s="507"/>
      <c r="O277" s="507"/>
      <c r="P277" s="507"/>
      <c r="Q277" s="507"/>
      <c r="R277" s="507"/>
      <c r="S277" s="507"/>
      <c r="T277" s="507"/>
      <c r="U277" s="507"/>
      <c r="V277" s="510"/>
      <c r="W277" s="510"/>
      <c r="X277" s="510"/>
      <c r="Y277" s="507"/>
    </row>
    <row r="278" spans="1:25">
      <c r="A278" s="507"/>
      <c r="E278" s="507"/>
      <c r="F278" s="510"/>
      <c r="G278" s="510"/>
      <c r="H278" s="507"/>
      <c r="I278" s="507"/>
      <c r="J278" s="507"/>
      <c r="K278" s="507"/>
      <c r="L278" s="507"/>
      <c r="M278" s="507"/>
      <c r="N278" s="507"/>
      <c r="O278" s="507"/>
      <c r="P278" s="507"/>
      <c r="Q278" s="507"/>
      <c r="R278" s="507"/>
      <c r="S278" s="507"/>
      <c r="T278" s="507"/>
      <c r="U278" s="507"/>
      <c r="V278" s="510"/>
      <c r="W278" s="510"/>
      <c r="X278" s="510"/>
      <c r="Y278" s="507"/>
    </row>
    <row r="279" spans="1:25">
      <c r="A279" s="507"/>
      <c r="E279" s="507"/>
      <c r="F279" s="510"/>
      <c r="G279" s="510"/>
      <c r="H279" s="507"/>
      <c r="I279" s="507"/>
      <c r="J279" s="507"/>
      <c r="K279" s="507"/>
      <c r="L279" s="507"/>
      <c r="M279" s="507"/>
      <c r="N279" s="507"/>
      <c r="O279" s="507"/>
      <c r="P279" s="507"/>
      <c r="Q279" s="507"/>
      <c r="R279" s="507"/>
      <c r="S279" s="507"/>
      <c r="T279" s="507"/>
      <c r="U279" s="507"/>
      <c r="V279" s="510"/>
      <c r="W279" s="510"/>
      <c r="X279" s="510"/>
      <c r="Y279" s="507"/>
    </row>
    <row r="280" spans="1:25">
      <c r="A280" s="507"/>
      <c r="E280" s="507"/>
      <c r="F280" s="510"/>
      <c r="G280" s="510"/>
      <c r="H280" s="507"/>
      <c r="I280" s="507"/>
      <c r="J280" s="507"/>
      <c r="K280" s="507"/>
      <c r="L280" s="507"/>
      <c r="M280" s="507"/>
      <c r="N280" s="507"/>
      <c r="O280" s="507"/>
      <c r="P280" s="507"/>
      <c r="Q280" s="507"/>
      <c r="R280" s="507"/>
      <c r="S280" s="507"/>
      <c r="T280" s="507"/>
      <c r="U280" s="507"/>
      <c r="V280" s="510"/>
      <c r="W280" s="510"/>
      <c r="X280" s="510"/>
      <c r="Y280" s="507"/>
    </row>
    <row r="281" spans="1:25">
      <c r="A281" s="507"/>
      <c r="E281" s="507"/>
      <c r="F281" s="510"/>
      <c r="G281" s="510"/>
      <c r="H281" s="507"/>
      <c r="I281" s="507"/>
      <c r="J281" s="507"/>
      <c r="K281" s="507"/>
      <c r="L281" s="507"/>
      <c r="M281" s="507"/>
      <c r="N281" s="507"/>
      <c r="O281" s="507"/>
      <c r="P281" s="507"/>
      <c r="Q281" s="507"/>
      <c r="R281" s="507"/>
      <c r="S281" s="507"/>
      <c r="T281" s="507"/>
      <c r="U281" s="507"/>
      <c r="V281" s="510"/>
      <c r="W281" s="510"/>
      <c r="X281" s="510"/>
      <c r="Y281" s="507"/>
    </row>
    <row r="282" spans="1:25">
      <c r="A282" s="507"/>
      <c r="E282" s="507"/>
      <c r="F282" s="510"/>
      <c r="G282" s="510"/>
      <c r="H282" s="507"/>
      <c r="I282" s="507"/>
      <c r="J282" s="507"/>
      <c r="K282" s="507"/>
      <c r="L282" s="507"/>
      <c r="M282" s="507"/>
      <c r="N282" s="507"/>
      <c r="O282" s="507"/>
      <c r="P282" s="507"/>
      <c r="Q282" s="507"/>
      <c r="R282" s="507"/>
      <c r="S282" s="507"/>
      <c r="T282" s="507"/>
      <c r="U282" s="507"/>
      <c r="V282" s="510"/>
      <c r="W282" s="510"/>
      <c r="X282" s="510"/>
      <c r="Y282" s="507"/>
    </row>
    <row r="283" spans="1:25">
      <c r="A283" s="507"/>
      <c r="E283" s="507"/>
      <c r="F283" s="510"/>
      <c r="G283" s="510"/>
      <c r="H283" s="507"/>
      <c r="I283" s="507"/>
      <c r="J283" s="507"/>
      <c r="K283" s="507"/>
      <c r="L283" s="507"/>
      <c r="M283" s="507"/>
      <c r="N283" s="507"/>
      <c r="O283" s="507"/>
      <c r="P283" s="507"/>
      <c r="Q283" s="507"/>
      <c r="R283" s="507"/>
      <c r="S283" s="507"/>
      <c r="T283" s="507"/>
      <c r="U283" s="507"/>
      <c r="V283" s="510"/>
      <c r="W283" s="510"/>
      <c r="X283" s="510"/>
      <c r="Y283" s="507"/>
    </row>
    <row r="284" spans="1:25">
      <c r="A284" s="507"/>
      <c r="E284" s="507"/>
      <c r="F284" s="510"/>
      <c r="G284" s="510"/>
      <c r="H284" s="507"/>
      <c r="I284" s="507"/>
      <c r="J284" s="507"/>
      <c r="K284" s="507"/>
      <c r="L284" s="507"/>
      <c r="M284" s="507"/>
      <c r="N284" s="507"/>
      <c r="O284" s="507"/>
      <c r="P284" s="507"/>
      <c r="Q284" s="507"/>
      <c r="R284" s="507"/>
      <c r="S284" s="507"/>
      <c r="T284" s="507"/>
      <c r="U284" s="507"/>
      <c r="V284" s="510"/>
      <c r="W284" s="510"/>
      <c r="X284" s="510"/>
      <c r="Y284" s="507"/>
    </row>
    <row r="285" spans="1:25">
      <c r="A285" s="507"/>
      <c r="E285" s="507"/>
      <c r="F285" s="510"/>
      <c r="G285" s="510"/>
      <c r="H285" s="507"/>
      <c r="I285" s="507"/>
      <c r="J285" s="507"/>
      <c r="K285" s="507"/>
      <c r="L285" s="507"/>
      <c r="M285" s="507"/>
      <c r="N285" s="507"/>
      <c r="O285" s="507"/>
      <c r="P285" s="507"/>
      <c r="Q285" s="507"/>
      <c r="R285" s="507"/>
      <c r="S285" s="507"/>
      <c r="T285" s="507"/>
      <c r="U285" s="507"/>
      <c r="V285" s="510"/>
      <c r="W285" s="510"/>
      <c r="X285" s="510"/>
      <c r="Y285" s="507"/>
    </row>
    <row r="286" spans="1:25">
      <c r="A286" s="507"/>
      <c r="E286" s="507"/>
      <c r="F286" s="510"/>
      <c r="G286" s="510"/>
      <c r="H286" s="507"/>
      <c r="I286" s="507"/>
      <c r="J286" s="507"/>
      <c r="K286" s="507"/>
      <c r="L286" s="507"/>
      <c r="M286" s="507"/>
      <c r="N286" s="507"/>
      <c r="O286" s="507"/>
      <c r="P286" s="507"/>
      <c r="Q286" s="507"/>
      <c r="R286" s="507"/>
      <c r="S286" s="507"/>
      <c r="T286" s="507"/>
      <c r="U286" s="507"/>
      <c r="V286" s="510"/>
      <c r="W286" s="510"/>
      <c r="X286" s="510"/>
      <c r="Y286" s="507"/>
    </row>
    <row r="287" spans="1:25">
      <c r="A287" s="507"/>
      <c r="E287" s="507"/>
      <c r="F287" s="510"/>
      <c r="G287" s="510"/>
      <c r="H287" s="507"/>
      <c r="I287" s="507"/>
      <c r="J287" s="507"/>
      <c r="K287" s="507"/>
      <c r="L287" s="507"/>
      <c r="M287" s="507"/>
      <c r="N287" s="507"/>
      <c r="O287" s="507"/>
      <c r="P287" s="507"/>
      <c r="Q287" s="507"/>
      <c r="R287" s="507"/>
      <c r="S287" s="507"/>
      <c r="T287" s="507"/>
      <c r="U287" s="507"/>
      <c r="V287" s="510"/>
      <c r="W287" s="510"/>
      <c r="X287" s="510"/>
      <c r="Y287" s="507"/>
    </row>
    <row r="288" spans="1:25">
      <c r="A288" s="507"/>
      <c r="E288" s="507"/>
      <c r="F288" s="510"/>
      <c r="G288" s="510"/>
      <c r="H288" s="507"/>
      <c r="I288" s="507"/>
      <c r="J288" s="507"/>
      <c r="K288" s="507"/>
      <c r="L288" s="507"/>
      <c r="M288" s="507"/>
      <c r="N288" s="507"/>
      <c r="O288" s="507"/>
      <c r="P288" s="507"/>
      <c r="Q288" s="507"/>
      <c r="R288" s="507"/>
      <c r="S288" s="507"/>
      <c r="T288" s="507"/>
      <c r="U288" s="507"/>
      <c r="V288" s="510"/>
      <c r="W288" s="510"/>
      <c r="X288" s="510"/>
      <c r="Y288" s="507"/>
    </row>
    <row r="289" spans="1:25">
      <c r="A289" s="507"/>
      <c r="E289" s="507"/>
      <c r="F289" s="510"/>
      <c r="G289" s="510"/>
      <c r="H289" s="507"/>
      <c r="I289" s="507"/>
      <c r="J289" s="507"/>
      <c r="K289" s="507"/>
      <c r="L289" s="507"/>
      <c r="M289" s="507"/>
      <c r="N289" s="507"/>
      <c r="O289" s="507"/>
      <c r="P289" s="507"/>
      <c r="Q289" s="507"/>
      <c r="R289" s="507"/>
      <c r="S289" s="507"/>
      <c r="T289" s="507"/>
      <c r="U289" s="507"/>
      <c r="V289" s="510"/>
      <c r="W289" s="510"/>
      <c r="X289" s="510"/>
      <c r="Y289" s="507"/>
    </row>
    <row r="290" spans="1:25">
      <c r="A290" s="507"/>
      <c r="E290" s="507"/>
      <c r="F290" s="510"/>
      <c r="G290" s="510"/>
      <c r="H290" s="507"/>
      <c r="I290" s="507"/>
      <c r="J290" s="507"/>
      <c r="K290" s="507"/>
      <c r="L290" s="507"/>
      <c r="M290" s="507"/>
      <c r="N290" s="507"/>
      <c r="O290" s="507"/>
      <c r="P290" s="507"/>
      <c r="Q290" s="507"/>
      <c r="R290" s="507"/>
      <c r="S290" s="507"/>
      <c r="T290" s="507"/>
      <c r="U290" s="507"/>
      <c r="V290" s="510"/>
      <c r="W290" s="510"/>
      <c r="X290" s="510"/>
      <c r="Y290" s="507"/>
    </row>
    <row r="291" spans="1:25">
      <c r="A291" s="507"/>
      <c r="E291" s="507"/>
      <c r="F291" s="510"/>
      <c r="G291" s="510"/>
      <c r="H291" s="507"/>
      <c r="I291" s="507"/>
      <c r="J291" s="507"/>
      <c r="K291" s="507"/>
      <c r="L291" s="507"/>
      <c r="M291" s="507"/>
      <c r="N291" s="507"/>
      <c r="O291" s="507"/>
      <c r="P291" s="507"/>
      <c r="Q291" s="507"/>
      <c r="R291" s="507"/>
      <c r="S291" s="507"/>
      <c r="T291" s="507"/>
      <c r="U291" s="507"/>
      <c r="V291" s="510"/>
      <c r="W291" s="510"/>
      <c r="X291" s="510"/>
      <c r="Y291" s="507"/>
    </row>
    <row r="292" spans="1:25">
      <c r="A292" s="507"/>
      <c r="E292" s="507"/>
      <c r="F292" s="510"/>
      <c r="G292" s="510"/>
      <c r="H292" s="507"/>
      <c r="I292" s="507"/>
      <c r="J292" s="507"/>
      <c r="K292" s="507"/>
      <c r="L292" s="507"/>
      <c r="M292" s="507"/>
      <c r="N292" s="507"/>
      <c r="O292" s="507"/>
      <c r="P292" s="507"/>
      <c r="Q292" s="507"/>
      <c r="R292" s="507"/>
      <c r="S292" s="507"/>
      <c r="T292" s="507"/>
      <c r="U292" s="507"/>
      <c r="V292" s="510"/>
      <c r="W292" s="510"/>
      <c r="X292" s="510"/>
      <c r="Y292" s="507"/>
    </row>
    <row r="293" spans="1:25">
      <c r="A293" s="507"/>
      <c r="E293" s="507"/>
      <c r="F293" s="510"/>
      <c r="G293" s="510"/>
      <c r="H293" s="507"/>
      <c r="I293" s="507"/>
      <c r="J293" s="507"/>
      <c r="K293" s="507"/>
      <c r="L293" s="507"/>
      <c r="M293" s="507"/>
      <c r="N293" s="507"/>
      <c r="O293" s="507"/>
      <c r="P293" s="507"/>
      <c r="Q293" s="507"/>
      <c r="R293" s="507"/>
      <c r="S293" s="507"/>
      <c r="T293" s="507"/>
      <c r="U293" s="507"/>
      <c r="V293" s="510"/>
      <c r="W293" s="510"/>
      <c r="X293" s="510"/>
      <c r="Y293" s="507"/>
    </row>
    <row r="294" spans="1:25">
      <c r="A294" s="507"/>
      <c r="E294" s="507"/>
      <c r="F294" s="510"/>
      <c r="G294" s="510"/>
      <c r="H294" s="507"/>
      <c r="I294" s="507"/>
      <c r="J294" s="507"/>
      <c r="K294" s="507"/>
      <c r="L294" s="507"/>
      <c r="M294" s="507"/>
      <c r="N294" s="507"/>
      <c r="O294" s="507"/>
      <c r="P294" s="507"/>
      <c r="Q294" s="507"/>
      <c r="R294" s="507"/>
      <c r="S294" s="507"/>
      <c r="T294" s="507"/>
      <c r="U294" s="507"/>
      <c r="V294" s="510"/>
      <c r="W294" s="510"/>
      <c r="X294" s="510"/>
      <c r="Y294" s="507"/>
    </row>
    <row r="295" spans="1:25">
      <c r="A295" s="507"/>
      <c r="E295" s="507"/>
      <c r="F295" s="510"/>
      <c r="G295" s="510"/>
      <c r="H295" s="507"/>
      <c r="I295" s="507"/>
      <c r="J295" s="507"/>
      <c r="K295" s="507"/>
      <c r="L295" s="507"/>
      <c r="M295" s="507"/>
      <c r="N295" s="507"/>
      <c r="O295" s="507"/>
      <c r="P295" s="507"/>
      <c r="Q295" s="507"/>
      <c r="R295" s="507"/>
      <c r="S295" s="507"/>
      <c r="T295" s="507"/>
      <c r="U295" s="507"/>
      <c r="V295" s="510"/>
      <c r="W295" s="510"/>
      <c r="X295" s="510"/>
      <c r="Y295" s="507"/>
    </row>
    <row r="296" spans="1:25">
      <c r="A296" s="507"/>
      <c r="E296" s="507"/>
      <c r="F296" s="510"/>
      <c r="G296" s="510"/>
      <c r="H296" s="507"/>
      <c r="I296" s="507"/>
      <c r="J296" s="507"/>
      <c r="K296" s="507"/>
      <c r="L296" s="507"/>
      <c r="M296" s="507"/>
      <c r="N296" s="507"/>
      <c r="O296" s="507"/>
      <c r="P296" s="507"/>
      <c r="Q296" s="507"/>
      <c r="R296" s="507"/>
      <c r="S296" s="507"/>
      <c r="T296" s="507"/>
      <c r="U296" s="507"/>
      <c r="V296" s="510"/>
      <c r="W296" s="510"/>
      <c r="X296" s="510"/>
      <c r="Y296" s="507"/>
    </row>
    <row r="297" spans="1:25">
      <c r="A297" s="507"/>
      <c r="E297" s="507"/>
      <c r="F297" s="510"/>
      <c r="G297" s="510"/>
      <c r="H297" s="507"/>
      <c r="I297" s="507"/>
      <c r="J297" s="507"/>
      <c r="K297" s="507"/>
      <c r="L297" s="507"/>
      <c r="M297" s="507"/>
      <c r="N297" s="507"/>
      <c r="O297" s="507"/>
      <c r="P297" s="507"/>
      <c r="Q297" s="507"/>
      <c r="R297" s="507"/>
      <c r="S297" s="507"/>
      <c r="T297" s="507"/>
      <c r="U297" s="507"/>
      <c r="V297" s="510"/>
      <c r="W297" s="510"/>
      <c r="X297" s="510"/>
      <c r="Y297" s="507"/>
    </row>
    <row r="298" spans="1:25">
      <c r="A298" s="507"/>
      <c r="E298" s="507"/>
      <c r="F298" s="510"/>
      <c r="G298" s="510"/>
      <c r="H298" s="507"/>
      <c r="I298" s="507"/>
      <c r="J298" s="507"/>
      <c r="K298" s="507"/>
      <c r="L298" s="507"/>
      <c r="M298" s="507"/>
      <c r="N298" s="507"/>
      <c r="O298" s="507"/>
      <c r="P298" s="507"/>
      <c r="Q298" s="507"/>
      <c r="R298" s="507"/>
      <c r="S298" s="507"/>
      <c r="T298" s="507"/>
      <c r="U298" s="507"/>
      <c r="V298" s="510"/>
      <c r="W298" s="510"/>
      <c r="X298" s="510"/>
      <c r="Y298" s="507"/>
    </row>
    <row r="299" spans="1:25">
      <c r="A299" s="507"/>
      <c r="E299" s="507"/>
      <c r="F299" s="510"/>
      <c r="G299" s="510"/>
      <c r="H299" s="507"/>
      <c r="I299" s="507"/>
      <c r="J299" s="507"/>
      <c r="K299" s="507"/>
      <c r="L299" s="507"/>
      <c r="M299" s="507"/>
      <c r="N299" s="507"/>
      <c r="O299" s="507"/>
      <c r="P299" s="507"/>
      <c r="Q299" s="507"/>
      <c r="R299" s="507"/>
      <c r="S299" s="507"/>
      <c r="T299" s="507"/>
      <c r="U299" s="507"/>
      <c r="V299" s="510"/>
      <c r="W299" s="510"/>
      <c r="X299" s="510"/>
      <c r="Y299" s="507"/>
    </row>
    <row r="300" spans="1:25">
      <c r="A300" s="507"/>
      <c r="E300" s="507"/>
      <c r="F300" s="510"/>
      <c r="G300" s="510"/>
      <c r="H300" s="507"/>
      <c r="I300" s="507"/>
      <c r="J300" s="507"/>
      <c r="K300" s="507"/>
      <c r="L300" s="507"/>
      <c r="M300" s="507"/>
      <c r="N300" s="507"/>
      <c r="O300" s="507"/>
      <c r="P300" s="507"/>
      <c r="Q300" s="507"/>
      <c r="R300" s="507"/>
      <c r="S300" s="507"/>
      <c r="T300" s="507"/>
      <c r="U300" s="507"/>
      <c r="V300" s="510"/>
      <c r="W300" s="510"/>
      <c r="X300" s="510"/>
      <c r="Y300" s="507"/>
    </row>
    <row r="301" spans="1:25">
      <c r="A301" s="507"/>
      <c r="E301" s="507"/>
      <c r="F301" s="510"/>
      <c r="G301" s="510"/>
      <c r="H301" s="507"/>
      <c r="I301" s="507"/>
      <c r="J301" s="507"/>
      <c r="K301" s="507"/>
      <c r="L301" s="507"/>
      <c r="M301" s="507"/>
      <c r="N301" s="507"/>
      <c r="O301" s="507"/>
      <c r="P301" s="507"/>
      <c r="Q301" s="507"/>
      <c r="R301" s="507"/>
      <c r="S301" s="507"/>
      <c r="T301" s="507"/>
      <c r="U301" s="507"/>
      <c r="V301" s="510"/>
      <c r="W301" s="510"/>
      <c r="X301" s="510"/>
      <c r="Y301" s="507"/>
    </row>
    <row r="302" spans="1:25">
      <c r="A302" s="507"/>
      <c r="E302" s="507"/>
      <c r="F302" s="510"/>
      <c r="G302" s="510"/>
      <c r="H302" s="507"/>
      <c r="I302" s="507"/>
      <c r="J302" s="507"/>
      <c r="K302" s="507"/>
      <c r="L302" s="507"/>
      <c r="M302" s="507"/>
      <c r="N302" s="507"/>
      <c r="O302" s="507"/>
      <c r="P302" s="507"/>
      <c r="Q302" s="507"/>
      <c r="R302" s="507"/>
      <c r="S302" s="507"/>
      <c r="T302" s="507"/>
      <c r="U302" s="507"/>
      <c r="V302" s="510"/>
      <c r="W302" s="510"/>
      <c r="X302" s="510"/>
      <c r="Y302" s="507"/>
    </row>
    <row r="303" spans="1:25">
      <c r="A303" s="507"/>
      <c r="E303" s="507"/>
      <c r="F303" s="510"/>
      <c r="G303" s="510"/>
      <c r="H303" s="507"/>
      <c r="I303" s="507"/>
      <c r="J303" s="507"/>
      <c r="K303" s="507"/>
      <c r="L303" s="507"/>
      <c r="M303" s="507"/>
      <c r="N303" s="507"/>
      <c r="O303" s="507"/>
      <c r="P303" s="507"/>
      <c r="Q303" s="507"/>
      <c r="R303" s="507"/>
      <c r="S303" s="507"/>
      <c r="T303" s="507"/>
      <c r="U303" s="507"/>
      <c r="V303" s="510"/>
      <c r="W303" s="510"/>
      <c r="X303" s="510"/>
      <c r="Y303" s="507"/>
    </row>
    <row r="304" spans="1:25">
      <c r="A304" s="507"/>
      <c r="E304" s="507"/>
      <c r="F304" s="510"/>
      <c r="G304" s="510"/>
      <c r="H304" s="507"/>
      <c r="I304" s="507"/>
      <c r="J304" s="507"/>
      <c r="K304" s="507"/>
      <c r="L304" s="507"/>
      <c r="M304" s="507"/>
      <c r="N304" s="507"/>
      <c r="O304" s="507"/>
      <c r="P304" s="507"/>
      <c r="Q304" s="507"/>
      <c r="R304" s="507"/>
      <c r="S304" s="507"/>
      <c r="T304" s="507"/>
      <c r="U304" s="507"/>
      <c r="V304" s="510"/>
      <c r="W304" s="510"/>
      <c r="X304" s="510"/>
      <c r="Y304" s="507"/>
    </row>
    <row r="305" spans="1:25">
      <c r="A305" s="507"/>
      <c r="E305" s="507"/>
      <c r="F305" s="510"/>
      <c r="G305" s="510"/>
      <c r="H305" s="507"/>
      <c r="I305" s="507"/>
      <c r="J305" s="507"/>
      <c r="K305" s="507"/>
      <c r="L305" s="507"/>
      <c r="M305" s="507"/>
      <c r="N305" s="507"/>
      <c r="O305" s="507"/>
      <c r="P305" s="507"/>
      <c r="Q305" s="507"/>
      <c r="R305" s="507"/>
      <c r="S305" s="507"/>
      <c r="T305" s="507"/>
      <c r="U305" s="507"/>
      <c r="V305" s="510"/>
      <c r="W305" s="510"/>
      <c r="X305" s="510"/>
      <c r="Y305" s="507"/>
    </row>
    <row r="306" spans="1:25">
      <c r="A306" s="507"/>
      <c r="E306" s="507"/>
      <c r="F306" s="510"/>
      <c r="G306" s="510"/>
      <c r="H306" s="507"/>
      <c r="I306" s="507"/>
      <c r="J306" s="507"/>
      <c r="K306" s="507"/>
      <c r="L306" s="507"/>
      <c r="M306" s="507"/>
      <c r="N306" s="507"/>
      <c r="O306" s="507"/>
      <c r="P306" s="507"/>
      <c r="Q306" s="507"/>
      <c r="R306" s="507"/>
      <c r="S306" s="507"/>
      <c r="T306" s="507"/>
      <c r="U306" s="507"/>
      <c r="V306" s="510"/>
      <c r="W306" s="510"/>
      <c r="X306" s="510"/>
      <c r="Y306" s="507"/>
    </row>
    <row r="307" spans="1:25">
      <c r="A307" s="507"/>
      <c r="E307" s="507"/>
      <c r="F307" s="510"/>
      <c r="G307" s="510"/>
      <c r="H307" s="507"/>
      <c r="I307" s="507"/>
      <c r="J307" s="507"/>
      <c r="K307" s="507"/>
      <c r="L307" s="507"/>
      <c r="M307" s="507"/>
      <c r="N307" s="507"/>
      <c r="O307" s="507"/>
      <c r="P307" s="507"/>
      <c r="Q307" s="507"/>
      <c r="R307" s="507"/>
      <c r="S307" s="507"/>
      <c r="T307" s="507"/>
      <c r="U307" s="507"/>
      <c r="V307" s="510"/>
      <c r="W307" s="510"/>
      <c r="X307" s="510"/>
      <c r="Y307" s="507"/>
    </row>
    <row r="308" spans="1:25">
      <c r="A308" s="507"/>
      <c r="E308" s="507"/>
      <c r="F308" s="510"/>
      <c r="G308" s="510"/>
      <c r="H308" s="507"/>
      <c r="I308" s="507"/>
      <c r="J308" s="507"/>
      <c r="K308" s="507"/>
      <c r="L308" s="507"/>
      <c r="M308" s="507"/>
      <c r="N308" s="507"/>
      <c r="O308" s="507"/>
      <c r="P308" s="507"/>
      <c r="Q308" s="507"/>
      <c r="R308" s="507"/>
      <c r="S308" s="507"/>
      <c r="T308" s="507"/>
      <c r="U308" s="507"/>
      <c r="V308" s="510"/>
      <c r="W308" s="510"/>
      <c r="X308" s="510"/>
      <c r="Y308" s="507"/>
    </row>
    <row r="309" spans="1:25">
      <c r="A309" s="507"/>
      <c r="E309" s="507"/>
      <c r="F309" s="510"/>
      <c r="G309" s="510"/>
      <c r="H309" s="507"/>
      <c r="I309" s="507"/>
      <c r="J309" s="507"/>
      <c r="K309" s="507"/>
      <c r="L309" s="507"/>
      <c r="M309" s="507"/>
      <c r="N309" s="507"/>
      <c r="O309" s="507"/>
      <c r="P309" s="507"/>
      <c r="Q309" s="507"/>
      <c r="R309" s="507"/>
      <c r="S309" s="507"/>
      <c r="T309" s="507"/>
      <c r="U309" s="507"/>
      <c r="V309" s="510"/>
      <c r="W309" s="510"/>
      <c r="X309" s="510"/>
      <c r="Y309" s="507"/>
    </row>
    <row r="310" spans="1:25">
      <c r="A310" s="507"/>
      <c r="E310" s="507"/>
      <c r="F310" s="510"/>
      <c r="G310" s="510"/>
      <c r="H310" s="507"/>
      <c r="I310" s="507"/>
      <c r="J310" s="507"/>
      <c r="K310" s="507"/>
      <c r="L310" s="507"/>
      <c r="M310" s="507"/>
      <c r="N310" s="507"/>
      <c r="O310" s="507"/>
      <c r="P310" s="507"/>
      <c r="Q310" s="507"/>
      <c r="R310" s="507"/>
      <c r="S310" s="507"/>
      <c r="T310" s="507"/>
      <c r="U310" s="507"/>
      <c r="V310" s="510"/>
      <c r="W310" s="510"/>
      <c r="X310" s="510"/>
      <c r="Y310" s="507"/>
    </row>
    <row r="311" spans="1:25">
      <c r="A311" s="507"/>
      <c r="E311" s="507"/>
      <c r="F311" s="510"/>
      <c r="G311" s="510"/>
      <c r="H311" s="507"/>
      <c r="I311" s="507"/>
      <c r="J311" s="507"/>
      <c r="K311" s="507"/>
      <c r="L311" s="507"/>
      <c r="M311" s="507"/>
      <c r="N311" s="507"/>
      <c r="O311" s="507"/>
      <c r="P311" s="507"/>
      <c r="Q311" s="507"/>
      <c r="R311" s="507"/>
      <c r="S311" s="507"/>
      <c r="T311" s="507"/>
      <c r="U311" s="507"/>
      <c r="V311" s="510"/>
      <c r="W311" s="510"/>
      <c r="X311" s="510"/>
      <c r="Y311" s="507"/>
    </row>
    <row r="312" spans="1:25">
      <c r="A312" s="507"/>
      <c r="E312" s="507"/>
      <c r="F312" s="510"/>
      <c r="G312" s="510"/>
      <c r="H312" s="507"/>
      <c r="I312" s="507"/>
      <c r="J312" s="507"/>
      <c r="K312" s="507"/>
      <c r="L312" s="507"/>
      <c r="M312" s="507"/>
      <c r="N312" s="507"/>
      <c r="O312" s="507"/>
      <c r="P312" s="507"/>
      <c r="Q312" s="507"/>
      <c r="R312" s="507"/>
      <c r="S312" s="507"/>
      <c r="T312" s="507"/>
      <c r="U312" s="507"/>
      <c r="V312" s="510"/>
      <c r="W312" s="510"/>
      <c r="X312" s="510"/>
      <c r="Y312" s="507"/>
    </row>
    <row r="313" spans="1:25">
      <c r="A313" s="507"/>
      <c r="E313" s="507"/>
      <c r="F313" s="510"/>
      <c r="G313" s="510"/>
      <c r="H313" s="507"/>
      <c r="I313" s="507"/>
      <c r="J313" s="507"/>
      <c r="K313" s="507"/>
      <c r="L313" s="507"/>
      <c r="M313" s="507"/>
      <c r="N313" s="507"/>
      <c r="O313" s="507"/>
      <c r="P313" s="507"/>
      <c r="Q313" s="507"/>
      <c r="R313" s="507"/>
      <c r="S313" s="507"/>
      <c r="T313" s="507"/>
      <c r="U313" s="507"/>
      <c r="V313" s="510"/>
      <c r="W313" s="510"/>
      <c r="X313" s="510"/>
      <c r="Y313" s="507"/>
    </row>
    <row r="314" spans="1:25">
      <c r="A314" s="507"/>
      <c r="E314" s="507"/>
      <c r="F314" s="510"/>
      <c r="G314" s="510"/>
      <c r="H314" s="507"/>
      <c r="I314" s="507"/>
      <c r="J314" s="507"/>
      <c r="K314" s="507"/>
      <c r="L314" s="507"/>
      <c r="M314" s="507"/>
      <c r="N314" s="507"/>
      <c r="O314" s="507"/>
      <c r="P314" s="507"/>
      <c r="Q314" s="507"/>
      <c r="R314" s="507"/>
      <c r="S314" s="507"/>
      <c r="T314" s="507"/>
      <c r="U314" s="507"/>
      <c r="V314" s="510"/>
      <c r="W314" s="510"/>
      <c r="X314" s="510"/>
      <c r="Y314" s="507"/>
    </row>
    <row r="315" spans="1:25">
      <c r="A315" s="507"/>
      <c r="E315" s="507"/>
      <c r="F315" s="510"/>
      <c r="G315" s="510"/>
      <c r="H315" s="507"/>
      <c r="I315" s="507"/>
      <c r="J315" s="507"/>
      <c r="K315" s="507"/>
      <c r="L315" s="507"/>
      <c r="M315" s="507"/>
      <c r="N315" s="507"/>
      <c r="O315" s="507"/>
      <c r="P315" s="507"/>
      <c r="Q315" s="507"/>
      <c r="R315" s="507"/>
      <c r="S315" s="507"/>
      <c r="T315" s="507"/>
      <c r="U315" s="507"/>
      <c r="V315" s="510"/>
      <c r="W315" s="510"/>
      <c r="X315" s="510"/>
      <c r="Y315" s="507"/>
    </row>
    <row r="316" spans="1:25">
      <c r="A316" s="507"/>
      <c r="E316" s="507"/>
      <c r="F316" s="510"/>
      <c r="G316" s="510"/>
      <c r="H316" s="507"/>
      <c r="I316" s="507"/>
      <c r="J316" s="507"/>
      <c r="K316" s="507"/>
      <c r="L316" s="507"/>
      <c r="M316" s="507"/>
      <c r="N316" s="507"/>
      <c r="O316" s="507"/>
      <c r="P316" s="507"/>
      <c r="Q316" s="507"/>
      <c r="R316" s="507"/>
      <c r="S316" s="507"/>
      <c r="T316" s="507"/>
      <c r="U316" s="507"/>
      <c r="V316" s="510"/>
      <c r="W316" s="510"/>
      <c r="X316" s="510"/>
      <c r="Y316" s="507"/>
    </row>
    <row r="317" spans="1:25">
      <c r="A317" s="507"/>
      <c r="E317" s="507"/>
      <c r="F317" s="510"/>
      <c r="G317" s="510"/>
      <c r="H317" s="507"/>
      <c r="I317" s="507"/>
      <c r="J317" s="507"/>
      <c r="K317" s="507"/>
      <c r="L317" s="507"/>
      <c r="M317" s="507"/>
      <c r="N317" s="507"/>
      <c r="O317" s="507"/>
      <c r="P317" s="507"/>
      <c r="Q317" s="507"/>
      <c r="R317" s="507"/>
      <c r="S317" s="507"/>
      <c r="T317" s="507"/>
      <c r="U317" s="507"/>
      <c r="V317" s="510"/>
      <c r="W317" s="510"/>
      <c r="X317" s="510"/>
      <c r="Y317" s="507"/>
    </row>
    <row r="318" spans="1:25">
      <c r="A318" s="507"/>
      <c r="E318" s="507"/>
      <c r="F318" s="510"/>
      <c r="G318" s="510"/>
      <c r="H318" s="507"/>
      <c r="I318" s="507"/>
      <c r="J318" s="507"/>
      <c r="K318" s="507"/>
      <c r="L318" s="507"/>
      <c r="M318" s="507"/>
      <c r="N318" s="507"/>
      <c r="O318" s="507"/>
      <c r="P318" s="507"/>
      <c r="Q318" s="507"/>
      <c r="R318" s="507"/>
      <c r="S318" s="507"/>
      <c r="T318" s="507"/>
      <c r="U318" s="507"/>
      <c r="V318" s="510"/>
      <c r="W318" s="510"/>
      <c r="X318" s="510"/>
      <c r="Y318" s="507"/>
    </row>
    <row r="319" spans="1:25">
      <c r="A319" s="507"/>
      <c r="E319" s="507"/>
      <c r="F319" s="510"/>
      <c r="G319" s="510"/>
      <c r="H319" s="507"/>
      <c r="I319" s="507"/>
      <c r="J319" s="507"/>
      <c r="K319" s="507"/>
      <c r="L319" s="507"/>
      <c r="M319" s="507"/>
      <c r="N319" s="507"/>
      <c r="O319" s="507"/>
      <c r="P319" s="507"/>
      <c r="Q319" s="507"/>
      <c r="R319" s="507"/>
      <c r="S319" s="507"/>
      <c r="T319" s="507"/>
      <c r="U319" s="507"/>
      <c r="V319" s="510"/>
      <c r="W319" s="510"/>
      <c r="X319" s="510"/>
      <c r="Y319" s="507"/>
    </row>
    <row r="320" spans="1:25">
      <c r="A320" s="507"/>
      <c r="E320" s="507"/>
      <c r="F320" s="510"/>
      <c r="G320" s="510"/>
      <c r="H320" s="507"/>
      <c r="I320" s="507"/>
      <c r="J320" s="507"/>
      <c r="K320" s="507"/>
      <c r="L320" s="507"/>
      <c r="M320" s="507"/>
      <c r="N320" s="507"/>
      <c r="O320" s="507"/>
      <c r="P320" s="507"/>
      <c r="Q320" s="507"/>
      <c r="R320" s="507"/>
      <c r="S320" s="507"/>
      <c r="T320" s="507"/>
      <c r="U320" s="507"/>
      <c r="V320" s="510"/>
      <c r="W320" s="510"/>
      <c r="X320" s="510"/>
      <c r="Y320" s="507"/>
    </row>
    <row r="321" spans="1:25">
      <c r="A321" s="507"/>
      <c r="E321" s="507"/>
      <c r="F321" s="510"/>
      <c r="G321" s="510"/>
      <c r="H321" s="507"/>
      <c r="I321" s="507"/>
      <c r="J321" s="507"/>
      <c r="K321" s="507"/>
      <c r="L321" s="507"/>
      <c r="M321" s="507"/>
      <c r="N321" s="507"/>
      <c r="O321" s="507"/>
      <c r="P321" s="507"/>
      <c r="Q321" s="507"/>
      <c r="R321" s="507"/>
      <c r="S321" s="507"/>
      <c r="T321" s="507"/>
      <c r="U321" s="507"/>
      <c r="V321" s="510"/>
      <c r="W321" s="510"/>
      <c r="X321" s="510"/>
      <c r="Y321" s="507"/>
    </row>
    <row r="322" spans="1:25">
      <c r="A322" s="507"/>
      <c r="E322" s="507"/>
      <c r="F322" s="510"/>
      <c r="G322" s="510"/>
      <c r="H322" s="507"/>
      <c r="I322" s="507"/>
      <c r="J322" s="507"/>
      <c r="K322" s="507"/>
      <c r="L322" s="507"/>
      <c r="M322" s="507"/>
      <c r="N322" s="507"/>
      <c r="O322" s="507"/>
      <c r="P322" s="507"/>
      <c r="Q322" s="507"/>
      <c r="R322" s="507"/>
      <c r="S322" s="507"/>
      <c r="T322" s="507"/>
      <c r="U322" s="507"/>
      <c r="V322" s="510"/>
      <c r="W322" s="510"/>
      <c r="X322" s="510"/>
      <c r="Y322" s="507"/>
    </row>
    <row r="323" spans="1:25">
      <c r="A323" s="507"/>
      <c r="E323" s="507"/>
      <c r="F323" s="510"/>
      <c r="G323" s="510"/>
      <c r="H323" s="507"/>
      <c r="I323" s="507"/>
      <c r="J323" s="507"/>
      <c r="K323" s="507"/>
      <c r="L323" s="507"/>
      <c r="M323" s="507"/>
      <c r="N323" s="507"/>
      <c r="O323" s="507"/>
      <c r="P323" s="507"/>
      <c r="Q323" s="507"/>
      <c r="R323" s="507"/>
      <c r="S323" s="507"/>
      <c r="T323" s="507"/>
      <c r="U323" s="507"/>
      <c r="V323" s="510"/>
      <c r="W323" s="510"/>
      <c r="X323" s="510"/>
      <c r="Y323" s="507"/>
    </row>
    <row r="324" spans="1:25">
      <c r="A324" s="507"/>
      <c r="E324" s="507"/>
      <c r="F324" s="510"/>
      <c r="G324" s="510"/>
      <c r="H324" s="507"/>
      <c r="I324" s="507"/>
      <c r="J324" s="507"/>
      <c r="K324" s="507"/>
      <c r="L324" s="507"/>
      <c r="M324" s="507"/>
      <c r="N324" s="507"/>
      <c r="O324" s="507"/>
      <c r="P324" s="507"/>
      <c r="Q324" s="507"/>
      <c r="R324" s="507"/>
      <c r="S324" s="507"/>
      <c r="T324" s="507"/>
      <c r="U324" s="507"/>
      <c r="V324" s="510"/>
      <c r="W324" s="510"/>
      <c r="X324" s="510"/>
      <c r="Y324" s="507"/>
    </row>
    <row r="325" spans="1:25">
      <c r="A325" s="507"/>
      <c r="E325" s="507"/>
      <c r="F325" s="510"/>
      <c r="G325" s="510"/>
      <c r="H325" s="507"/>
      <c r="I325" s="507"/>
      <c r="J325" s="507"/>
      <c r="K325" s="507"/>
      <c r="L325" s="507"/>
      <c r="M325" s="507"/>
      <c r="N325" s="507"/>
      <c r="O325" s="507"/>
      <c r="P325" s="507"/>
      <c r="Q325" s="507"/>
      <c r="R325" s="507"/>
      <c r="S325" s="507"/>
      <c r="T325" s="507"/>
      <c r="U325" s="507"/>
      <c r="V325" s="510"/>
      <c r="W325" s="510"/>
      <c r="X325" s="510"/>
      <c r="Y325" s="507"/>
    </row>
    <row r="326" spans="1:25">
      <c r="A326" s="507"/>
      <c r="E326" s="507"/>
      <c r="F326" s="510"/>
      <c r="G326" s="510"/>
      <c r="H326" s="507"/>
      <c r="I326" s="507"/>
      <c r="J326" s="507"/>
      <c r="K326" s="507"/>
      <c r="L326" s="507"/>
      <c r="M326" s="507"/>
      <c r="N326" s="507"/>
      <c r="O326" s="507"/>
      <c r="P326" s="507"/>
      <c r="Q326" s="507"/>
      <c r="R326" s="507"/>
      <c r="S326" s="507"/>
      <c r="T326" s="507"/>
      <c r="U326" s="507"/>
      <c r="V326" s="510"/>
      <c r="W326" s="510"/>
      <c r="X326" s="510"/>
      <c r="Y326" s="507"/>
    </row>
    <row r="327" spans="1:25">
      <c r="A327" s="507"/>
      <c r="E327" s="507"/>
      <c r="F327" s="510"/>
      <c r="G327" s="510"/>
      <c r="H327" s="507"/>
      <c r="I327" s="507"/>
      <c r="J327" s="507"/>
      <c r="K327" s="507"/>
      <c r="L327" s="507"/>
      <c r="M327" s="507"/>
      <c r="N327" s="507"/>
      <c r="O327" s="507"/>
      <c r="P327" s="507"/>
      <c r="Q327" s="507"/>
      <c r="R327" s="507"/>
      <c r="S327" s="507"/>
      <c r="T327" s="507"/>
      <c r="U327" s="507"/>
      <c r="V327" s="510"/>
      <c r="W327" s="510"/>
      <c r="X327" s="510"/>
      <c r="Y327" s="507"/>
    </row>
    <row r="328" spans="1:25">
      <c r="A328" s="507"/>
      <c r="E328" s="507"/>
      <c r="F328" s="510"/>
      <c r="G328" s="510"/>
      <c r="H328" s="507"/>
      <c r="I328" s="507"/>
      <c r="J328" s="507"/>
      <c r="K328" s="507"/>
      <c r="L328" s="507"/>
      <c r="M328" s="507"/>
      <c r="N328" s="507"/>
      <c r="O328" s="507"/>
      <c r="P328" s="507"/>
      <c r="Q328" s="507"/>
      <c r="R328" s="507"/>
      <c r="S328" s="507"/>
      <c r="T328" s="507"/>
      <c r="U328" s="507"/>
      <c r="V328" s="510"/>
      <c r="W328" s="510"/>
      <c r="X328" s="510"/>
      <c r="Y328" s="507"/>
    </row>
    <row r="329" spans="1:25">
      <c r="A329" s="507"/>
      <c r="E329" s="507"/>
      <c r="F329" s="510"/>
      <c r="G329" s="510"/>
      <c r="H329" s="507"/>
      <c r="I329" s="507"/>
      <c r="J329" s="507"/>
      <c r="K329" s="507"/>
      <c r="L329" s="507"/>
      <c r="M329" s="507"/>
      <c r="N329" s="507"/>
      <c r="O329" s="507"/>
      <c r="P329" s="507"/>
      <c r="Q329" s="507"/>
      <c r="R329" s="507"/>
      <c r="S329" s="507"/>
      <c r="T329" s="507"/>
      <c r="U329" s="507"/>
      <c r="V329" s="510"/>
      <c r="W329" s="510"/>
      <c r="X329" s="510"/>
      <c r="Y329" s="507"/>
    </row>
    <row r="330" spans="1:25">
      <c r="A330" s="507"/>
      <c r="E330" s="507"/>
      <c r="F330" s="510"/>
      <c r="G330" s="510"/>
      <c r="H330" s="507"/>
      <c r="I330" s="507"/>
      <c r="J330" s="507"/>
      <c r="K330" s="507"/>
      <c r="L330" s="507"/>
      <c r="M330" s="507"/>
      <c r="N330" s="507"/>
      <c r="O330" s="507"/>
      <c r="P330" s="507"/>
      <c r="Q330" s="507"/>
      <c r="R330" s="507"/>
      <c r="S330" s="507"/>
      <c r="T330" s="507"/>
      <c r="U330" s="507"/>
      <c r="V330" s="510"/>
      <c r="W330" s="510"/>
      <c r="X330" s="510"/>
      <c r="Y330" s="507"/>
    </row>
    <row r="331" spans="1:25">
      <c r="A331" s="507"/>
      <c r="E331" s="507"/>
      <c r="F331" s="510"/>
      <c r="G331" s="510"/>
      <c r="H331" s="507"/>
      <c r="I331" s="507"/>
      <c r="J331" s="507"/>
      <c r="K331" s="507"/>
      <c r="L331" s="507"/>
      <c r="M331" s="507"/>
      <c r="N331" s="507"/>
      <c r="O331" s="507"/>
      <c r="P331" s="507"/>
      <c r="Q331" s="507"/>
      <c r="R331" s="507"/>
      <c r="S331" s="507"/>
      <c r="T331" s="507"/>
      <c r="U331" s="507"/>
      <c r="V331" s="510"/>
      <c r="W331" s="510"/>
      <c r="X331" s="510"/>
      <c r="Y331" s="507"/>
    </row>
    <row r="332" spans="1:25">
      <c r="A332" s="507"/>
      <c r="E332" s="507"/>
      <c r="F332" s="510"/>
      <c r="G332" s="510"/>
      <c r="H332" s="507"/>
      <c r="I332" s="507"/>
      <c r="J332" s="507"/>
      <c r="K332" s="507"/>
      <c r="L332" s="507"/>
      <c r="M332" s="507"/>
      <c r="N332" s="507"/>
      <c r="O332" s="507"/>
      <c r="P332" s="507"/>
      <c r="Q332" s="507"/>
      <c r="R332" s="507"/>
      <c r="S332" s="507"/>
      <c r="T332" s="507"/>
      <c r="U332" s="507"/>
      <c r="V332" s="510"/>
      <c r="W332" s="510"/>
      <c r="X332" s="510"/>
      <c r="Y332" s="507"/>
    </row>
    <row r="333" spans="1:25">
      <c r="A333" s="507"/>
      <c r="E333" s="507"/>
      <c r="F333" s="510"/>
      <c r="G333" s="510"/>
      <c r="H333" s="507"/>
      <c r="I333" s="507"/>
      <c r="J333" s="507"/>
      <c r="K333" s="507"/>
      <c r="L333" s="507"/>
      <c r="M333" s="507"/>
      <c r="N333" s="507"/>
      <c r="O333" s="507"/>
      <c r="P333" s="507"/>
      <c r="Q333" s="507"/>
      <c r="R333" s="507"/>
      <c r="S333" s="507"/>
      <c r="T333" s="507"/>
      <c r="U333" s="507"/>
      <c r="V333" s="510"/>
      <c r="W333" s="510"/>
      <c r="X333" s="510"/>
      <c r="Y333" s="507"/>
    </row>
    <row r="334" spans="1:25">
      <c r="A334" s="507"/>
      <c r="E334" s="507"/>
      <c r="F334" s="510"/>
      <c r="G334" s="510"/>
      <c r="H334" s="507"/>
      <c r="I334" s="507"/>
      <c r="J334" s="507"/>
      <c r="K334" s="507"/>
      <c r="L334" s="507"/>
      <c r="M334" s="507"/>
      <c r="N334" s="507"/>
      <c r="O334" s="507"/>
      <c r="P334" s="507"/>
      <c r="Q334" s="507"/>
      <c r="R334" s="507"/>
      <c r="S334" s="507"/>
      <c r="T334" s="507"/>
      <c r="U334" s="507"/>
      <c r="V334" s="510"/>
      <c r="W334" s="510"/>
      <c r="X334" s="510"/>
      <c r="Y334" s="507"/>
    </row>
    <row r="335" spans="1:25">
      <c r="A335" s="507"/>
      <c r="E335" s="507"/>
      <c r="F335" s="510"/>
      <c r="G335" s="510"/>
      <c r="H335" s="507"/>
      <c r="I335" s="507"/>
      <c r="J335" s="507"/>
      <c r="K335" s="507"/>
      <c r="L335" s="507"/>
      <c r="M335" s="507"/>
      <c r="N335" s="507"/>
      <c r="O335" s="507"/>
      <c r="P335" s="507"/>
      <c r="Q335" s="507"/>
      <c r="R335" s="507"/>
      <c r="S335" s="507"/>
      <c r="T335" s="507"/>
      <c r="U335" s="507"/>
      <c r="V335" s="510"/>
      <c r="W335" s="510"/>
      <c r="X335" s="510"/>
      <c r="Y335" s="507"/>
    </row>
    <row r="336" spans="1:25">
      <c r="A336" s="507"/>
      <c r="E336" s="507"/>
      <c r="F336" s="510"/>
      <c r="G336" s="510"/>
      <c r="H336" s="507"/>
      <c r="I336" s="507"/>
      <c r="J336" s="507"/>
      <c r="K336" s="507"/>
      <c r="L336" s="507"/>
      <c r="M336" s="507"/>
      <c r="N336" s="507"/>
      <c r="O336" s="507"/>
      <c r="P336" s="507"/>
      <c r="Q336" s="507"/>
      <c r="R336" s="507"/>
      <c r="S336" s="507"/>
      <c r="T336" s="507"/>
      <c r="U336" s="507"/>
      <c r="V336" s="510"/>
      <c r="W336" s="510"/>
      <c r="X336" s="510"/>
      <c r="Y336" s="507"/>
    </row>
    <row r="337" spans="1:25">
      <c r="A337" s="507"/>
      <c r="E337" s="507"/>
      <c r="F337" s="510"/>
      <c r="G337" s="510"/>
      <c r="H337" s="507"/>
      <c r="I337" s="507"/>
      <c r="J337" s="507"/>
      <c r="K337" s="507"/>
      <c r="L337" s="507"/>
      <c r="M337" s="507"/>
      <c r="N337" s="507"/>
      <c r="O337" s="507"/>
      <c r="P337" s="507"/>
      <c r="Q337" s="507"/>
      <c r="R337" s="507"/>
      <c r="S337" s="507"/>
      <c r="T337" s="507"/>
      <c r="U337" s="507"/>
      <c r="V337" s="510"/>
      <c r="W337" s="510"/>
      <c r="X337" s="510"/>
      <c r="Y337" s="507"/>
    </row>
    <row r="338" spans="1:25">
      <c r="A338" s="507"/>
      <c r="E338" s="507"/>
      <c r="F338" s="510"/>
      <c r="G338" s="510"/>
      <c r="H338" s="507"/>
      <c r="I338" s="507"/>
      <c r="J338" s="507"/>
      <c r="K338" s="507"/>
      <c r="L338" s="507"/>
      <c r="M338" s="507"/>
      <c r="N338" s="507"/>
      <c r="O338" s="507"/>
      <c r="P338" s="507"/>
      <c r="Q338" s="507"/>
      <c r="R338" s="507"/>
      <c r="S338" s="507"/>
      <c r="T338" s="507"/>
      <c r="U338" s="507"/>
      <c r="V338" s="510"/>
      <c r="W338" s="510"/>
      <c r="X338" s="510"/>
      <c r="Y338" s="507"/>
    </row>
    <row r="339" spans="1:25">
      <c r="A339" s="507"/>
      <c r="E339" s="507"/>
      <c r="F339" s="510"/>
      <c r="G339" s="510"/>
      <c r="H339" s="507"/>
      <c r="I339" s="507"/>
      <c r="J339" s="507"/>
      <c r="K339" s="507"/>
      <c r="L339" s="507"/>
      <c r="M339" s="507"/>
      <c r="N339" s="507"/>
      <c r="O339" s="507"/>
      <c r="P339" s="507"/>
      <c r="Q339" s="507"/>
      <c r="R339" s="507"/>
      <c r="S339" s="507"/>
      <c r="T339" s="507"/>
      <c r="U339" s="507"/>
      <c r="V339" s="510"/>
      <c r="W339" s="510"/>
      <c r="X339" s="510"/>
      <c r="Y339" s="507"/>
    </row>
    <row r="340" spans="1:25">
      <c r="A340" s="507"/>
      <c r="E340" s="507"/>
      <c r="F340" s="510"/>
      <c r="G340" s="510"/>
      <c r="H340" s="507"/>
      <c r="I340" s="507"/>
      <c r="J340" s="507"/>
      <c r="K340" s="507"/>
      <c r="L340" s="507"/>
      <c r="M340" s="507"/>
      <c r="N340" s="507"/>
      <c r="O340" s="507"/>
      <c r="P340" s="507"/>
      <c r="Q340" s="507"/>
      <c r="R340" s="507"/>
      <c r="S340" s="507"/>
      <c r="T340" s="507"/>
      <c r="U340" s="507"/>
      <c r="V340" s="510"/>
      <c r="W340" s="510"/>
      <c r="X340" s="510"/>
      <c r="Y340" s="507"/>
    </row>
    <row r="341" spans="1:25">
      <c r="A341" s="507"/>
      <c r="E341" s="507"/>
      <c r="F341" s="510"/>
      <c r="G341" s="510"/>
      <c r="H341" s="507"/>
      <c r="I341" s="507"/>
      <c r="J341" s="507"/>
      <c r="K341" s="507"/>
      <c r="L341" s="507"/>
      <c r="M341" s="507"/>
      <c r="N341" s="507"/>
      <c r="O341" s="507"/>
      <c r="P341" s="507"/>
      <c r="Q341" s="507"/>
      <c r="R341" s="507"/>
      <c r="S341" s="507"/>
      <c r="T341" s="507"/>
      <c r="U341" s="507"/>
      <c r="V341" s="510"/>
      <c r="W341" s="510"/>
      <c r="X341" s="510"/>
      <c r="Y341" s="507"/>
    </row>
    <row r="342" spans="1:25">
      <c r="A342" s="507"/>
      <c r="E342" s="507"/>
      <c r="F342" s="510"/>
      <c r="G342" s="510"/>
      <c r="H342" s="507"/>
      <c r="I342" s="507"/>
      <c r="J342" s="507"/>
      <c r="K342" s="507"/>
      <c r="L342" s="507"/>
      <c r="M342" s="507"/>
      <c r="N342" s="507"/>
      <c r="O342" s="507"/>
      <c r="P342" s="507"/>
      <c r="Q342" s="507"/>
      <c r="R342" s="507"/>
      <c r="S342" s="507"/>
      <c r="T342" s="507"/>
      <c r="U342" s="507"/>
      <c r="V342" s="510"/>
      <c r="W342" s="510"/>
      <c r="X342" s="510"/>
      <c r="Y342" s="507"/>
    </row>
    <row r="343" spans="1:25">
      <c r="A343" s="507"/>
      <c r="E343" s="507"/>
      <c r="F343" s="510"/>
      <c r="G343" s="510"/>
      <c r="H343" s="507"/>
      <c r="I343" s="507"/>
      <c r="J343" s="507"/>
      <c r="K343" s="507"/>
      <c r="L343" s="507"/>
      <c r="M343" s="507"/>
      <c r="N343" s="507"/>
      <c r="O343" s="507"/>
      <c r="P343" s="507"/>
      <c r="Q343" s="507"/>
      <c r="R343" s="507"/>
      <c r="S343" s="507"/>
      <c r="T343" s="507"/>
      <c r="U343" s="507"/>
      <c r="V343" s="510"/>
      <c r="W343" s="510"/>
      <c r="X343" s="510"/>
      <c r="Y343" s="507"/>
    </row>
    <row r="344" spans="1:25">
      <c r="A344" s="507"/>
      <c r="E344" s="507"/>
      <c r="F344" s="510"/>
      <c r="G344" s="510"/>
      <c r="H344" s="507"/>
      <c r="I344" s="507"/>
      <c r="J344" s="507"/>
      <c r="K344" s="507"/>
      <c r="L344" s="507"/>
      <c r="M344" s="507"/>
      <c r="N344" s="507"/>
      <c r="O344" s="507"/>
      <c r="P344" s="507"/>
      <c r="Q344" s="507"/>
      <c r="R344" s="507"/>
      <c r="S344" s="507"/>
      <c r="T344" s="507"/>
      <c r="U344" s="507"/>
      <c r="V344" s="510"/>
      <c r="W344" s="510"/>
      <c r="X344" s="510"/>
      <c r="Y344" s="507"/>
    </row>
    <row r="345" spans="1:25">
      <c r="A345" s="507"/>
      <c r="E345" s="507"/>
      <c r="F345" s="510"/>
      <c r="G345" s="510"/>
      <c r="H345" s="507"/>
      <c r="I345" s="507"/>
      <c r="J345" s="507"/>
      <c r="K345" s="507"/>
      <c r="L345" s="507"/>
      <c r="M345" s="507"/>
      <c r="N345" s="507"/>
      <c r="O345" s="507"/>
      <c r="P345" s="507"/>
      <c r="Q345" s="507"/>
      <c r="R345" s="507"/>
      <c r="S345" s="507"/>
      <c r="T345" s="507"/>
      <c r="U345" s="507"/>
      <c r="V345" s="510"/>
      <c r="W345" s="510"/>
      <c r="X345" s="510"/>
      <c r="Y345" s="507"/>
    </row>
    <row r="346" spans="1:25">
      <c r="A346" s="507"/>
      <c r="E346" s="507"/>
      <c r="F346" s="510"/>
      <c r="G346" s="510"/>
      <c r="H346" s="507"/>
      <c r="I346" s="507"/>
      <c r="J346" s="507"/>
      <c r="K346" s="507"/>
      <c r="L346" s="507"/>
      <c r="M346" s="507"/>
      <c r="N346" s="507"/>
      <c r="O346" s="507"/>
      <c r="P346" s="507"/>
      <c r="Q346" s="507"/>
      <c r="R346" s="507"/>
      <c r="S346" s="507"/>
      <c r="T346" s="507"/>
      <c r="U346" s="507"/>
      <c r="V346" s="510"/>
      <c r="W346" s="510"/>
      <c r="X346" s="510"/>
      <c r="Y346" s="507"/>
    </row>
    <row r="347" spans="1:25">
      <c r="A347" s="507"/>
      <c r="E347" s="507"/>
      <c r="F347" s="510"/>
      <c r="G347" s="510"/>
      <c r="H347" s="507"/>
      <c r="I347" s="507"/>
      <c r="J347" s="507"/>
      <c r="K347" s="507"/>
      <c r="L347" s="507"/>
      <c r="M347" s="507"/>
      <c r="N347" s="507"/>
      <c r="O347" s="507"/>
      <c r="P347" s="507"/>
      <c r="Q347" s="507"/>
      <c r="R347" s="507"/>
      <c r="S347" s="507"/>
      <c r="T347" s="507"/>
      <c r="U347" s="507"/>
      <c r="V347" s="510"/>
      <c r="W347" s="510"/>
      <c r="X347" s="510"/>
      <c r="Y347" s="507"/>
    </row>
    <row r="348" spans="1:25">
      <c r="A348" s="507"/>
      <c r="E348" s="507"/>
      <c r="F348" s="510"/>
      <c r="G348" s="510"/>
      <c r="H348" s="507"/>
      <c r="I348" s="507"/>
      <c r="J348" s="507"/>
      <c r="K348" s="507"/>
      <c r="L348" s="507"/>
      <c r="M348" s="507"/>
      <c r="N348" s="507"/>
      <c r="O348" s="507"/>
      <c r="P348" s="507"/>
      <c r="Q348" s="507"/>
      <c r="R348" s="507"/>
      <c r="S348" s="507"/>
      <c r="T348" s="507"/>
      <c r="U348" s="507"/>
      <c r="V348" s="510"/>
      <c r="W348" s="510"/>
      <c r="X348" s="510"/>
      <c r="Y348" s="507"/>
    </row>
    <row r="349" spans="1:25">
      <c r="A349" s="507"/>
      <c r="E349" s="507"/>
      <c r="F349" s="510"/>
      <c r="G349" s="510"/>
      <c r="H349" s="507"/>
      <c r="I349" s="507"/>
      <c r="J349" s="507"/>
      <c r="K349" s="507"/>
      <c r="L349" s="507"/>
      <c r="M349" s="507"/>
      <c r="N349" s="507"/>
      <c r="O349" s="507"/>
      <c r="P349" s="507"/>
      <c r="Q349" s="507"/>
      <c r="R349" s="507"/>
      <c r="S349" s="507"/>
      <c r="T349" s="507"/>
      <c r="U349" s="507"/>
      <c r="V349" s="510"/>
      <c r="W349" s="510"/>
      <c r="X349" s="510"/>
      <c r="Y349" s="507"/>
    </row>
    <row r="350" spans="1:25">
      <c r="A350" s="507"/>
      <c r="E350" s="507"/>
      <c r="F350" s="510"/>
      <c r="G350" s="510"/>
      <c r="H350" s="507"/>
      <c r="I350" s="507"/>
      <c r="J350" s="507"/>
      <c r="K350" s="507"/>
      <c r="L350" s="507"/>
      <c r="M350" s="507"/>
      <c r="N350" s="507"/>
      <c r="O350" s="507"/>
      <c r="P350" s="507"/>
      <c r="Q350" s="507"/>
      <c r="R350" s="507"/>
      <c r="S350" s="507"/>
      <c r="T350" s="507"/>
      <c r="U350" s="507"/>
      <c r="V350" s="510"/>
      <c r="W350" s="510"/>
      <c r="X350" s="510"/>
      <c r="Y350" s="507"/>
    </row>
    <row r="351" spans="1:25">
      <c r="A351" s="507"/>
      <c r="E351" s="507"/>
      <c r="F351" s="510"/>
      <c r="G351" s="510"/>
      <c r="H351" s="507"/>
      <c r="I351" s="507"/>
      <c r="J351" s="507"/>
      <c r="K351" s="507"/>
      <c r="L351" s="507"/>
      <c r="M351" s="507"/>
      <c r="N351" s="507"/>
      <c r="O351" s="507"/>
      <c r="P351" s="507"/>
      <c r="Q351" s="507"/>
      <c r="R351" s="507"/>
      <c r="S351" s="507"/>
      <c r="T351" s="507"/>
      <c r="U351" s="507"/>
      <c r="V351" s="510"/>
      <c r="W351" s="510"/>
      <c r="X351" s="510"/>
      <c r="Y351" s="507"/>
    </row>
    <row r="352" spans="1:25">
      <c r="A352" s="507"/>
      <c r="E352" s="507"/>
      <c r="F352" s="510"/>
      <c r="G352" s="510"/>
      <c r="H352" s="507"/>
      <c r="I352" s="507"/>
      <c r="J352" s="507"/>
      <c r="K352" s="507"/>
      <c r="L352" s="507"/>
      <c r="M352" s="507"/>
      <c r="N352" s="507"/>
      <c r="O352" s="507"/>
      <c r="P352" s="507"/>
      <c r="Q352" s="507"/>
      <c r="R352" s="507"/>
      <c r="S352" s="507"/>
      <c r="T352" s="507"/>
      <c r="U352" s="507"/>
      <c r="V352" s="510"/>
      <c r="W352" s="510"/>
      <c r="X352" s="510"/>
      <c r="Y352" s="507"/>
    </row>
    <row r="353" spans="1:25">
      <c r="A353" s="507"/>
      <c r="E353" s="507"/>
      <c r="F353" s="510"/>
      <c r="G353" s="510"/>
      <c r="H353" s="507"/>
      <c r="I353" s="507"/>
      <c r="J353" s="507"/>
      <c r="K353" s="507"/>
      <c r="L353" s="507"/>
      <c r="M353" s="507"/>
      <c r="N353" s="507"/>
      <c r="O353" s="507"/>
      <c r="P353" s="507"/>
      <c r="Q353" s="507"/>
      <c r="R353" s="507"/>
      <c r="S353" s="507"/>
      <c r="T353" s="507"/>
      <c r="U353" s="507"/>
      <c r="V353" s="510"/>
      <c r="W353" s="510"/>
      <c r="X353" s="510"/>
      <c r="Y353" s="507"/>
    </row>
    <row r="354" spans="1:25">
      <c r="A354" s="507"/>
      <c r="E354" s="507"/>
      <c r="F354" s="510"/>
      <c r="G354" s="510"/>
      <c r="H354" s="507"/>
      <c r="I354" s="507"/>
      <c r="J354" s="507"/>
      <c r="K354" s="507"/>
      <c r="L354" s="507"/>
      <c r="M354" s="507"/>
      <c r="N354" s="507"/>
      <c r="O354" s="507"/>
      <c r="P354" s="507"/>
      <c r="Q354" s="507"/>
      <c r="R354" s="507"/>
      <c r="S354" s="507"/>
      <c r="T354" s="507"/>
      <c r="U354" s="507"/>
      <c r="V354" s="510"/>
      <c r="W354" s="510"/>
      <c r="X354" s="510"/>
      <c r="Y354" s="507"/>
    </row>
    <row r="355" spans="1:25">
      <c r="A355" s="507"/>
      <c r="E355" s="507"/>
      <c r="F355" s="510"/>
      <c r="G355" s="510"/>
      <c r="H355" s="507"/>
      <c r="I355" s="507"/>
      <c r="J355" s="507"/>
      <c r="K355" s="507"/>
      <c r="L355" s="507"/>
      <c r="M355" s="507"/>
      <c r="N355" s="507"/>
      <c r="O355" s="507"/>
      <c r="P355" s="507"/>
      <c r="Q355" s="507"/>
      <c r="R355" s="507"/>
      <c r="S355" s="507"/>
      <c r="T355" s="507"/>
      <c r="U355" s="507"/>
      <c r="V355" s="510"/>
      <c r="W355" s="510"/>
      <c r="X355" s="510"/>
      <c r="Y355" s="507"/>
    </row>
    <row r="356" spans="1:25">
      <c r="A356" s="507"/>
      <c r="E356" s="507"/>
      <c r="F356" s="510"/>
      <c r="G356" s="510"/>
      <c r="H356" s="507"/>
      <c r="I356" s="507"/>
      <c r="J356" s="507"/>
      <c r="K356" s="507"/>
      <c r="L356" s="507"/>
      <c r="M356" s="507"/>
      <c r="N356" s="507"/>
      <c r="O356" s="507"/>
      <c r="P356" s="507"/>
      <c r="Q356" s="507"/>
      <c r="R356" s="507"/>
      <c r="S356" s="507"/>
      <c r="T356" s="507"/>
      <c r="U356" s="507"/>
      <c r="V356" s="510"/>
      <c r="W356" s="510"/>
      <c r="X356" s="510"/>
      <c r="Y356" s="507"/>
    </row>
    <row r="357" spans="1:25">
      <c r="A357" s="507"/>
      <c r="E357" s="507"/>
      <c r="F357" s="510"/>
      <c r="G357" s="510"/>
      <c r="H357" s="507"/>
      <c r="I357" s="507"/>
      <c r="J357" s="507"/>
      <c r="K357" s="507"/>
      <c r="L357" s="507"/>
      <c r="M357" s="507"/>
      <c r="N357" s="507"/>
      <c r="O357" s="507"/>
      <c r="P357" s="507"/>
      <c r="Q357" s="507"/>
      <c r="R357" s="507"/>
      <c r="S357" s="507"/>
      <c r="T357" s="507"/>
      <c r="U357" s="507"/>
      <c r="V357" s="510"/>
      <c r="W357" s="510"/>
      <c r="X357" s="510"/>
      <c r="Y357" s="507"/>
    </row>
    <row r="358" spans="1:25">
      <c r="A358" s="507"/>
      <c r="E358" s="507"/>
      <c r="F358" s="510"/>
      <c r="G358" s="510"/>
      <c r="H358" s="507"/>
      <c r="I358" s="507"/>
      <c r="J358" s="507"/>
      <c r="K358" s="507"/>
      <c r="L358" s="507"/>
      <c r="M358" s="507"/>
      <c r="N358" s="507"/>
      <c r="O358" s="507"/>
      <c r="P358" s="507"/>
      <c r="Q358" s="507"/>
      <c r="R358" s="507"/>
      <c r="S358" s="507"/>
      <c r="T358" s="507"/>
      <c r="U358" s="507"/>
      <c r="V358" s="510"/>
      <c r="W358" s="510"/>
      <c r="X358" s="510"/>
      <c r="Y358" s="507"/>
    </row>
    <row r="359" spans="1:25">
      <c r="A359" s="507"/>
      <c r="E359" s="507"/>
      <c r="F359" s="510"/>
      <c r="G359" s="510"/>
      <c r="H359" s="507"/>
      <c r="I359" s="507"/>
      <c r="J359" s="507"/>
      <c r="K359" s="507"/>
      <c r="L359" s="507"/>
      <c r="M359" s="507"/>
      <c r="N359" s="507"/>
      <c r="O359" s="507"/>
      <c r="P359" s="507"/>
      <c r="Q359" s="507"/>
      <c r="R359" s="507"/>
      <c r="S359" s="507"/>
      <c r="T359" s="507"/>
      <c r="U359" s="507"/>
      <c r="V359" s="510"/>
      <c r="W359" s="510"/>
      <c r="X359" s="510"/>
      <c r="Y359" s="507"/>
    </row>
    <row r="360" spans="1:25">
      <c r="A360" s="507"/>
      <c r="E360" s="507"/>
      <c r="F360" s="510"/>
      <c r="G360" s="510"/>
      <c r="H360" s="507"/>
      <c r="I360" s="507"/>
      <c r="J360" s="507"/>
      <c r="K360" s="507"/>
      <c r="L360" s="507"/>
      <c r="M360" s="507"/>
      <c r="N360" s="507"/>
      <c r="O360" s="507"/>
      <c r="P360" s="507"/>
      <c r="Q360" s="507"/>
      <c r="R360" s="507"/>
      <c r="S360" s="507"/>
      <c r="T360" s="507"/>
      <c r="U360" s="507"/>
      <c r="V360" s="510"/>
      <c r="W360" s="510"/>
      <c r="X360" s="510"/>
      <c r="Y360" s="507"/>
    </row>
    <row r="361" spans="1:25">
      <c r="A361" s="507"/>
      <c r="E361" s="507"/>
      <c r="F361" s="510"/>
      <c r="G361" s="510"/>
      <c r="H361" s="507"/>
      <c r="I361" s="507"/>
      <c r="J361" s="507"/>
      <c r="K361" s="507"/>
      <c r="L361" s="507"/>
      <c r="M361" s="507"/>
      <c r="N361" s="507"/>
      <c r="O361" s="507"/>
      <c r="P361" s="507"/>
      <c r="Q361" s="507"/>
      <c r="R361" s="507"/>
      <c r="S361" s="507"/>
      <c r="T361" s="507"/>
      <c r="U361" s="507"/>
      <c r="V361" s="510"/>
      <c r="W361" s="510"/>
      <c r="X361" s="510"/>
      <c r="Y361" s="507"/>
    </row>
    <row r="362" spans="1:25">
      <c r="A362" s="507"/>
      <c r="E362" s="507"/>
      <c r="F362" s="510"/>
      <c r="G362" s="510"/>
      <c r="H362" s="507"/>
      <c r="I362" s="507"/>
      <c r="J362" s="507"/>
      <c r="K362" s="507"/>
      <c r="L362" s="507"/>
      <c r="M362" s="507"/>
      <c r="N362" s="507"/>
      <c r="O362" s="507"/>
      <c r="P362" s="507"/>
      <c r="Q362" s="507"/>
      <c r="R362" s="507"/>
      <c r="S362" s="507"/>
      <c r="T362" s="507"/>
      <c r="U362" s="507"/>
      <c r="V362" s="510"/>
      <c r="W362" s="510"/>
      <c r="X362" s="510"/>
      <c r="Y362" s="507"/>
    </row>
    <row r="363" spans="1:25">
      <c r="A363" s="507"/>
      <c r="E363" s="507"/>
      <c r="F363" s="510"/>
      <c r="G363" s="510"/>
      <c r="H363" s="507"/>
      <c r="I363" s="507"/>
      <c r="J363" s="507"/>
      <c r="K363" s="507"/>
      <c r="L363" s="507"/>
      <c r="M363" s="507"/>
      <c r="N363" s="507"/>
      <c r="O363" s="507"/>
      <c r="P363" s="507"/>
      <c r="Q363" s="507"/>
      <c r="R363" s="507"/>
      <c r="S363" s="507"/>
      <c r="T363" s="507"/>
      <c r="U363" s="507"/>
      <c r="V363" s="510"/>
      <c r="W363" s="510"/>
      <c r="X363" s="510"/>
      <c r="Y363" s="507"/>
    </row>
    <row r="364" spans="1:25">
      <c r="A364" s="507"/>
      <c r="E364" s="507"/>
      <c r="F364" s="510"/>
      <c r="G364" s="510"/>
      <c r="H364" s="507"/>
      <c r="I364" s="507"/>
      <c r="J364" s="507"/>
      <c r="K364" s="507"/>
      <c r="L364" s="507"/>
      <c r="M364" s="507"/>
      <c r="N364" s="507"/>
      <c r="O364" s="507"/>
      <c r="P364" s="507"/>
      <c r="Q364" s="507"/>
      <c r="R364" s="507"/>
      <c r="S364" s="507"/>
      <c r="T364" s="507"/>
      <c r="U364" s="507"/>
      <c r="V364" s="510"/>
      <c r="W364" s="510"/>
      <c r="X364" s="510"/>
      <c r="Y364" s="507"/>
    </row>
    <row r="365" spans="1:25">
      <c r="A365" s="507"/>
      <c r="E365" s="507"/>
      <c r="F365" s="510"/>
      <c r="G365" s="510"/>
      <c r="H365" s="507"/>
      <c r="I365" s="507"/>
      <c r="J365" s="507"/>
      <c r="K365" s="507"/>
      <c r="L365" s="507"/>
      <c r="M365" s="507"/>
      <c r="N365" s="507"/>
      <c r="O365" s="507"/>
      <c r="P365" s="507"/>
      <c r="Q365" s="507"/>
      <c r="R365" s="507"/>
      <c r="S365" s="507"/>
      <c r="T365" s="507"/>
      <c r="U365" s="507"/>
      <c r="V365" s="510"/>
      <c r="W365" s="510"/>
      <c r="X365" s="510"/>
      <c r="Y365" s="507"/>
    </row>
    <row r="366" spans="1:25">
      <c r="A366" s="507"/>
      <c r="E366" s="507"/>
      <c r="F366" s="510"/>
      <c r="G366" s="510"/>
      <c r="H366" s="507"/>
      <c r="I366" s="507"/>
      <c r="J366" s="507"/>
      <c r="K366" s="507"/>
      <c r="L366" s="507"/>
      <c r="M366" s="507"/>
      <c r="N366" s="507"/>
      <c r="O366" s="507"/>
      <c r="P366" s="507"/>
      <c r="Q366" s="507"/>
      <c r="R366" s="507"/>
      <c r="S366" s="507"/>
      <c r="T366" s="507"/>
      <c r="U366" s="507"/>
      <c r="V366" s="510"/>
      <c r="W366" s="510"/>
      <c r="X366" s="510"/>
      <c r="Y366" s="507"/>
    </row>
    <row r="367" spans="1:25">
      <c r="A367" s="507"/>
      <c r="E367" s="507"/>
      <c r="F367" s="510"/>
      <c r="G367" s="510"/>
      <c r="H367" s="507"/>
      <c r="I367" s="507"/>
      <c r="J367" s="507"/>
      <c r="K367" s="507"/>
      <c r="L367" s="507"/>
      <c r="M367" s="507"/>
      <c r="N367" s="507"/>
      <c r="O367" s="507"/>
      <c r="P367" s="507"/>
      <c r="Q367" s="507"/>
      <c r="R367" s="507"/>
      <c r="S367" s="507"/>
      <c r="T367" s="507"/>
      <c r="U367" s="507"/>
      <c r="V367" s="510"/>
      <c r="W367" s="510"/>
      <c r="X367" s="510"/>
      <c r="Y367" s="507"/>
    </row>
    <row r="368" spans="1:25">
      <c r="A368" s="507"/>
      <c r="E368" s="507"/>
      <c r="F368" s="510"/>
      <c r="G368" s="510"/>
      <c r="H368" s="507"/>
      <c r="I368" s="507"/>
      <c r="J368" s="507"/>
      <c r="K368" s="507"/>
      <c r="L368" s="507"/>
      <c r="M368" s="507"/>
      <c r="N368" s="507"/>
      <c r="O368" s="507"/>
      <c r="P368" s="507"/>
      <c r="Q368" s="507"/>
      <c r="R368" s="507"/>
      <c r="S368" s="507"/>
      <c r="T368" s="507"/>
      <c r="U368" s="507"/>
      <c r="V368" s="510"/>
      <c r="W368" s="510"/>
      <c r="X368" s="510"/>
      <c r="Y368" s="507"/>
    </row>
    <row r="369" spans="1:25">
      <c r="A369" s="507"/>
      <c r="E369" s="507"/>
      <c r="F369" s="510"/>
      <c r="G369" s="510"/>
      <c r="H369" s="507"/>
      <c r="I369" s="507"/>
      <c r="J369" s="507"/>
      <c r="K369" s="507"/>
      <c r="L369" s="507"/>
      <c r="M369" s="507"/>
      <c r="N369" s="507"/>
      <c r="O369" s="507"/>
      <c r="P369" s="507"/>
      <c r="Q369" s="507"/>
      <c r="R369" s="507"/>
      <c r="S369" s="507"/>
      <c r="T369" s="507"/>
      <c r="U369" s="507"/>
      <c r="V369" s="510"/>
      <c r="W369" s="510"/>
      <c r="X369" s="510"/>
      <c r="Y369" s="507"/>
    </row>
    <row r="370" spans="1:25">
      <c r="A370" s="507"/>
      <c r="E370" s="507"/>
      <c r="F370" s="510"/>
      <c r="G370" s="510"/>
      <c r="H370" s="507"/>
      <c r="I370" s="507"/>
      <c r="J370" s="507"/>
      <c r="K370" s="507"/>
      <c r="L370" s="507"/>
      <c r="M370" s="507"/>
      <c r="N370" s="507"/>
      <c r="O370" s="507"/>
      <c r="P370" s="507"/>
      <c r="Q370" s="507"/>
      <c r="R370" s="507"/>
      <c r="S370" s="507"/>
      <c r="T370" s="507"/>
      <c r="U370" s="507"/>
      <c r="V370" s="510"/>
      <c r="W370" s="510"/>
      <c r="X370" s="510"/>
      <c r="Y370" s="507"/>
    </row>
    <row r="371" spans="1:25">
      <c r="A371" s="507"/>
      <c r="E371" s="507"/>
      <c r="F371" s="510"/>
      <c r="G371" s="510"/>
      <c r="H371" s="507"/>
      <c r="I371" s="507"/>
      <c r="J371" s="507"/>
      <c r="K371" s="507"/>
      <c r="L371" s="507"/>
      <c r="M371" s="507"/>
      <c r="N371" s="507"/>
      <c r="O371" s="507"/>
      <c r="P371" s="507"/>
      <c r="Q371" s="507"/>
      <c r="R371" s="507"/>
      <c r="S371" s="507"/>
      <c r="T371" s="507"/>
      <c r="U371" s="507"/>
      <c r="V371" s="510"/>
      <c r="W371" s="510"/>
      <c r="X371" s="510"/>
      <c r="Y371" s="507"/>
    </row>
    <row r="372" spans="1:25">
      <c r="A372" s="507"/>
      <c r="E372" s="507"/>
      <c r="F372" s="510"/>
      <c r="G372" s="510"/>
      <c r="H372" s="507"/>
      <c r="I372" s="507"/>
      <c r="J372" s="507"/>
      <c r="K372" s="507"/>
      <c r="L372" s="507"/>
      <c r="M372" s="507"/>
      <c r="N372" s="507"/>
      <c r="O372" s="507"/>
      <c r="P372" s="507"/>
      <c r="Q372" s="507"/>
      <c r="R372" s="507"/>
      <c r="S372" s="507"/>
      <c r="T372" s="507"/>
      <c r="U372" s="507"/>
      <c r="V372" s="510"/>
      <c r="W372" s="510"/>
      <c r="X372" s="510"/>
      <c r="Y372" s="507"/>
    </row>
    <row r="373" spans="1:25">
      <c r="A373" s="507"/>
      <c r="E373" s="507"/>
      <c r="F373" s="510"/>
      <c r="G373" s="510"/>
      <c r="H373" s="507"/>
      <c r="I373" s="507"/>
      <c r="J373" s="507"/>
      <c r="K373" s="507"/>
      <c r="L373" s="507"/>
      <c r="M373" s="507"/>
      <c r="N373" s="507"/>
      <c r="O373" s="507"/>
      <c r="P373" s="507"/>
      <c r="Q373" s="507"/>
      <c r="R373" s="507"/>
      <c r="S373" s="507"/>
      <c r="T373" s="507"/>
      <c r="U373" s="507"/>
      <c r="V373" s="510"/>
      <c r="W373" s="510"/>
      <c r="X373" s="510"/>
      <c r="Y373" s="507"/>
    </row>
    <row r="374" spans="1:25">
      <c r="A374" s="507"/>
      <c r="E374" s="507"/>
      <c r="F374" s="510"/>
      <c r="G374" s="510"/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10"/>
      <c r="W374" s="510"/>
      <c r="X374" s="510"/>
      <c r="Y374" s="507"/>
    </row>
    <row r="375" spans="1:25">
      <c r="A375" s="507"/>
      <c r="E375" s="507"/>
      <c r="F375" s="510"/>
      <c r="G375" s="510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10"/>
      <c r="W375" s="510"/>
      <c r="X375" s="510"/>
      <c r="Y375" s="507"/>
    </row>
    <row r="376" spans="1:25">
      <c r="A376" s="507"/>
      <c r="E376" s="507"/>
      <c r="F376" s="510"/>
      <c r="G376" s="510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10"/>
      <c r="W376" s="510"/>
      <c r="X376" s="510"/>
      <c r="Y376" s="507"/>
    </row>
    <row r="377" spans="1:25">
      <c r="A377" s="507"/>
      <c r="E377" s="507"/>
      <c r="F377" s="510"/>
      <c r="G377" s="510"/>
      <c r="H377" s="507"/>
      <c r="I377" s="507"/>
      <c r="J377" s="507"/>
      <c r="K377" s="507"/>
      <c r="L377" s="507"/>
      <c r="M377" s="507"/>
      <c r="N377" s="507"/>
      <c r="O377" s="507"/>
      <c r="P377" s="507"/>
      <c r="Q377" s="507"/>
      <c r="R377" s="507"/>
      <c r="S377" s="507"/>
      <c r="T377" s="507"/>
      <c r="U377" s="507"/>
      <c r="V377" s="510"/>
      <c r="W377" s="510"/>
      <c r="X377" s="510"/>
      <c r="Y377" s="507"/>
    </row>
    <row r="378" spans="1:25">
      <c r="A378" s="507"/>
      <c r="E378" s="507"/>
      <c r="F378" s="510"/>
      <c r="G378" s="510"/>
      <c r="H378" s="507"/>
      <c r="I378" s="507"/>
      <c r="J378" s="507"/>
      <c r="K378" s="507"/>
      <c r="L378" s="507"/>
      <c r="M378" s="507"/>
      <c r="N378" s="507"/>
      <c r="O378" s="507"/>
      <c r="P378" s="507"/>
      <c r="Q378" s="507"/>
      <c r="R378" s="507"/>
      <c r="S378" s="507"/>
      <c r="T378" s="507"/>
      <c r="U378" s="507"/>
      <c r="V378" s="510"/>
      <c r="W378" s="510"/>
      <c r="X378" s="510"/>
      <c r="Y378" s="507"/>
    </row>
    <row r="379" spans="1:25">
      <c r="A379" s="507"/>
      <c r="E379" s="507"/>
      <c r="F379" s="510"/>
      <c r="G379" s="510"/>
      <c r="H379" s="507"/>
      <c r="I379" s="507"/>
      <c r="J379" s="507"/>
      <c r="K379" s="507"/>
      <c r="L379" s="507"/>
      <c r="M379" s="507"/>
      <c r="N379" s="507"/>
      <c r="O379" s="507"/>
      <c r="P379" s="507"/>
      <c r="Q379" s="507"/>
      <c r="R379" s="507"/>
      <c r="S379" s="507"/>
      <c r="T379" s="507"/>
      <c r="U379" s="507"/>
      <c r="V379" s="510"/>
      <c r="W379" s="510"/>
      <c r="X379" s="510"/>
      <c r="Y379" s="507"/>
    </row>
    <row r="380" spans="1:25">
      <c r="A380" s="507"/>
      <c r="E380" s="507"/>
      <c r="F380" s="510"/>
      <c r="G380" s="510"/>
      <c r="H380" s="507"/>
      <c r="I380" s="507"/>
      <c r="J380" s="507"/>
      <c r="K380" s="507"/>
      <c r="L380" s="507"/>
      <c r="M380" s="507"/>
      <c r="N380" s="507"/>
      <c r="O380" s="507"/>
      <c r="P380" s="507"/>
      <c r="Q380" s="507"/>
      <c r="R380" s="507"/>
      <c r="S380" s="507"/>
      <c r="T380" s="507"/>
      <c r="U380" s="507"/>
      <c r="V380" s="510"/>
      <c r="W380" s="510"/>
      <c r="X380" s="510"/>
      <c r="Y380" s="507"/>
    </row>
    <row r="381" spans="1:25">
      <c r="A381" s="507"/>
      <c r="E381" s="507"/>
      <c r="F381" s="510"/>
      <c r="G381" s="510"/>
      <c r="H381" s="507"/>
      <c r="I381" s="507"/>
      <c r="J381" s="507"/>
      <c r="K381" s="507"/>
      <c r="L381" s="507"/>
      <c r="M381" s="507"/>
      <c r="N381" s="507"/>
      <c r="O381" s="507"/>
      <c r="P381" s="507"/>
      <c r="Q381" s="507"/>
      <c r="R381" s="507"/>
      <c r="S381" s="507"/>
      <c r="T381" s="507"/>
      <c r="U381" s="507"/>
      <c r="V381" s="510"/>
      <c r="W381" s="510"/>
      <c r="X381" s="510"/>
      <c r="Y381" s="507"/>
    </row>
    <row r="382" spans="1:25">
      <c r="A382" s="507"/>
      <c r="E382" s="507"/>
      <c r="F382" s="510"/>
      <c r="G382" s="510"/>
      <c r="H382" s="507"/>
      <c r="I382" s="507"/>
      <c r="J382" s="507"/>
      <c r="K382" s="507"/>
      <c r="L382" s="507"/>
      <c r="M382" s="507"/>
      <c r="N382" s="507"/>
      <c r="O382" s="507"/>
      <c r="P382" s="507"/>
      <c r="Q382" s="507"/>
      <c r="R382" s="507"/>
      <c r="S382" s="507"/>
      <c r="T382" s="507"/>
      <c r="U382" s="507"/>
      <c r="V382" s="510"/>
      <c r="W382" s="510"/>
      <c r="X382" s="510"/>
      <c r="Y382" s="507"/>
    </row>
    <row r="383" spans="1:25">
      <c r="A383" s="507"/>
      <c r="E383" s="507"/>
      <c r="F383" s="510"/>
      <c r="G383" s="510"/>
      <c r="H383" s="507"/>
      <c r="I383" s="507"/>
      <c r="J383" s="507"/>
      <c r="K383" s="507"/>
      <c r="L383" s="507"/>
      <c r="M383" s="507"/>
      <c r="N383" s="507"/>
      <c r="O383" s="507"/>
      <c r="P383" s="507"/>
      <c r="Q383" s="507"/>
      <c r="R383" s="507"/>
      <c r="S383" s="507"/>
      <c r="T383" s="507"/>
      <c r="U383" s="507"/>
      <c r="V383" s="510"/>
      <c r="W383" s="510"/>
      <c r="X383" s="510"/>
      <c r="Y383" s="507"/>
    </row>
    <row r="384" spans="1:25">
      <c r="A384" s="507"/>
      <c r="E384" s="507"/>
      <c r="F384" s="510"/>
      <c r="G384" s="510"/>
      <c r="H384" s="507"/>
      <c r="I384" s="507"/>
      <c r="J384" s="507"/>
      <c r="K384" s="507"/>
      <c r="L384" s="507"/>
      <c r="M384" s="507"/>
      <c r="N384" s="507"/>
      <c r="O384" s="507"/>
      <c r="P384" s="507"/>
      <c r="Q384" s="507"/>
      <c r="R384" s="507"/>
      <c r="S384" s="507"/>
      <c r="T384" s="507"/>
      <c r="U384" s="507"/>
      <c r="V384" s="510"/>
      <c r="W384" s="510"/>
      <c r="X384" s="510"/>
      <c r="Y384" s="507"/>
    </row>
    <row r="385" spans="1:25">
      <c r="A385" s="507"/>
      <c r="E385" s="507"/>
      <c r="F385" s="510"/>
      <c r="G385" s="510"/>
      <c r="H385" s="507"/>
      <c r="I385" s="507"/>
      <c r="J385" s="507"/>
      <c r="K385" s="507"/>
      <c r="L385" s="507"/>
      <c r="M385" s="507"/>
      <c r="N385" s="507"/>
      <c r="O385" s="507"/>
      <c r="P385" s="507"/>
      <c r="Q385" s="507"/>
      <c r="R385" s="507"/>
      <c r="S385" s="507"/>
      <c r="T385" s="507"/>
      <c r="U385" s="507"/>
      <c r="V385" s="510"/>
      <c r="W385" s="510"/>
      <c r="X385" s="510"/>
      <c r="Y385" s="507"/>
    </row>
    <row r="386" spans="1:25">
      <c r="A386" s="507"/>
      <c r="E386" s="507"/>
      <c r="F386" s="510"/>
      <c r="G386" s="510"/>
      <c r="H386" s="507"/>
      <c r="I386" s="507"/>
      <c r="J386" s="507"/>
      <c r="K386" s="507"/>
      <c r="L386" s="507"/>
      <c r="M386" s="507"/>
      <c r="N386" s="507"/>
      <c r="O386" s="507"/>
      <c r="P386" s="507"/>
      <c r="Q386" s="507"/>
      <c r="R386" s="507"/>
      <c r="S386" s="507"/>
      <c r="T386" s="507"/>
      <c r="U386" s="507"/>
      <c r="V386" s="510"/>
      <c r="W386" s="510"/>
      <c r="X386" s="510"/>
      <c r="Y386" s="507"/>
    </row>
    <row r="387" spans="1:25">
      <c r="A387" s="507"/>
      <c r="E387" s="507"/>
      <c r="F387" s="510"/>
      <c r="G387" s="510"/>
      <c r="H387" s="507"/>
      <c r="I387" s="507"/>
      <c r="J387" s="507"/>
      <c r="K387" s="507"/>
      <c r="L387" s="507"/>
      <c r="M387" s="507"/>
      <c r="N387" s="507"/>
      <c r="O387" s="507"/>
      <c r="P387" s="507"/>
      <c r="Q387" s="507"/>
      <c r="R387" s="507"/>
      <c r="S387" s="507"/>
      <c r="T387" s="507"/>
      <c r="U387" s="507"/>
      <c r="V387" s="510"/>
      <c r="W387" s="510"/>
      <c r="X387" s="510"/>
      <c r="Y387" s="507"/>
    </row>
    <row r="388" spans="1:25">
      <c r="A388" s="507"/>
      <c r="E388" s="507"/>
      <c r="F388" s="510"/>
      <c r="G388" s="510"/>
      <c r="H388" s="507"/>
      <c r="I388" s="507"/>
      <c r="J388" s="507"/>
      <c r="K388" s="507"/>
      <c r="L388" s="507"/>
      <c r="M388" s="507"/>
      <c r="N388" s="507"/>
      <c r="O388" s="507"/>
      <c r="P388" s="507"/>
      <c r="Q388" s="507"/>
      <c r="R388" s="507"/>
      <c r="S388" s="507"/>
      <c r="T388" s="507"/>
      <c r="U388" s="507"/>
      <c r="V388" s="510"/>
      <c r="W388" s="510"/>
      <c r="X388" s="510"/>
      <c r="Y388" s="507"/>
    </row>
    <row r="389" spans="1:25">
      <c r="A389" s="507"/>
      <c r="E389" s="507"/>
      <c r="F389" s="510"/>
      <c r="G389" s="510"/>
      <c r="H389" s="507"/>
      <c r="I389" s="507"/>
      <c r="J389" s="507"/>
      <c r="K389" s="507"/>
      <c r="L389" s="507"/>
      <c r="M389" s="507"/>
      <c r="N389" s="507"/>
      <c r="O389" s="507"/>
      <c r="P389" s="507"/>
      <c r="Q389" s="507"/>
      <c r="R389" s="507"/>
      <c r="S389" s="507"/>
      <c r="T389" s="507"/>
      <c r="U389" s="507"/>
      <c r="V389" s="510"/>
      <c r="W389" s="510"/>
      <c r="X389" s="510"/>
      <c r="Y389" s="507"/>
    </row>
    <row r="390" spans="1:25">
      <c r="A390" s="507"/>
      <c r="E390" s="507"/>
      <c r="F390" s="510"/>
      <c r="G390" s="510"/>
      <c r="H390" s="507"/>
      <c r="I390" s="507"/>
      <c r="J390" s="507"/>
      <c r="K390" s="507"/>
      <c r="L390" s="507"/>
      <c r="M390" s="507"/>
      <c r="N390" s="507"/>
      <c r="O390" s="507"/>
      <c r="P390" s="507"/>
      <c r="Q390" s="507"/>
      <c r="R390" s="507"/>
      <c r="S390" s="507"/>
      <c r="T390" s="507"/>
      <c r="U390" s="507"/>
      <c r="V390" s="510"/>
      <c r="W390" s="510"/>
      <c r="X390" s="510"/>
      <c r="Y390" s="507"/>
    </row>
    <row r="391" spans="1:25">
      <c r="A391" s="507"/>
      <c r="E391" s="507"/>
      <c r="F391" s="510"/>
      <c r="G391" s="510"/>
      <c r="H391" s="507"/>
      <c r="I391" s="507"/>
      <c r="J391" s="507"/>
      <c r="K391" s="507"/>
      <c r="L391" s="507"/>
      <c r="M391" s="507"/>
      <c r="N391" s="507"/>
      <c r="O391" s="507"/>
      <c r="P391" s="507"/>
      <c r="Q391" s="507"/>
      <c r="R391" s="507"/>
      <c r="S391" s="507"/>
      <c r="T391" s="507"/>
      <c r="U391" s="507"/>
      <c r="V391" s="510"/>
      <c r="W391" s="510"/>
      <c r="X391" s="510"/>
      <c r="Y391" s="507"/>
    </row>
    <row r="392" spans="1:25">
      <c r="A392" s="507"/>
      <c r="E392" s="507"/>
      <c r="F392" s="510"/>
      <c r="G392" s="510"/>
      <c r="H392" s="507"/>
      <c r="I392" s="507"/>
      <c r="J392" s="507"/>
      <c r="K392" s="507"/>
      <c r="L392" s="507"/>
      <c r="M392" s="507"/>
      <c r="N392" s="507"/>
      <c r="O392" s="507"/>
      <c r="P392" s="507"/>
      <c r="Q392" s="507"/>
      <c r="R392" s="507"/>
      <c r="S392" s="507"/>
      <c r="T392" s="507"/>
      <c r="U392" s="507"/>
      <c r="V392" s="510"/>
      <c r="W392" s="510"/>
      <c r="X392" s="510"/>
      <c r="Y392" s="507"/>
    </row>
    <row r="393" spans="1:25">
      <c r="A393" s="507"/>
      <c r="E393" s="507"/>
      <c r="F393" s="510"/>
      <c r="G393" s="510"/>
      <c r="H393" s="507"/>
      <c r="I393" s="507"/>
      <c r="J393" s="507"/>
      <c r="K393" s="507"/>
      <c r="L393" s="507"/>
      <c r="M393" s="507"/>
      <c r="N393" s="507"/>
      <c r="O393" s="507"/>
      <c r="P393" s="507"/>
      <c r="Q393" s="507"/>
      <c r="R393" s="507"/>
      <c r="S393" s="507"/>
      <c r="T393" s="507"/>
      <c r="U393" s="507"/>
      <c r="V393" s="510"/>
      <c r="W393" s="510"/>
      <c r="X393" s="510"/>
      <c r="Y393" s="507"/>
    </row>
    <row r="394" spans="1:25">
      <c r="A394" s="507"/>
      <c r="E394" s="507"/>
      <c r="F394" s="510"/>
      <c r="G394" s="510"/>
      <c r="H394" s="507"/>
      <c r="I394" s="507"/>
      <c r="J394" s="507"/>
      <c r="K394" s="507"/>
      <c r="L394" s="507"/>
      <c r="M394" s="507"/>
      <c r="N394" s="507"/>
      <c r="O394" s="507"/>
      <c r="P394" s="507"/>
      <c r="Q394" s="507"/>
      <c r="R394" s="507"/>
      <c r="S394" s="507"/>
      <c r="T394" s="507"/>
      <c r="U394" s="507"/>
      <c r="V394" s="510"/>
      <c r="W394" s="510"/>
      <c r="X394" s="510"/>
      <c r="Y394" s="507"/>
    </row>
    <row r="395" spans="1:25">
      <c r="A395" s="507"/>
      <c r="E395" s="507"/>
      <c r="F395" s="510"/>
      <c r="G395" s="510"/>
      <c r="H395" s="507"/>
      <c r="I395" s="507"/>
      <c r="J395" s="507"/>
      <c r="K395" s="507"/>
      <c r="L395" s="507"/>
      <c r="M395" s="507"/>
      <c r="N395" s="507"/>
      <c r="O395" s="507"/>
      <c r="P395" s="507"/>
      <c r="Q395" s="507"/>
      <c r="R395" s="507"/>
      <c r="S395" s="507"/>
      <c r="T395" s="507"/>
      <c r="U395" s="507"/>
      <c r="V395" s="510"/>
      <c r="W395" s="510"/>
      <c r="X395" s="510"/>
      <c r="Y395" s="507"/>
    </row>
    <row r="396" spans="1:25">
      <c r="A396" s="507"/>
      <c r="E396" s="507"/>
      <c r="F396" s="510"/>
      <c r="G396" s="510"/>
      <c r="H396" s="507"/>
      <c r="I396" s="507"/>
      <c r="J396" s="507"/>
      <c r="K396" s="507"/>
      <c r="L396" s="507"/>
      <c r="M396" s="507"/>
      <c r="N396" s="507"/>
      <c r="O396" s="507"/>
      <c r="P396" s="507"/>
      <c r="Q396" s="507"/>
      <c r="R396" s="507"/>
      <c r="S396" s="507"/>
      <c r="T396" s="507"/>
      <c r="U396" s="507"/>
      <c r="V396" s="510"/>
      <c r="W396" s="510"/>
      <c r="X396" s="510"/>
      <c r="Y396" s="507"/>
    </row>
    <row r="397" spans="1:25">
      <c r="A397" s="507"/>
      <c r="E397" s="507"/>
      <c r="F397" s="510"/>
      <c r="G397" s="510"/>
      <c r="H397" s="507"/>
      <c r="I397" s="507"/>
      <c r="J397" s="507"/>
      <c r="K397" s="507"/>
      <c r="L397" s="507"/>
      <c r="M397" s="507"/>
      <c r="N397" s="507"/>
      <c r="O397" s="507"/>
      <c r="P397" s="507"/>
      <c r="Q397" s="507"/>
      <c r="R397" s="507"/>
      <c r="S397" s="507"/>
      <c r="T397" s="507"/>
      <c r="U397" s="507"/>
      <c r="V397" s="510"/>
      <c r="W397" s="510"/>
      <c r="X397" s="510"/>
      <c r="Y397" s="507"/>
    </row>
    <row r="398" spans="1:25">
      <c r="A398" s="507"/>
      <c r="E398" s="507"/>
      <c r="F398" s="510"/>
      <c r="G398" s="510"/>
      <c r="H398" s="507"/>
      <c r="I398" s="507"/>
      <c r="J398" s="507"/>
      <c r="K398" s="507"/>
      <c r="L398" s="507"/>
      <c r="M398" s="507"/>
      <c r="N398" s="507"/>
      <c r="O398" s="507"/>
      <c r="P398" s="507"/>
      <c r="Q398" s="507"/>
      <c r="R398" s="507"/>
      <c r="S398" s="507"/>
      <c r="T398" s="507"/>
      <c r="U398" s="507"/>
      <c r="V398" s="510"/>
      <c r="W398" s="510"/>
      <c r="X398" s="510"/>
      <c r="Y398" s="507"/>
    </row>
    <row r="399" spans="1:25">
      <c r="A399" s="507"/>
      <c r="E399" s="507"/>
      <c r="F399" s="510"/>
      <c r="G399" s="510"/>
      <c r="H399" s="507"/>
      <c r="I399" s="507"/>
      <c r="J399" s="507"/>
      <c r="K399" s="507"/>
      <c r="L399" s="507"/>
      <c r="M399" s="507"/>
      <c r="N399" s="507"/>
      <c r="O399" s="507"/>
      <c r="P399" s="507"/>
      <c r="Q399" s="507"/>
      <c r="R399" s="507"/>
      <c r="S399" s="507"/>
      <c r="T399" s="507"/>
      <c r="U399" s="507"/>
      <c r="V399" s="510"/>
      <c r="W399" s="510"/>
      <c r="X399" s="510"/>
      <c r="Y399" s="507"/>
    </row>
    <row r="400" spans="1:25">
      <c r="A400" s="507"/>
      <c r="E400" s="507"/>
      <c r="F400" s="510"/>
      <c r="G400" s="510"/>
      <c r="H400" s="507"/>
      <c r="I400" s="507"/>
      <c r="J400" s="507"/>
      <c r="K400" s="507"/>
      <c r="L400" s="507"/>
      <c r="M400" s="507"/>
      <c r="N400" s="507"/>
      <c r="O400" s="507"/>
      <c r="P400" s="507"/>
      <c r="Q400" s="507"/>
      <c r="R400" s="507"/>
      <c r="S400" s="507"/>
      <c r="T400" s="507"/>
      <c r="U400" s="507"/>
      <c r="V400" s="510"/>
      <c r="W400" s="510"/>
      <c r="X400" s="510"/>
      <c r="Y400" s="507"/>
    </row>
    <row r="401" spans="1:25">
      <c r="A401" s="507"/>
      <c r="E401" s="507"/>
      <c r="F401" s="510"/>
      <c r="G401" s="510"/>
      <c r="H401" s="507"/>
      <c r="I401" s="507"/>
      <c r="J401" s="507"/>
      <c r="K401" s="507"/>
      <c r="L401" s="507"/>
      <c r="M401" s="507"/>
      <c r="N401" s="507"/>
      <c r="O401" s="507"/>
      <c r="P401" s="507"/>
      <c r="Q401" s="507"/>
      <c r="R401" s="507"/>
      <c r="S401" s="507"/>
      <c r="T401" s="507"/>
      <c r="U401" s="507"/>
      <c r="V401" s="510"/>
      <c r="W401" s="510"/>
      <c r="X401" s="510"/>
      <c r="Y401" s="507"/>
    </row>
    <row r="402" spans="1:25">
      <c r="A402" s="507"/>
      <c r="E402" s="507"/>
      <c r="F402" s="510"/>
      <c r="G402" s="510"/>
      <c r="H402" s="507"/>
      <c r="I402" s="507"/>
      <c r="J402" s="507"/>
      <c r="K402" s="507"/>
      <c r="L402" s="507"/>
      <c r="M402" s="507"/>
      <c r="N402" s="507"/>
      <c r="O402" s="507"/>
      <c r="P402" s="507"/>
      <c r="Q402" s="507"/>
      <c r="R402" s="507"/>
      <c r="S402" s="507"/>
      <c r="T402" s="507"/>
      <c r="U402" s="507"/>
      <c r="V402" s="510"/>
      <c r="W402" s="510"/>
      <c r="X402" s="510"/>
      <c r="Y402" s="507"/>
    </row>
    <row r="403" spans="1:25">
      <c r="A403" s="507"/>
      <c r="E403" s="507"/>
      <c r="F403" s="510"/>
      <c r="G403" s="510"/>
      <c r="H403" s="507"/>
      <c r="I403" s="507"/>
      <c r="J403" s="507"/>
      <c r="K403" s="507"/>
      <c r="L403" s="507"/>
      <c r="M403" s="507"/>
      <c r="N403" s="507"/>
      <c r="O403" s="507"/>
      <c r="P403" s="507"/>
      <c r="Q403" s="507"/>
      <c r="R403" s="507"/>
      <c r="S403" s="507"/>
      <c r="T403" s="507"/>
      <c r="U403" s="507"/>
      <c r="V403" s="510"/>
      <c r="W403" s="510"/>
      <c r="X403" s="510"/>
      <c r="Y403" s="507"/>
    </row>
    <row r="404" spans="1:25">
      <c r="A404" s="507"/>
      <c r="E404" s="507"/>
      <c r="F404" s="510"/>
      <c r="G404" s="510"/>
      <c r="H404" s="507"/>
      <c r="I404" s="507"/>
      <c r="J404" s="507"/>
      <c r="K404" s="507"/>
      <c r="L404" s="507"/>
      <c r="M404" s="507"/>
      <c r="N404" s="507"/>
      <c r="O404" s="507"/>
      <c r="P404" s="507"/>
      <c r="Q404" s="507"/>
      <c r="R404" s="507"/>
      <c r="S404" s="507"/>
      <c r="T404" s="507"/>
      <c r="U404" s="507"/>
      <c r="V404" s="510"/>
      <c r="W404" s="510"/>
      <c r="X404" s="510"/>
      <c r="Y404" s="507"/>
    </row>
    <row r="405" spans="1:25">
      <c r="A405" s="507"/>
      <c r="E405" s="507"/>
      <c r="F405" s="510"/>
      <c r="G405" s="510"/>
      <c r="H405" s="507"/>
      <c r="I405" s="507"/>
      <c r="J405" s="507"/>
      <c r="K405" s="507"/>
      <c r="L405" s="507"/>
      <c r="M405" s="507"/>
      <c r="N405" s="507"/>
      <c r="O405" s="507"/>
      <c r="P405" s="507"/>
      <c r="Q405" s="507"/>
      <c r="R405" s="507"/>
      <c r="S405" s="507"/>
      <c r="T405" s="507"/>
      <c r="U405" s="507"/>
      <c r="V405" s="510"/>
      <c r="W405" s="510"/>
      <c r="X405" s="510"/>
      <c r="Y405" s="507"/>
    </row>
    <row r="406" spans="1:25">
      <c r="A406" s="507"/>
      <c r="E406" s="507"/>
      <c r="F406" s="510"/>
      <c r="G406" s="510"/>
      <c r="H406" s="507"/>
      <c r="I406" s="507"/>
      <c r="J406" s="507"/>
      <c r="K406" s="507"/>
      <c r="L406" s="507"/>
      <c r="M406" s="507"/>
      <c r="N406" s="507"/>
      <c r="O406" s="507"/>
      <c r="P406" s="507"/>
      <c r="Q406" s="507"/>
      <c r="R406" s="507"/>
      <c r="S406" s="507"/>
      <c r="T406" s="507"/>
      <c r="U406" s="507"/>
      <c r="V406" s="510"/>
      <c r="W406" s="510"/>
      <c r="X406" s="510"/>
      <c r="Y406" s="507"/>
    </row>
    <row r="407" spans="1:25">
      <c r="A407" s="507"/>
      <c r="E407" s="507"/>
      <c r="F407" s="510"/>
      <c r="G407" s="510"/>
      <c r="H407" s="507"/>
      <c r="I407" s="507"/>
      <c r="J407" s="507"/>
      <c r="K407" s="507"/>
      <c r="L407" s="507"/>
      <c r="M407" s="507"/>
      <c r="N407" s="507"/>
      <c r="O407" s="507"/>
      <c r="P407" s="507"/>
      <c r="Q407" s="507"/>
      <c r="R407" s="507"/>
      <c r="S407" s="507"/>
      <c r="T407" s="507"/>
      <c r="U407" s="507"/>
      <c r="V407" s="510"/>
      <c r="W407" s="510"/>
      <c r="X407" s="510"/>
      <c r="Y407" s="507"/>
    </row>
    <row r="408" spans="1:25">
      <c r="A408" s="507"/>
      <c r="E408" s="507"/>
      <c r="F408" s="510"/>
      <c r="G408" s="510"/>
      <c r="H408" s="507"/>
      <c r="I408" s="507"/>
      <c r="J408" s="507"/>
      <c r="K408" s="507"/>
      <c r="L408" s="507"/>
      <c r="M408" s="507"/>
      <c r="N408" s="507"/>
      <c r="O408" s="507"/>
      <c r="P408" s="507"/>
      <c r="Q408" s="507"/>
      <c r="R408" s="507"/>
      <c r="S408" s="507"/>
      <c r="T408" s="507"/>
      <c r="U408" s="507"/>
      <c r="V408" s="510"/>
      <c r="W408" s="510"/>
      <c r="X408" s="510"/>
      <c r="Y408" s="507"/>
    </row>
    <row r="409" spans="1:25">
      <c r="A409" s="507"/>
      <c r="E409" s="507"/>
      <c r="F409" s="510"/>
      <c r="G409" s="510"/>
      <c r="H409" s="507"/>
      <c r="I409" s="507"/>
      <c r="J409" s="507"/>
      <c r="K409" s="507"/>
      <c r="L409" s="507"/>
      <c r="M409" s="507"/>
      <c r="N409" s="507"/>
      <c r="O409" s="507"/>
      <c r="P409" s="507"/>
      <c r="Q409" s="507"/>
      <c r="R409" s="507"/>
      <c r="S409" s="507"/>
      <c r="T409" s="507"/>
      <c r="U409" s="507"/>
      <c r="V409" s="510"/>
      <c r="W409" s="510"/>
      <c r="X409" s="510"/>
      <c r="Y409" s="507"/>
    </row>
    <row r="410" spans="1:25">
      <c r="A410" s="507"/>
      <c r="E410" s="507"/>
      <c r="F410" s="510"/>
      <c r="G410" s="510"/>
      <c r="H410" s="507"/>
      <c r="I410" s="507"/>
      <c r="J410" s="507"/>
      <c r="K410" s="507"/>
      <c r="L410" s="507"/>
      <c r="M410" s="507"/>
      <c r="N410" s="507"/>
      <c r="O410" s="507"/>
      <c r="P410" s="507"/>
      <c r="Q410" s="507"/>
      <c r="R410" s="507"/>
      <c r="S410" s="507"/>
      <c r="T410" s="507"/>
      <c r="U410" s="507"/>
      <c r="V410" s="510"/>
      <c r="W410" s="510"/>
      <c r="X410" s="510"/>
      <c r="Y410" s="507"/>
    </row>
    <row r="411" spans="1:25">
      <c r="A411" s="507"/>
      <c r="E411" s="507"/>
      <c r="F411" s="510"/>
      <c r="G411" s="510"/>
      <c r="H411" s="507"/>
      <c r="I411" s="507"/>
      <c r="J411" s="507"/>
      <c r="K411" s="507"/>
      <c r="L411" s="507"/>
      <c r="M411" s="507"/>
      <c r="N411" s="507"/>
      <c r="O411" s="507"/>
      <c r="P411" s="507"/>
      <c r="Q411" s="507"/>
      <c r="R411" s="507"/>
      <c r="S411" s="507"/>
      <c r="T411" s="507"/>
      <c r="U411" s="507"/>
      <c r="V411" s="510"/>
      <c r="W411" s="510"/>
      <c r="X411" s="510"/>
      <c r="Y411" s="507"/>
    </row>
    <row r="412" spans="1:25">
      <c r="A412" s="507"/>
      <c r="E412" s="507"/>
      <c r="F412" s="510"/>
      <c r="G412" s="510"/>
      <c r="H412" s="507"/>
      <c r="I412" s="507"/>
      <c r="J412" s="507"/>
      <c r="K412" s="507"/>
      <c r="L412" s="507"/>
      <c r="M412" s="507"/>
      <c r="N412" s="507"/>
      <c r="O412" s="507"/>
      <c r="P412" s="507"/>
      <c r="Q412" s="507"/>
      <c r="R412" s="507"/>
      <c r="S412" s="507"/>
      <c r="T412" s="507"/>
      <c r="U412" s="507"/>
      <c r="V412" s="510"/>
      <c r="W412" s="510"/>
      <c r="X412" s="510"/>
      <c r="Y412" s="507"/>
    </row>
    <row r="413" spans="1:25">
      <c r="A413" s="507"/>
      <c r="E413" s="507"/>
      <c r="F413" s="510"/>
      <c r="G413" s="510"/>
      <c r="H413" s="507"/>
      <c r="I413" s="507"/>
      <c r="J413" s="507"/>
      <c r="K413" s="507"/>
      <c r="L413" s="507"/>
      <c r="M413" s="507"/>
      <c r="N413" s="507"/>
      <c r="O413" s="507"/>
      <c r="P413" s="507"/>
      <c r="Q413" s="507"/>
      <c r="R413" s="507"/>
      <c r="S413" s="507"/>
      <c r="T413" s="507"/>
      <c r="U413" s="507"/>
      <c r="V413" s="510"/>
      <c r="W413" s="510"/>
      <c r="X413" s="510"/>
      <c r="Y413" s="507"/>
    </row>
    <row r="414" spans="1:25">
      <c r="A414" s="507"/>
      <c r="E414" s="507"/>
      <c r="F414" s="510"/>
      <c r="G414" s="510"/>
      <c r="H414" s="507"/>
      <c r="I414" s="507"/>
      <c r="J414" s="507"/>
      <c r="K414" s="507"/>
      <c r="L414" s="507"/>
      <c r="M414" s="507"/>
      <c r="N414" s="507"/>
      <c r="O414" s="507"/>
      <c r="P414" s="507"/>
      <c r="Q414" s="507"/>
      <c r="R414" s="507"/>
      <c r="S414" s="507"/>
      <c r="T414" s="507"/>
      <c r="U414" s="507"/>
      <c r="V414" s="510"/>
      <c r="W414" s="510"/>
      <c r="X414" s="510"/>
      <c r="Y414" s="507"/>
    </row>
    <row r="415" spans="1:25">
      <c r="A415" s="507"/>
      <c r="E415" s="507"/>
      <c r="F415" s="510"/>
      <c r="G415" s="510"/>
      <c r="H415" s="507"/>
      <c r="I415" s="507"/>
      <c r="J415" s="507"/>
      <c r="K415" s="507"/>
      <c r="L415" s="507"/>
      <c r="M415" s="507"/>
      <c r="N415" s="507"/>
      <c r="O415" s="507"/>
      <c r="P415" s="507"/>
      <c r="Q415" s="507"/>
      <c r="R415" s="507"/>
      <c r="S415" s="507"/>
      <c r="T415" s="507"/>
      <c r="U415" s="507"/>
      <c r="V415" s="510"/>
      <c r="W415" s="510"/>
      <c r="X415" s="510"/>
      <c r="Y415" s="507"/>
    </row>
    <row r="416" spans="1:25">
      <c r="A416" s="507"/>
      <c r="E416" s="507"/>
      <c r="F416" s="510"/>
      <c r="G416" s="510"/>
      <c r="H416" s="507"/>
      <c r="I416" s="507"/>
      <c r="J416" s="507"/>
      <c r="K416" s="507"/>
      <c r="L416" s="507"/>
      <c r="M416" s="507"/>
      <c r="N416" s="507"/>
      <c r="O416" s="507"/>
      <c r="P416" s="507"/>
      <c r="Q416" s="507"/>
      <c r="R416" s="507"/>
      <c r="S416" s="507"/>
      <c r="T416" s="507"/>
      <c r="U416" s="507"/>
      <c r="V416" s="510"/>
      <c r="W416" s="510"/>
      <c r="X416" s="510"/>
      <c r="Y416" s="507"/>
    </row>
    <row r="417" spans="1:25">
      <c r="A417" s="507"/>
      <c r="E417" s="507"/>
      <c r="F417" s="510"/>
      <c r="G417" s="510"/>
      <c r="H417" s="507"/>
      <c r="I417" s="507"/>
      <c r="J417" s="507"/>
      <c r="K417" s="507"/>
      <c r="L417" s="507"/>
      <c r="M417" s="507"/>
      <c r="N417" s="507"/>
      <c r="O417" s="507"/>
      <c r="P417" s="507"/>
      <c r="Q417" s="507"/>
      <c r="R417" s="507"/>
      <c r="S417" s="507"/>
      <c r="T417" s="507"/>
      <c r="U417" s="507"/>
      <c r="V417" s="510"/>
      <c r="W417" s="510"/>
      <c r="X417" s="510"/>
      <c r="Y417" s="507"/>
    </row>
    <row r="418" spans="1:25">
      <c r="A418" s="507"/>
      <c r="E418" s="507"/>
      <c r="F418" s="510"/>
      <c r="G418" s="510"/>
      <c r="H418" s="507"/>
      <c r="I418" s="507"/>
      <c r="J418" s="507"/>
      <c r="K418" s="507"/>
      <c r="L418" s="507"/>
      <c r="M418" s="507"/>
      <c r="N418" s="507"/>
      <c r="O418" s="507"/>
      <c r="P418" s="507"/>
      <c r="Q418" s="507"/>
      <c r="R418" s="507"/>
      <c r="S418" s="507"/>
      <c r="T418" s="507"/>
      <c r="U418" s="507"/>
      <c r="V418" s="510"/>
      <c r="W418" s="510"/>
      <c r="X418" s="510"/>
      <c r="Y418" s="507"/>
    </row>
    <row r="419" spans="1:25">
      <c r="A419" s="507"/>
      <c r="E419" s="507"/>
      <c r="F419" s="510"/>
      <c r="G419" s="510"/>
      <c r="H419" s="507"/>
      <c r="I419" s="507"/>
      <c r="J419" s="507"/>
      <c r="K419" s="507"/>
      <c r="L419" s="507"/>
      <c r="M419" s="507"/>
      <c r="N419" s="507"/>
      <c r="O419" s="507"/>
      <c r="P419" s="507"/>
      <c r="Q419" s="507"/>
      <c r="R419" s="507"/>
      <c r="S419" s="507"/>
      <c r="T419" s="507"/>
      <c r="U419" s="507"/>
      <c r="V419" s="510"/>
      <c r="W419" s="510"/>
      <c r="X419" s="510"/>
      <c r="Y419" s="507"/>
    </row>
    <row r="420" spans="1:25">
      <c r="A420" s="507"/>
      <c r="E420" s="507"/>
      <c r="F420" s="510"/>
      <c r="G420" s="510"/>
      <c r="H420" s="507"/>
      <c r="I420" s="507"/>
      <c r="J420" s="507"/>
      <c r="K420" s="507"/>
      <c r="L420" s="507"/>
      <c r="M420" s="507"/>
      <c r="N420" s="507"/>
      <c r="O420" s="507"/>
      <c r="P420" s="507"/>
      <c r="Q420" s="507"/>
      <c r="R420" s="507"/>
      <c r="S420" s="507"/>
      <c r="T420" s="507"/>
      <c r="U420" s="507"/>
      <c r="V420" s="510"/>
      <c r="W420" s="510"/>
      <c r="X420" s="510"/>
      <c r="Y420" s="507"/>
    </row>
    <row r="421" spans="1:25">
      <c r="A421" s="507"/>
      <c r="E421" s="507"/>
      <c r="F421" s="510"/>
      <c r="G421" s="510"/>
      <c r="H421" s="507"/>
      <c r="I421" s="507"/>
      <c r="J421" s="507"/>
      <c r="K421" s="507"/>
      <c r="L421" s="507"/>
      <c r="M421" s="507"/>
      <c r="N421" s="507"/>
      <c r="O421" s="507"/>
      <c r="P421" s="507"/>
      <c r="Q421" s="507"/>
      <c r="R421" s="507"/>
      <c r="S421" s="507"/>
      <c r="T421" s="507"/>
      <c r="U421" s="507"/>
      <c r="V421" s="510"/>
      <c r="W421" s="510"/>
      <c r="X421" s="510"/>
      <c r="Y421" s="507"/>
    </row>
    <row r="422" spans="1:25">
      <c r="A422" s="507"/>
      <c r="E422" s="507"/>
      <c r="F422" s="510"/>
      <c r="G422" s="510"/>
      <c r="H422" s="507"/>
      <c r="I422" s="507"/>
      <c r="J422" s="507"/>
      <c r="K422" s="507"/>
      <c r="L422" s="507"/>
      <c r="M422" s="507"/>
      <c r="N422" s="507"/>
      <c r="O422" s="507"/>
      <c r="P422" s="507"/>
      <c r="Q422" s="507"/>
      <c r="R422" s="507"/>
      <c r="S422" s="507"/>
      <c r="T422" s="507"/>
      <c r="U422" s="507"/>
      <c r="V422" s="510"/>
      <c r="W422" s="510"/>
      <c r="X422" s="510"/>
      <c r="Y422" s="507"/>
    </row>
    <row r="423" spans="1:25">
      <c r="A423" s="507"/>
      <c r="E423" s="507"/>
      <c r="F423" s="510"/>
      <c r="G423" s="510"/>
      <c r="H423" s="507"/>
      <c r="I423" s="507"/>
      <c r="J423" s="507"/>
      <c r="K423" s="507"/>
      <c r="L423" s="507"/>
      <c r="M423" s="507"/>
      <c r="N423" s="507"/>
      <c r="O423" s="507"/>
      <c r="P423" s="507"/>
      <c r="Q423" s="507"/>
      <c r="R423" s="507"/>
      <c r="S423" s="507"/>
      <c r="T423" s="507"/>
      <c r="U423" s="507"/>
      <c r="V423" s="510"/>
      <c r="W423" s="510"/>
      <c r="X423" s="510"/>
      <c r="Y423" s="507"/>
    </row>
    <row r="424" spans="1:25">
      <c r="A424" s="507"/>
      <c r="E424" s="507"/>
      <c r="F424" s="510"/>
      <c r="G424" s="510"/>
      <c r="H424" s="507"/>
      <c r="I424" s="507"/>
      <c r="J424" s="507"/>
      <c r="K424" s="507"/>
      <c r="L424" s="507"/>
      <c r="M424" s="507"/>
      <c r="N424" s="507"/>
      <c r="O424" s="507"/>
      <c r="P424" s="507"/>
      <c r="Q424" s="507"/>
      <c r="R424" s="507"/>
      <c r="S424" s="507"/>
      <c r="T424" s="507"/>
      <c r="U424" s="507"/>
      <c r="V424" s="510"/>
      <c r="W424" s="510"/>
      <c r="X424" s="510"/>
      <c r="Y424" s="507"/>
    </row>
    <row r="425" spans="1:25">
      <c r="A425" s="507"/>
      <c r="E425" s="507"/>
      <c r="F425" s="510"/>
      <c r="G425" s="510"/>
      <c r="H425" s="507"/>
      <c r="I425" s="507"/>
      <c r="J425" s="507"/>
      <c r="K425" s="507"/>
      <c r="L425" s="507"/>
      <c r="M425" s="507"/>
      <c r="N425" s="507"/>
      <c r="O425" s="507"/>
      <c r="P425" s="507"/>
      <c r="Q425" s="507"/>
      <c r="R425" s="507"/>
      <c r="S425" s="507"/>
      <c r="T425" s="507"/>
      <c r="U425" s="507"/>
      <c r="V425" s="510"/>
      <c r="W425" s="510"/>
      <c r="X425" s="510"/>
      <c r="Y425" s="507"/>
    </row>
    <row r="426" spans="1:25">
      <c r="A426" s="507"/>
      <c r="E426" s="507"/>
      <c r="F426" s="510"/>
      <c r="G426" s="510"/>
      <c r="H426" s="507"/>
      <c r="I426" s="507"/>
      <c r="J426" s="507"/>
      <c r="K426" s="507"/>
      <c r="L426" s="507"/>
      <c r="M426" s="507"/>
      <c r="N426" s="507"/>
      <c r="O426" s="507"/>
      <c r="P426" s="507"/>
      <c r="Q426" s="507"/>
      <c r="R426" s="507"/>
      <c r="S426" s="507"/>
      <c r="T426" s="507"/>
      <c r="U426" s="507"/>
      <c r="V426" s="510"/>
      <c r="W426" s="510"/>
      <c r="X426" s="510"/>
      <c r="Y426" s="507"/>
    </row>
    <row r="427" spans="1:25">
      <c r="A427" s="507"/>
      <c r="E427" s="507"/>
      <c r="F427" s="510"/>
      <c r="G427" s="510"/>
      <c r="H427" s="507"/>
      <c r="I427" s="507"/>
      <c r="J427" s="507"/>
      <c r="K427" s="507"/>
      <c r="L427" s="507"/>
      <c r="M427" s="507"/>
      <c r="N427" s="507"/>
      <c r="O427" s="507"/>
      <c r="P427" s="507"/>
      <c r="Q427" s="507"/>
      <c r="R427" s="507"/>
      <c r="S427" s="507"/>
      <c r="T427" s="507"/>
      <c r="U427" s="507"/>
      <c r="V427" s="510"/>
      <c r="W427" s="510"/>
      <c r="X427" s="510"/>
      <c r="Y427" s="507"/>
    </row>
    <row r="428" spans="1:25">
      <c r="A428" s="507"/>
      <c r="E428" s="507"/>
      <c r="F428" s="510"/>
      <c r="G428" s="510"/>
      <c r="H428" s="507"/>
      <c r="I428" s="507"/>
      <c r="J428" s="507"/>
      <c r="K428" s="507"/>
      <c r="L428" s="507"/>
      <c r="M428" s="507"/>
      <c r="N428" s="507"/>
      <c r="O428" s="507"/>
      <c r="P428" s="507"/>
      <c r="Q428" s="507"/>
      <c r="R428" s="507"/>
      <c r="S428" s="507"/>
      <c r="T428" s="507"/>
      <c r="U428" s="507"/>
      <c r="V428" s="510"/>
      <c r="W428" s="510"/>
      <c r="X428" s="510"/>
      <c r="Y428" s="507"/>
    </row>
    <row r="429" spans="1:25">
      <c r="A429" s="507"/>
      <c r="E429" s="507"/>
      <c r="F429" s="510"/>
      <c r="G429" s="510"/>
      <c r="H429" s="507"/>
      <c r="I429" s="507"/>
      <c r="J429" s="507"/>
      <c r="K429" s="507"/>
      <c r="L429" s="507"/>
      <c r="M429" s="507"/>
      <c r="N429" s="507"/>
      <c r="O429" s="507"/>
      <c r="P429" s="507"/>
      <c r="Q429" s="507"/>
      <c r="R429" s="507"/>
      <c r="S429" s="507"/>
      <c r="T429" s="507"/>
      <c r="U429" s="507"/>
      <c r="V429" s="510"/>
      <c r="W429" s="510"/>
      <c r="X429" s="510"/>
      <c r="Y429" s="507"/>
    </row>
    <row r="430" spans="1:25">
      <c r="A430" s="507"/>
      <c r="E430" s="507"/>
      <c r="F430" s="510"/>
      <c r="G430" s="510"/>
      <c r="H430" s="507"/>
      <c r="I430" s="507"/>
      <c r="J430" s="507"/>
      <c r="K430" s="507"/>
      <c r="L430" s="507"/>
      <c r="M430" s="507"/>
      <c r="N430" s="507"/>
      <c r="O430" s="507"/>
      <c r="P430" s="507"/>
      <c r="Q430" s="507"/>
      <c r="R430" s="507"/>
      <c r="S430" s="507"/>
      <c r="T430" s="507"/>
      <c r="U430" s="507"/>
      <c r="V430" s="510"/>
      <c r="W430" s="510"/>
      <c r="X430" s="510"/>
      <c r="Y430" s="507"/>
    </row>
    <row r="431" spans="1:25">
      <c r="A431" s="507"/>
      <c r="E431" s="507"/>
      <c r="F431" s="510"/>
      <c r="G431" s="510"/>
      <c r="H431" s="507"/>
      <c r="I431" s="507"/>
      <c r="J431" s="507"/>
      <c r="K431" s="507"/>
      <c r="L431" s="507"/>
      <c r="M431" s="507"/>
      <c r="N431" s="507"/>
      <c r="O431" s="507"/>
      <c r="P431" s="507"/>
      <c r="Q431" s="507"/>
      <c r="R431" s="507"/>
      <c r="S431" s="507"/>
      <c r="T431" s="507"/>
      <c r="U431" s="507"/>
      <c r="V431" s="510"/>
      <c r="W431" s="510"/>
      <c r="X431" s="510"/>
      <c r="Y431" s="507"/>
    </row>
    <row r="432" spans="1:25">
      <c r="A432" s="507"/>
      <c r="E432" s="507"/>
      <c r="F432" s="510"/>
      <c r="G432" s="510"/>
      <c r="H432" s="507"/>
      <c r="I432" s="507"/>
      <c r="J432" s="507"/>
      <c r="K432" s="507"/>
      <c r="L432" s="507"/>
      <c r="M432" s="507"/>
      <c r="N432" s="507"/>
      <c r="O432" s="507"/>
      <c r="P432" s="507"/>
      <c r="Q432" s="507"/>
      <c r="R432" s="507"/>
      <c r="S432" s="507"/>
      <c r="T432" s="507"/>
      <c r="U432" s="507"/>
      <c r="V432" s="510"/>
      <c r="W432" s="510"/>
      <c r="X432" s="510"/>
      <c r="Y432" s="507"/>
    </row>
    <row r="433" spans="1:25">
      <c r="A433" s="507"/>
      <c r="E433" s="507"/>
      <c r="F433" s="510"/>
      <c r="G433" s="510"/>
      <c r="H433" s="507"/>
      <c r="I433" s="507"/>
      <c r="J433" s="507"/>
      <c r="K433" s="507"/>
      <c r="L433" s="507"/>
      <c r="M433" s="507"/>
      <c r="N433" s="507"/>
      <c r="O433" s="507"/>
      <c r="P433" s="507"/>
      <c r="Q433" s="507"/>
      <c r="R433" s="507"/>
      <c r="S433" s="507"/>
      <c r="T433" s="507"/>
      <c r="U433" s="507"/>
      <c r="V433" s="510"/>
      <c r="W433" s="510"/>
      <c r="X433" s="510"/>
      <c r="Y433" s="507"/>
    </row>
    <row r="434" spans="1:25">
      <c r="A434" s="507"/>
      <c r="E434" s="507"/>
      <c r="F434" s="510"/>
      <c r="G434" s="510"/>
      <c r="H434" s="507"/>
      <c r="I434" s="507"/>
      <c r="J434" s="507"/>
      <c r="K434" s="507"/>
      <c r="L434" s="507"/>
      <c r="M434" s="507"/>
      <c r="N434" s="507"/>
      <c r="O434" s="507"/>
      <c r="P434" s="507"/>
      <c r="Q434" s="507"/>
      <c r="R434" s="507"/>
      <c r="S434" s="507"/>
      <c r="T434" s="507"/>
      <c r="U434" s="507"/>
      <c r="V434" s="510"/>
      <c r="W434" s="510"/>
      <c r="X434" s="510"/>
      <c r="Y434" s="507"/>
    </row>
    <row r="435" spans="1:25">
      <c r="A435" s="507"/>
      <c r="E435" s="507"/>
      <c r="F435" s="510"/>
      <c r="G435" s="510"/>
      <c r="H435" s="507"/>
      <c r="I435" s="507"/>
      <c r="J435" s="507"/>
      <c r="K435" s="507"/>
      <c r="L435" s="507"/>
      <c r="M435" s="507"/>
      <c r="N435" s="507"/>
      <c r="O435" s="507"/>
      <c r="P435" s="507"/>
      <c r="Q435" s="507"/>
      <c r="R435" s="507"/>
      <c r="S435" s="507"/>
      <c r="T435" s="507"/>
      <c r="U435" s="507"/>
      <c r="V435" s="510"/>
      <c r="W435" s="510"/>
      <c r="X435" s="510"/>
      <c r="Y435" s="507"/>
    </row>
    <row r="436" spans="1:25">
      <c r="A436" s="507"/>
      <c r="E436" s="507"/>
      <c r="F436" s="510"/>
      <c r="G436" s="510"/>
      <c r="H436" s="507"/>
      <c r="I436" s="507"/>
      <c r="J436" s="507"/>
      <c r="K436" s="507"/>
      <c r="L436" s="507"/>
      <c r="M436" s="507"/>
      <c r="N436" s="507"/>
      <c r="O436" s="507"/>
      <c r="P436" s="507"/>
      <c r="Q436" s="507"/>
      <c r="R436" s="507"/>
      <c r="S436" s="507"/>
      <c r="T436" s="507"/>
      <c r="U436" s="507"/>
      <c r="V436" s="510"/>
      <c r="W436" s="510"/>
      <c r="X436" s="510"/>
      <c r="Y436" s="507"/>
    </row>
    <row r="437" spans="1:25">
      <c r="A437" s="507"/>
      <c r="E437" s="507"/>
      <c r="F437" s="510"/>
      <c r="G437" s="510"/>
      <c r="H437" s="507"/>
      <c r="I437" s="507"/>
      <c r="J437" s="507"/>
      <c r="K437" s="507"/>
      <c r="L437" s="507"/>
      <c r="M437" s="507"/>
      <c r="N437" s="507"/>
      <c r="O437" s="507"/>
      <c r="P437" s="507"/>
      <c r="Q437" s="507"/>
      <c r="R437" s="507"/>
      <c r="S437" s="507"/>
      <c r="T437" s="507"/>
      <c r="U437" s="507"/>
      <c r="V437" s="510"/>
      <c r="W437" s="510"/>
      <c r="X437" s="510"/>
      <c r="Y437" s="507"/>
    </row>
    <row r="438" spans="1:25">
      <c r="A438" s="507"/>
      <c r="E438" s="507"/>
      <c r="F438" s="510"/>
      <c r="G438" s="510"/>
      <c r="H438" s="507"/>
      <c r="I438" s="507"/>
      <c r="J438" s="507"/>
      <c r="K438" s="507"/>
      <c r="L438" s="507"/>
      <c r="M438" s="507"/>
      <c r="N438" s="507"/>
      <c r="O438" s="507"/>
      <c r="P438" s="507"/>
      <c r="Q438" s="507"/>
      <c r="R438" s="507"/>
      <c r="S438" s="507"/>
      <c r="T438" s="507"/>
      <c r="U438" s="507"/>
      <c r="V438" s="510"/>
      <c r="W438" s="510"/>
      <c r="X438" s="510"/>
      <c r="Y438" s="507"/>
    </row>
    <row r="439" spans="1:25">
      <c r="A439" s="507"/>
      <c r="E439" s="507"/>
      <c r="F439" s="510"/>
      <c r="G439" s="510"/>
      <c r="H439" s="507"/>
      <c r="I439" s="507"/>
      <c r="J439" s="507"/>
      <c r="K439" s="507"/>
      <c r="L439" s="507"/>
      <c r="M439" s="507"/>
      <c r="N439" s="507"/>
      <c r="O439" s="507"/>
      <c r="P439" s="507"/>
      <c r="Q439" s="507"/>
      <c r="R439" s="507"/>
      <c r="S439" s="507"/>
      <c r="T439" s="507"/>
      <c r="U439" s="507"/>
      <c r="V439" s="510"/>
      <c r="W439" s="510"/>
      <c r="X439" s="510"/>
      <c r="Y439" s="507"/>
    </row>
    <row r="440" spans="1:25">
      <c r="A440" s="507"/>
      <c r="E440" s="507"/>
      <c r="F440" s="510"/>
      <c r="G440" s="510"/>
      <c r="H440" s="507"/>
      <c r="I440" s="507"/>
      <c r="J440" s="507"/>
      <c r="K440" s="507"/>
      <c r="L440" s="507"/>
      <c r="M440" s="507"/>
      <c r="N440" s="507"/>
      <c r="O440" s="507"/>
      <c r="P440" s="507"/>
      <c r="Q440" s="507"/>
      <c r="R440" s="507"/>
      <c r="S440" s="507"/>
      <c r="T440" s="507"/>
      <c r="U440" s="507"/>
      <c r="V440" s="510"/>
      <c r="W440" s="510"/>
      <c r="X440" s="510"/>
      <c r="Y440" s="507"/>
    </row>
    <row r="441" spans="1:25">
      <c r="A441" s="507"/>
      <c r="E441" s="507"/>
      <c r="F441" s="510"/>
      <c r="G441" s="510"/>
      <c r="H441" s="507"/>
      <c r="I441" s="507"/>
      <c r="J441" s="507"/>
      <c r="K441" s="507"/>
      <c r="L441" s="507"/>
      <c r="M441" s="507"/>
      <c r="N441" s="507"/>
      <c r="O441" s="507"/>
      <c r="P441" s="507"/>
      <c r="Q441" s="507"/>
      <c r="R441" s="507"/>
      <c r="S441" s="507"/>
      <c r="T441" s="507"/>
      <c r="U441" s="507"/>
      <c r="V441" s="510"/>
      <c r="W441" s="510"/>
      <c r="X441" s="510"/>
      <c r="Y441" s="507"/>
    </row>
    <row r="442" spans="1:25">
      <c r="A442" s="507"/>
      <c r="E442" s="507"/>
      <c r="F442" s="510"/>
      <c r="G442" s="510"/>
      <c r="H442" s="507"/>
      <c r="I442" s="507"/>
      <c r="J442" s="507"/>
      <c r="K442" s="507"/>
      <c r="L442" s="507"/>
      <c r="M442" s="507"/>
      <c r="N442" s="507"/>
      <c r="O442" s="507"/>
      <c r="P442" s="507"/>
      <c r="Q442" s="507"/>
      <c r="R442" s="507"/>
      <c r="S442" s="507"/>
      <c r="T442" s="507"/>
      <c r="U442" s="507"/>
      <c r="V442" s="510"/>
      <c r="W442" s="510"/>
      <c r="X442" s="510"/>
      <c r="Y442" s="507"/>
    </row>
    <row r="443" spans="1:25">
      <c r="A443" s="507"/>
      <c r="E443" s="507"/>
      <c r="F443" s="510"/>
      <c r="G443" s="510"/>
      <c r="H443" s="507"/>
      <c r="I443" s="507"/>
      <c r="J443" s="507"/>
      <c r="K443" s="507"/>
      <c r="L443" s="507"/>
      <c r="M443" s="507"/>
      <c r="N443" s="507"/>
      <c r="O443" s="507"/>
      <c r="P443" s="507"/>
      <c r="Q443" s="507"/>
      <c r="R443" s="507"/>
      <c r="S443" s="507"/>
      <c r="T443" s="507"/>
      <c r="U443" s="507"/>
      <c r="V443" s="510"/>
      <c r="W443" s="510"/>
      <c r="X443" s="510"/>
      <c r="Y443" s="507"/>
    </row>
    <row r="444" spans="1:25">
      <c r="A444" s="507"/>
      <c r="E444" s="507"/>
      <c r="F444" s="510"/>
      <c r="G444" s="510"/>
      <c r="H444" s="507"/>
      <c r="I444" s="507"/>
      <c r="J444" s="507"/>
      <c r="K444" s="507"/>
      <c r="L444" s="507"/>
      <c r="M444" s="507"/>
      <c r="N444" s="507"/>
      <c r="O444" s="507"/>
      <c r="P444" s="507"/>
      <c r="Q444" s="507"/>
      <c r="R444" s="507"/>
      <c r="S444" s="507"/>
      <c r="T444" s="507"/>
      <c r="U444" s="507"/>
      <c r="V444" s="510"/>
      <c r="W444" s="510"/>
      <c r="X444" s="510"/>
      <c r="Y444" s="507"/>
    </row>
    <row r="445" spans="1:25">
      <c r="A445" s="507"/>
      <c r="E445" s="507"/>
      <c r="F445" s="510"/>
      <c r="G445" s="510"/>
      <c r="H445" s="507"/>
      <c r="I445" s="507"/>
      <c r="J445" s="507"/>
      <c r="K445" s="507"/>
      <c r="L445" s="507"/>
      <c r="M445" s="507"/>
      <c r="N445" s="507"/>
      <c r="O445" s="507"/>
      <c r="P445" s="507"/>
      <c r="Q445" s="507"/>
      <c r="R445" s="507"/>
      <c r="S445" s="507"/>
      <c r="T445" s="507"/>
      <c r="U445" s="507"/>
      <c r="V445" s="510"/>
      <c r="W445" s="510"/>
      <c r="X445" s="510"/>
      <c r="Y445" s="507"/>
    </row>
    <row r="446" spans="1:25">
      <c r="A446" s="507"/>
      <c r="E446" s="507"/>
      <c r="F446" s="510"/>
      <c r="G446" s="510"/>
      <c r="H446" s="507"/>
      <c r="I446" s="507"/>
      <c r="J446" s="507"/>
      <c r="K446" s="507"/>
      <c r="L446" s="507"/>
      <c r="M446" s="507"/>
      <c r="N446" s="507"/>
      <c r="O446" s="507"/>
      <c r="P446" s="507"/>
      <c r="Q446" s="507"/>
      <c r="R446" s="507"/>
      <c r="S446" s="507"/>
      <c r="T446" s="507"/>
      <c r="U446" s="507"/>
      <c r="V446" s="510"/>
      <c r="W446" s="510"/>
      <c r="X446" s="510"/>
      <c r="Y446" s="507"/>
    </row>
    <row r="447" spans="1:25">
      <c r="A447" s="507"/>
      <c r="E447" s="507"/>
      <c r="F447" s="510"/>
      <c r="G447" s="510"/>
      <c r="H447" s="507"/>
      <c r="I447" s="507"/>
      <c r="J447" s="507"/>
      <c r="K447" s="507"/>
      <c r="L447" s="507"/>
      <c r="M447" s="507"/>
      <c r="N447" s="507"/>
      <c r="O447" s="507"/>
      <c r="P447" s="507"/>
      <c r="Q447" s="507"/>
      <c r="R447" s="507"/>
      <c r="S447" s="507"/>
      <c r="T447" s="507"/>
      <c r="U447" s="507"/>
      <c r="V447" s="510"/>
      <c r="W447" s="510"/>
      <c r="X447" s="510"/>
      <c r="Y447" s="507"/>
    </row>
    <row r="448" spans="1:25">
      <c r="A448" s="507"/>
      <c r="E448" s="507"/>
      <c r="F448" s="510"/>
      <c r="G448" s="510"/>
      <c r="H448" s="507"/>
      <c r="I448" s="507"/>
      <c r="J448" s="507"/>
      <c r="K448" s="507"/>
      <c r="L448" s="507"/>
      <c r="M448" s="507"/>
      <c r="N448" s="507"/>
      <c r="O448" s="507"/>
      <c r="P448" s="507"/>
      <c r="Q448" s="507"/>
      <c r="R448" s="507"/>
      <c r="S448" s="507"/>
      <c r="T448" s="507"/>
      <c r="U448" s="507"/>
      <c r="V448" s="510"/>
      <c r="W448" s="510"/>
      <c r="X448" s="510"/>
      <c r="Y448" s="507"/>
    </row>
    <row r="449" spans="1:25">
      <c r="A449" s="507"/>
      <c r="E449" s="507"/>
      <c r="F449" s="510"/>
      <c r="G449" s="510"/>
      <c r="H449" s="507"/>
      <c r="I449" s="507"/>
      <c r="J449" s="507"/>
      <c r="K449" s="507"/>
      <c r="L449" s="507"/>
      <c r="M449" s="507"/>
      <c r="N449" s="507"/>
      <c r="O449" s="507"/>
      <c r="P449" s="507"/>
      <c r="Q449" s="507"/>
      <c r="R449" s="507"/>
      <c r="S449" s="507"/>
      <c r="T449" s="507"/>
      <c r="U449" s="507"/>
      <c r="V449" s="510"/>
      <c r="W449" s="510"/>
      <c r="X449" s="510"/>
      <c r="Y449" s="507"/>
    </row>
    <row r="450" spans="1:25">
      <c r="A450" s="507"/>
      <c r="E450" s="507"/>
      <c r="F450" s="510"/>
      <c r="G450" s="510"/>
      <c r="H450" s="507"/>
      <c r="I450" s="507"/>
      <c r="J450" s="507"/>
      <c r="K450" s="507"/>
      <c r="L450" s="507"/>
      <c r="M450" s="507"/>
      <c r="N450" s="507"/>
      <c r="O450" s="507"/>
      <c r="P450" s="507"/>
      <c r="Q450" s="507"/>
      <c r="R450" s="507"/>
      <c r="S450" s="507"/>
      <c r="T450" s="507"/>
      <c r="U450" s="507"/>
      <c r="V450" s="510"/>
      <c r="W450" s="510"/>
      <c r="X450" s="510"/>
      <c r="Y450" s="507"/>
    </row>
    <row r="451" spans="1:25">
      <c r="A451" s="507"/>
      <c r="E451" s="507"/>
      <c r="F451" s="510"/>
      <c r="G451" s="510"/>
      <c r="H451" s="507"/>
      <c r="I451" s="507"/>
      <c r="J451" s="507"/>
      <c r="K451" s="507"/>
      <c r="L451" s="507"/>
      <c r="M451" s="507"/>
      <c r="N451" s="507"/>
      <c r="O451" s="507"/>
      <c r="P451" s="507"/>
      <c r="Q451" s="507"/>
      <c r="R451" s="507"/>
      <c r="S451" s="507"/>
      <c r="T451" s="507"/>
      <c r="U451" s="507"/>
      <c r="V451" s="510"/>
      <c r="W451" s="510"/>
      <c r="X451" s="510"/>
      <c r="Y451" s="507"/>
    </row>
    <row r="452" spans="1:25">
      <c r="A452" s="507"/>
      <c r="E452" s="507"/>
      <c r="F452" s="510"/>
      <c r="G452" s="510"/>
      <c r="H452" s="507"/>
      <c r="I452" s="507"/>
      <c r="J452" s="507"/>
      <c r="K452" s="507"/>
      <c r="L452" s="507"/>
      <c r="M452" s="507"/>
      <c r="N452" s="507"/>
      <c r="O452" s="507"/>
      <c r="P452" s="507"/>
      <c r="Q452" s="507"/>
      <c r="R452" s="507"/>
      <c r="S452" s="507"/>
      <c r="T452" s="507"/>
      <c r="U452" s="507"/>
      <c r="V452" s="510"/>
      <c r="W452" s="510"/>
      <c r="X452" s="510"/>
      <c r="Y452" s="507"/>
    </row>
    <row r="453" spans="1:25">
      <c r="A453" s="507"/>
      <c r="E453" s="507"/>
      <c r="F453" s="510"/>
      <c r="G453" s="510"/>
      <c r="H453" s="507"/>
      <c r="I453" s="507"/>
      <c r="J453" s="507"/>
      <c r="K453" s="507"/>
      <c r="L453" s="507"/>
      <c r="M453" s="507"/>
      <c r="N453" s="507"/>
      <c r="O453" s="507"/>
      <c r="P453" s="507"/>
      <c r="Q453" s="507"/>
      <c r="R453" s="507"/>
      <c r="S453" s="507"/>
      <c r="T453" s="507"/>
      <c r="U453" s="507"/>
      <c r="V453" s="510"/>
      <c r="W453" s="510"/>
      <c r="X453" s="510"/>
      <c r="Y453" s="507"/>
    </row>
    <row r="454" spans="1:25">
      <c r="A454" s="507"/>
      <c r="E454" s="507"/>
      <c r="F454" s="510"/>
      <c r="G454" s="510"/>
      <c r="H454" s="507"/>
      <c r="I454" s="507"/>
      <c r="J454" s="507"/>
      <c r="K454" s="507"/>
      <c r="L454" s="507"/>
      <c r="M454" s="507"/>
      <c r="N454" s="507"/>
      <c r="O454" s="507"/>
      <c r="P454" s="507"/>
      <c r="Q454" s="507"/>
      <c r="R454" s="507"/>
      <c r="S454" s="507"/>
      <c r="T454" s="507"/>
      <c r="U454" s="507"/>
      <c r="V454" s="510"/>
      <c r="W454" s="510"/>
      <c r="X454" s="510"/>
      <c r="Y454" s="507"/>
    </row>
    <row r="455" spans="1:25">
      <c r="A455" s="507"/>
      <c r="E455" s="507"/>
      <c r="F455" s="510"/>
      <c r="G455" s="510"/>
      <c r="H455" s="507"/>
      <c r="I455" s="507"/>
      <c r="J455" s="507"/>
      <c r="K455" s="507"/>
      <c r="L455" s="507"/>
      <c r="M455" s="507"/>
      <c r="N455" s="507"/>
      <c r="O455" s="507"/>
      <c r="P455" s="507"/>
      <c r="Q455" s="507"/>
      <c r="R455" s="507"/>
      <c r="S455" s="507"/>
      <c r="T455" s="507"/>
      <c r="U455" s="507"/>
      <c r="V455" s="510"/>
      <c r="W455" s="510"/>
      <c r="X455" s="510"/>
      <c r="Y455" s="507"/>
    </row>
    <row r="456" spans="1:25">
      <c r="A456" s="507"/>
      <c r="E456" s="507"/>
      <c r="F456" s="510"/>
      <c r="G456" s="510"/>
      <c r="H456" s="507"/>
      <c r="I456" s="507"/>
      <c r="J456" s="507"/>
      <c r="K456" s="507"/>
      <c r="L456" s="507"/>
      <c r="M456" s="507"/>
      <c r="N456" s="507"/>
      <c r="O456" s="507"/>
      <c r="P456" s="507"/>
      <c r="Q456" s="507"/>
      <c r="R456" s="507"/>
      <c r="S456" s="507"/>
      <c r="T456" s="507"/>
      <c r="U456" s="507"/>
      <c r="V456" s="510"/>
      <c r="W456" s="510"/>
      <c r="X456" s="510"/>
      <c r="Y456" s="507"/>
    </row>
    <row r="457" spans="1:25">
      <c r="A457" s="507"/>
      <c r="E457" s="507"/>
      <c r="F457" s="510"/>
      <c r="G457" s="510"/>
      <c r="H457" s="507"/>
      <c r="I457" s="507"/>
      <c r="J457" s="507"/>
      <c r="K457" s="507"/>
      <c r="L457" s="507"/>
      <c r="M457" s="507"/>
      <c r="N457" s="507"/>
      <c r="O457" s="507"/>
      <c r="P457" s="507"/>
      <c r="Q457" s="507"/>
      <c r="R457" s="507"/>
      <c r="S457" s="507"/>
      <c r="T457" s="507"/>
      <c r="U457" s="507"/>
      <c r="V457" s="510"/>
      <c r="W457" s="510"/>
      <c r="X457" s="510"/>
      <c r="Y457" s="507"/>
    </row>
    <row r="458" spans="1:25">
      <c r="A458" s="507"/>
      <c r="E458" s="507"/>
      <c r="F458" s="510"/>
      <c r="G458" s="510"/>
      <c r="H458" s="507"/>
      <c r="I458" s="507"/>
      <c r="J458" s="507"/>
      <c r="K458" s="507"/>
      <c r="L458" s="507"/>
      <c r="M458" s="507"/>
      <c r="N458" s="507"/>
      <c r="O458" s="507"/>
      <c r="P458" s="507"/>
      <c r="Q458" s="507"/>
      <c r="R458" s="507"/>
      <c r="S458" s="507"/>
      <c r="T458" s="507"/>
      <c r="U458" s="507"/>
      <c r="V458" s="510"/>
      <c r="W458" s="510"/>
      <c r="X458" s="510"/>
      <c r="Y458" s="507"/>
    </row>
    <row r="459" spans="1:25">
      <c r="A459" s="507"/>
      <c r="E459" s="507"/>
      <c r="F459" s="510"/>
      <c r="G459" s="510"/>
      <c r="H459" s="507"/>
      <c r="I459" s="507"/>
      <c r="J459" s="507"/>
      <c r="K459" s="507"/>
      <c r="L459" s="507"/>
      <c r="M459" s="507"/>
      <c r="N459" s="507"/>
      <c r="O459" s="507"/>
      <c r="P459" s="507"/>
      <c r="Q459" s="507"/>
      <c r="R459" s="507"/>
      <c r="S459" s="507"/>
      <c r="T459" s="507"/>
      <c r="U459" s="507"/>
      <c r="V459" s="510"/>
      <c r="W459" s="510"/>
      <c r="X459" s="510"/>
      <c r="Y459" s="507"/>
    </row>
    <row r="460" spans="1:25">
      <c r="A460" s="507"/>
      <c r="E460" s="507"/>
      <c r="F460" s="510"/>
      <c r="G460" s="510"/>
      <c r="H460" s="507"/>
      <c r="I460" s="507"/>
      <c r="J460" s="507"/>
      <c r="K460" s="507"/>
      <c r="L460" s="507"/>
      <c r="M460" s="507"/>
      <c r="N460" s="507"/>
      <c r="O460" s="507"/>
      <c r="P460" s="507"/>
      <c r="Q460" s="507"/>
      <c r="R460" s="507"/>
      <c r="S460" s="507"/>
      <c r="T460" s="507"/>
      <c r="U460" s="507"/>
      <c r="V460" s="510"/>
      <c r="W460" s="510"/>
      <c r="X460" s="510"/>
      <c r="Y460" s="507"/>
    </row>
    <row r="461" spans="1:25">
      <c r="A461" s="507"/>
      <c r="E461" s="507"/>
      <c r="F461" s="510"/>
      <c r="G461" s="510"/>
      <c r="H461" s="507"/>
      <c r="I461" s="507"/>
      <c r="J461" s="507"/>
      <c r="K461" s="507"/>
      <c r="L461" s="507"/>
      <c r="M461" s="507"/>
      <c r="N461" s="507"/>
      <c r="O461" s="507"/>
      <c r="P461" s="507"/>
      <c r="Q461" s="507"/>
      <c r="R461" s="507"/>
      <c r="S461" s="507"/>
      <c r="T461" s="507"/>
      <c r="U461" s="507"/>
      <c r="V461" s="510"/>
      <c r="W461" s="510"/>
      <c r="X461" s="510"/>
      <c r="Y461" s="507"/>
    </row>
    <row r="462" spans="1:25">
      <c r="A462" s="507"/>
      <c r="E462" s="507"/>
      <c r="F462" s="510"/>
      <c r="G462" s="510"/>
      <c r="H462" s="507"/>
      <c r="I462" s="507"/>
      <c r="J462" s="507"/>
      <c r="K462" s="507"/>
      <c r="L462" s="507"/>
      <c r="M462" s="507"/>
      <c r="N462" s="507"/>
      <c r="O462" s="507"/>
      <c r="P462" s="507"/>
      <c r="Q462" s="507"/>
      <c r="R462" s="507"/>
      <c r="S462" s="507"/>
      <c r="T462" s="507"/>
      <c r="U462" s="507"/>
      <c r="V462" s="510"/>
      <c r="W462" s="510"/>
      <c r="X462" s="510"/>
      <c r="Y462" s="507"/>
    </row>
    <row r="463" spans="1:25">
      <c r="A463" s="507"/>
      <c r="E463" s="507"/>
      <c r="F463" s="510"/>
      <c r="G463" s="510"/>
      <c r="H463" s="507"/>
      <c r="I463" s="507"/>
      <c r="J463" s="507"/>
      <c r="K463" s="507"/>
      <c r="L463" s="507"/>
      <c r="M463" s="507"/>
      <c r="N463" s="507"/>
      <c r="O463" s="507"/>
      <c r="P463" s="507"/>
      <c r="Q463" s="507"/>
      <c r="R463" s="507"/>
      <c r="S463" s="507"/>
      <c r="T463" s="507"/>
      <c r="U463" s="507"/>
      <c r="V463" s="510"/>
      <c r="W463" s="510"/>
      <c r="X463" s="510"/>
      <c r="Y463" s="507"/>
    </row>
    <row r="464" spans="1:25">
      <c r="A464" s="507"/>
      <c r="E464" s="507"/>
      <c r="F464" s="510"/>
      <c r="G464" s="510"/>
      <c r="H464" s="507"/>
      <c r="I464" s="507"/>
      <c r="J464" s="507"/>
      <c r="K464" s="507"/>
      <c r="L464" s="507"/>
      <c r="M464" s="507"/>
      <c r="N464" s="507"/>
      <c r="O464" s="507"/>
      <c r="P464" s="507"/>
      <c r="Q464" s="507"/>
      <c r="R464" s="507"/>
      <c r="S464" s="507"/>
      <c r="T464" s="507"/>
      <c r="U464" s="507"/>
      <c r="V464" s="510"/>
      <c r="W464" s="510"/>
      <c r="X464" s="510"/>
      <c r="Y464" s="507"/>
    </row>
    <row r="465" spans="1:25">
      <c r="A465" s="507"/>
      <c r="E465" s="507"/>
      <c r="F465" s="510"/>
      <c r="G465" s="510"/>
      <c r="H465" s="507"/>
      <c r="I465" s="507"/>
      <c r="J465" s="507"/>
      <c r="K465" s="507"/>
      <c r="L465" s="507"/>
      <c r="M465" s="507"/>
      <c r="N465" s="507"/>
      <c r="O465" s="507"/>
      <c r="P465" s="507"/>
      <c r="Q465" s="507"/>
      <c r="R465" s="507"/>
      <c r="S465" s="507"/>
      <c r="T465" s="507"/>
      <c r="U465" s="507"/>
      <c r="V465" s="510"/>
      <c r="W465" s="510"/>
      <c r="X465" s="510"/>
      <c r="Y465" s="507"/>
    </row>
    <row r="466" spans="1:25">
      <c r="A466" s="507"/>
      <c r="E466" s="507"/>
      <c r="F466" s="510"/>
      <c r="G466" s="510"/>
      <c r="H466" s="507"/>
      <c r="I466" s="507"/>
      <c r="J466" s="507"/>
      <c r="K466" s="507"/>
      <c r="L466" s="507"/>
      <c r="M466" s="507"/>
      <c r="N466" s="507"/>
      <c r="O466" s="507"/>
      <c r="P466" s="507"/>
      <c r="Q466" s="507"/>
      <c r="R466" s="507"/>
      <c r="S466" s="507"/>
      <c r="T466" s="507"/>
      <c r="U466" s="507"/>
      <c r="V466" s="510"/>
      <c r="W466" s="510"/>
      <c r="X466" s="510"/>
      <c r="Y466" s="507"/>
    </row>
    <row r="467" spans="1:25">
      <c r="A467" s="507"/>
      <c r="E467" s="507"/>
      <c r="F467" s="510"/>
      <c r="G467" s="510"/>
      <c r="H467" s="507"/>
      <c r="I467" s="507"/>
      <c r="J467" s="507"/>
      <c r="K467" s="507"/>
      <c r="L467" s="507"/>
      <c r="M467" s="507"/>
      <c r="N467" s="507"/>
      <c r="O467" s="507"/>
      <c r="P467" s="507"/>
      <c r="Q467" s="507"/>
      <c r="R467" s="507"/>
      <c r="S467" s="507"/>
      <c r="T467" s="507"/>
      <c r="U467" s="507"/>
      <c r="V467" s="510"/>
      <c r="W467" s="510"/>
      <c r="X467" s="510"/>
      <c r="Y467" s="507"/>
    </row>
    <row r="468" spans="1:25">
      <c r="A468" s="507"/>
      <c r="E468" s="507"/>
      <c r="F468" s="510"/>
      <c r="G468" s="510"/>
      <c r="H468" s="507"/>
      <c r="I468" s="507"/>
      <c r="J468" s="507"/>
      <c r="K468" s="507"/>
      <c r="L468" s="507"/>
      <c r="M468" s="507"/>
      <c r="N468" s="507"/>
      <c r="O468" s="507"/>
      <c r="P468" s="507"/>
      <c r="Q468" s="507"/>
      <c r="R468" s="507"/>
      <c r="S468" s="507"/>
      <c r="T468" s="507"/>
      <c r="U468" s="507"/>
      <c r="V468" s="510"/>
      <c r="W468" s="510"/>
      <c r="X468" s="510"/>
      <c r="Y468" s="507"/>
    </row>
    <row r="469" spans="1:25">
      <c r="A469" s="507"/>
      <c r="E469" s="507"/>
      <c r="F469" s="510"/>
      <c r="G469" s="510"/>
      <c r="H469" s="507"/>
      <c r="I469" s="507"/>
      <c r="J469" s="507"/>
      <c r="K469" s="507"/>
      <c r="L469" s="507"/>
      <c r="M469" s="507"/>
      <c r="N469" s="507"/>
      <c r="O469" s="507"/>
      <c r="P469" s="507"/>
      <c r="Q469" s="507"/>
      <c r="R469" s="507"/>
      <c r="S469" s="507"/>
      <c r="T469" s="507"/>
      <c r="U469" s="507"/>
      <c r="V469" s="510"/>
      <c r="W469" s="510"/>
      <c r="X469" s="510"/>
      <c r="Y469" s="507"/>
    </row>
    <row r="470" spans="1:25">
      <c r="A470" s="507"/>
      <c r="E470" s="507"/>
      <c r="F470" s="510"/>
      <c r="G470" s="510"/>
      <c r="H470" s="507"/>
      <c r="I470" s="507"/>
      <c r="J470" s="507"/>
      <c r="K470" s="507"/>
      <c r="L470" s="507"/>
      <c r="M470" s="507"/>
      <c r="N470" s="507"/>
      <c r="O470" s="507"/>
      <c r="P470" s="507"/>
      <c r="Q470" s="507"/>
      <c r="R470" s="507"/>
      <c r="S470" s="507"/>
      <c r="T470" s="507"/>
      <c r="U470" s="507"/>
      <c r="V470" s="510"/>
      <c r="W470" s="510"/>
      <c r="X470" s="510"/>
      <c r="Y470" s="507"/>
    </row>
    <row r="471" spans="1:25">
      <c r="A471" s="507"/>
      <c r="E471" s="507"/>
      <c r="F471" s="510"/>
      <c r="G471" s="510"/>
      <c r="H471" s="507"/>
      <c r="I471" s="507"/>
      <c r="J471" s="507"/>
      <c r="K471" s="507"/>
      <c r="L471" s="507"/>
      <c r="M471" s="507"/>
      <c r="N471" s="507"/>
      <c r="O471" s="507"/>
      <c r="P471" s="507"/>
      <c r="Q471" s="507"/>
      <c r="R471" s="507"/>
      <c r="S471" s="507"/>
      <c r="T471" s="507"/>
      <c r="U471" s="507"/>
      <c r="V471" s="510"/>
      <c r="W471" s="510"/>
      <c r="X471" s="510"/>
      <c r="Y471" s="507"/>
    </row>
    <row r="472" spans="1:25">
      <c r="A472" s="507"/>
      <c r="E472" s="507"/>
      <c r="F472" s="510"/>
      <c r="G472" s="510"/>
      <c r="H472" s="507"/>
      <c r="I472" s="507"/>
      <c r="J472" s="507"/>
      <c r="K472" s="507"/>
      <c r="L472" s="507"/>
      <c r="M472" s="507"/>
      <c r="N472" s="507"/>
      <c r="O472" s="507"/>
      <c r="P472" s="507"/>
      <c r="Q472" s="507"/>
      <c r="R472" s="507"/>
      <c r="S472" s="507"/>
      <c r="T472" s="507"/>
      <c r="U472" s="507"/>
      <c r="V472" s="510"/>
      <c r="W472" s="510"/>
      <c r="X472" s="510"/>
      <c r="Y472" s="507"/>
    </row>
    <row r="473" spans="1:25">
      <c r="A473" s="507"/>
      <c r="E473" s="507"/>
      <c r="F473" s="510"/>
      <c r="G473" s="510"/>
      <c r="H473" s="507"/>
      <c r="I473" s="507"/>
      <c r="J473" s="507"/>
      <c r="K473" s="507"/>
      <c r="L473" s="507"/>
      <c r="M473" s="507"/>
      <c r="N473" s="507"/>
      <c r="O473" s="507"/>
      <c r="P473" s="507"/>
      <c r="Q473" s="507"/>
      <c r="R473" s="507"/>
      <c r="S473" s="507"/>
      <c r="T473" s="507"/>
      <c r="U473" s="507"/>
      <c r="V473" s="510"/>
      <c r="W473" s="510"/>
      <c r="X473" s="510"/>
      <c r="Y473" s="507"/>
    </row>
    <row r="474" spans="1:25">
      <c r="A474" s="507"/>
      <c r="E474" s="507"/>
      <c r="F474" s="510"/>
      <c r="G474" s="510"/>
      <c r="H474" s="507"/>
      <c r="I474" s="507"/>
      <c r="J474" s="507"/>
      <c r="K474" s="507"/>
      <c r="L474" s="507"/>
      <c r="M474" s="507"/>
      <c r="N474" s="507"/>
      <c r="O474" s="507"/>
      <c r="P474" s="507"/>
      <c r="Q474" s="507"/>
      <c r="R474" s="507"/>
      <c r="S474" s="507"/>
      <c r="T474" s="507"/>
      <c r="U474" s="507"/>
      <c r="V474" s="510"/>
      <c r="W474" s="510"/>
      <c r="X474" s="510"/>
      <c r="Y474" s="507"/>
    </row>
    <row r="475" spans="1:25">
      <c r="A475" s="507"/>
      <c r="E475" s="507"/>
      <c r="F475" s="510"/>
      <c r="G475" s="510"/>
      <c r="H475" s="507"/>
      <c r="I475" s="507"/>
      <c r="J475" s="507"/>
      <c r="K475" s="507"/>
      <c r="L475" s="507"/>
      <c r="M475" s="507"/>
      <c r="N475" s="507"/>
      <c r="O475" s="507"/>
      <c r="P475" s="507"/>
      <c r="Q475" s="507"/>
      <c r="R475" s="507"/>
      <c r="S475" s="507"/>
      <c r="T475" s="507"/>
      <c r="U475" s="507"/>
      <c r="V475" s="510"/>
      <c r="W475" s="510"/>
      <c r="X475" s="510"/>
      <c r="Y475" s="507"/>
    </row>
    <row r="476" spans="1:25">
      <c r="A476" s="507"/>
      <c r="E476" s="507"/>
      <c r="F476" s="510"/>
      <c r="G476" s="510"/>
      <c r="H476" s="507"/>
      <c r="I476" s="507"/>
      <c r="J476" s="507"/>
      <c r="K476" s="507"/>
      <c r="L476" s="507"/>
      <c r="M476" s="507"/>
      <c r="N476" s="507"/>
      <c r="O476" s="507"/>
      <c r="P476" s="507"/>
      <c r="Q476" s="507"/>
      <c r="R476" s="507"/>
      <c r="S476" s="507"/>
      <c r="T476" s="507"/>
      <c r="U476" s="507"/>
      <c r="V476" s="510"/>
      <c r="W476" s="510"/>
      <c r="X476" s="510"/>
      <c r="Y476" s="507"/>
    </row>
    <row r="477" spans="1:25">
      <c r="A477" s="507"/>
      <c r="E477" s="507"/>
      <c r="F477" s="510"/>
      <c r="G477" s="510"/>
      <c r="H477" s="507"/>
      <c r="I477" s="507"/>
      <c r="J477" s="507"/>
      <c r="K477" s="507"/>
      <c r="L477" s="507"/>
      <c r="M477" s="507"/>
      <c r="N477" s="507"/>
      <c r="O477" s="507"/>
      <c r="P477" s="507"/>
      <c r="Q477" s="507"/>
      <c r="R477" s="507"/>
      <c r="S477" s="507"/>
      <c r="T477" s="507"/>
      <c r="U477" s="507"/>
      <c r="V477" s="510"/>
      <c r="W477" s="510"/>
      <c r="X477" s="510"/>
      <c r="Y477" s="507"/>
    </row>
    <row r="478" spans="1:25">
      <c r="A478" s="507"/>
      <c r="E478" s="507"/>
      <c r="F478" s="510"/>
      <c r="G478" s="510"/>
      <c r="H478" s="507"/>
      <c r="I478" s="507"/>
      <c r="J478" s="507"/>
      <c r="K478" s="507"/>
      <c r="L478" s="507"/>
      <c r="M478" s="507"/>
      <c r="N478" s="507"/>
      <c r="O478" s="507"/>
      <c r="P478" s="507"/>
      <c r="Q478" s="507"/>
      <c r="R478" s="507"/>
      <c r="S478" s="507"/>
      <c r="T478" s="507"/>
      <c r="U478" s="507"/>
      <c r="V478" s="510"/>
      <c r="W478" s="510"/>
      <c r="X478" s="510"/>
      <c r="Y478" s="507"/>
    </row>
    <row r="479" spans="1:25">
      <c r="A479" s="507"/>
      <c r="E479" s="507"/>
      <c r="F479" s="510"/>
      <c r="G479" s="510"/>
      <c r="H479" s="507"/>
      <c r="I479" s="507"/>
      <c r="J479" s="507"/>
      <c r="K479" s="507"/>
      <c r="L479" s="507"/>
      <c r="M479" s="507"/>
      <c r="N479" s="507"/>
      <c r="O479" s="507"/>
      <c r="P479" s="507"/>
      <c r="Q479" s="507"/>
      <c r="R479" s="507"/>
      <c r="S479" s="507"/>
      <c r="T479" s="507"/>
      <c r="U479" s="507"/>
      <c r="V479" s="510"/>
      <c r="W479" s="510"/>
      <c r="X479" s="510"/>
      <c r="Y479" s="507"/>
    </row>
    <row r="480" spans="1:25">
      <c r="A480" s="507"/>
      <c r="E480" s="507"/>
      <c r="F480" s="510"/>
      <c r="G480" s="510"/>
      <c r="H480" s="507"/>
      <c r="I480" s="507"/>
      <c r="J480" s="507"/>
      <c r="K480" s="507"/>
      <c r="L480" s="507"/>
      <c r="M480" s="507"/>
      <c r="N480" s="507"/>
      <c r="O480" s="507"/>
      <c r="P480" s="507"/>
      <c r="Q480" s="507"/>
      <c r="R480" s="507"/>
      <c r="S480" s="507"/>
      <c r="T480" s="507"/>
      <c r="U480" s="507"/>
      <c r="V480" s="510"/>
      <c r="W480" s="510"/>
      <c r="X480" s="510"/>
      <c r="Y480" s="507"/>
    </row>
    <row r="481" spans="1:25">
      <c r="A481" s="507"/>
      <c r="E481" s="507"/>
      <c r="F481" s="510"/>
      <c r="G481" s="510"/>
      <c r="H481" s="507"/>
      <c r="I481" s="507"/>
      <c r="J481" s="507"/>
      <c r="K481" s="507"/>
      <c r="L481" s="507"/>
      <c r="M481" s="507"/>
      <c r="N481" s="507"/>
      <c r="O481" s="507"/>
      <c r="P481" s="507"/>
      <c r="Q481" s="507"/>
      <c r="R481" s="507"/>
      <c r="S481" s="507"/>
      <c r="T481" s="507"/>
      <c r="U481" s="507"/>
      <c r="V481" s="510"/>
      <c r="W481" s="510"/>
      <c r="X481" s="510"/>
      <c r="Y481" s="507"/>
    </row>
    <row r="482" spans="1:25">
      <c r="A482" s="507"/>
      <c r="E482" s="507"/>
      <c r="F482" s="510"/>
      <c r="G482" s="510"/>
      <c r="H482" s="507"/>
      <c r="I482" s="507"/>
      <c r="J482" s="507"/>
      <c r="K482" s="507"/>
      <c r="L482" s="507"/>
      <c r="M482" s="507"/>
      <c r="N482" s="507"/>
      <c r="O482" s="507"/>
      <c r="P482" s="507"/>
      <c r="Q482" s="507"/>
      <c r="R482" s="507"/>
      <c r="S482" s="507"/>
      <c r="T482" s="507"/>
      <c r="U482" s="507"/>
      <c r="V482" s="510"/>
      <c r="W482" s="510"/>
      <c r="X482" s="510"/>
      <c r="Y482" s="507"/>
    </row>
    <row r="483" spans="1:25">
      <c r="A483" s="507"/>
      <c r="E483" s="507"/>
      <c r="F483" s="510"/>
      <c r="G483" s="510"/>
      <c r="H483" s="507"/>
      <c r="I483" s="507"/>
      <c r="J483" s="507"/>
      <c r="K483" s="507"/>
      <c r="L483" s="507"/>
      <c r="M483" s="507"/>
      <c r="N483" s="507"/>
      <c r="O483" s="507"/>
      <c r="P483" s="507"/>
      <c r="Q483" s="507"/>
      <c r="R483" s="507"/>
      <c r="S483" s="507"/>
      <c r="T483" s="507"/>
      <c r="U483" s="507"/>
      <c r="V483" s="510"/>
      <c r="W483" s="510"/>
      <c r="X483" s="510"/>
      <c r="Y483" s="507"/>
    </row>
    <row r="484" spans="1:25">
      <c r="A484" s="507"/>
      <c r="E484" s="507"/>
      <c r="F484" s="510"/>
      <c r="G484" s="510"/>
      <c r="H484" s="507"/>
      <c r="I484" s="507"/>
      <c r="J484" s="507"/>
      <c r="K484" s="507"/>
      <c r="L484" s="507"/>
      <c r="M484" s="507"/>
      <c r="N484" s="507"/>
      <c r="O484" s="507"/>
      <c r="P484" s="507"/>
      <c r="Q484" s="507"/>
      <c r="R484" s="507"/>
      <c r="S484" s="507"/>
      <c r="T484" s="507"/>
      <c r="U484" s="507"/>
      <c r="V484" s="510"/>
      <c r="W484" s="510"/>
      <c r="X484" s="510"/>
      <c r="Y484" s="507"/>
    </row>
    <row r="485" spans="1:25">
      <c r="A485" s="507"/>
      <c r="E485" s="507"/>
      <c r="F485" s="510"/>
      <c r="G485" s="510"/>
      <c r="H485" s="507"/>
      <c r="I485" s="507"/>
      <c r="J485" s="507"/>
      <c r="K485" s="507"/>
      <c r="L485" s="507"/>
      <c r="M485" s="507"/>
      <c r="N485" s="507"/>
      <c r="O485" s="507"/>
      <c r="P485" s="507"/>
      <c r="Q485" s="507"/>
      <c r="R485" s="507"/>
      <c r="S485" s="507"/>
      <c r="T485" s="507"/>
      <c r="U485" s="507"/>
      <c r="V485" s="510"/>
      <c r="W485" s="510"/>
      <c r="X485" s="510"/>
      <c r="Y485" s="507"/>
    </row>
    <row r="486" spans="1:25">
      <c r="A486" s="507"/>
      <c r="E486" s="507"/>
      <c r="F486" s="510"/>
      <c r="G486" s="510"/>
      <c r="H486" s="507"/>
      <c r="I486" s="507"/>
      <c r="J486" s="507"/>
      <c r="K486" s="507"/>
      <c r="L486" s="507"/>
      <c r="M486" s="507"/>
      <c r="N486" s="507"/>
      <c r="O486" s="507"/>
      <c r="P486" s="507"/>
      <c r="Q486" s="507"/>
      <c r="R486" s="507"/>
      <c r="S486" s="507"/>
      <c r="T486" s="507"/>
      <c r="U486" s="507"/>
      <c r="V486" s="510"/>
      <c r="W486" s="510"/>
      <c r="X486" s="510"/>
      <c r="Y486" s="507"/>
    </row>
    <row r="487" spans="1:25">
      <c r="A487" s="507"/>
      <c r="E487" s="507"/>
      <c r="F487" s="510"/>
      <c r="G487" s="510"/>
      <c r="H487" s="507"/>
      <c r="I487" s="507"/>
      <c r="J487" s="507"/>
      <c r="K487" s="507"/>
      <c r="L487" s="507"/>
      <c r="M487" s="507"/>
      <c r="N487" s="507"/>
      <c r="O487" s="507"/>
      <c r="P487" s="507"/>
      <c r="Q487" s="507"/>
      <c r="R487" s="507"/>
      <c r="S487" s="507"/>
      <c r="T487" s="507"/>
      <c r="U487" s="507"/>
      <c r="V487" s="510"/>
      <c r="W487" s="510"/>
      <c r="X487" s="510"/>
      <c r="Y487" s="507"/>
    </row>
    <row r="488" spans="1:25">
      <c r="A488" s="507"/>
      <c r="E488" s="507"/>
      <c r="F488" s="510"/>
      <c r="G488" s="510"/>
      <c r="H488" s="507"/>
      <c r="I488" s="507"/>
      <c r="J488" s="507"/>
      <c r="K488" s="507"/>
      <c r="L488" s="507"/>
      <c r="M488" s="507"/>
      <c r="N488" s="507"/>
      <c r="O488" s="507"/>
      <c r="P488" s="507"/>
      <c r="Q488" s="507"/>
      <c r="R488" s="507"/>
      <c r="S488" s="507"/>
      <c r="T488" s="507"/>
      <c r="U488" s="507"/>
      <c r="V488" s="510"/>
      <c r="W488" s="510"/>
      <c r="X488" s="510"/>
      <c r="Y488" s="507"/>
    </row>
    <row r="489" spans="1:25">
      <c r="A489" s="507"/>
      <c r="E489" s="507"/>
      <c r="F489" s="510"/>
      <c r="G489" s="510"/>
      <c r="H489" s="507"/>
      <c r="I489" s="507"/>
      <c r="J489" s="507"/>
      <c r="K489" s="507"/>
      <c r="L489" s="507"/>
      <c r="M489" s="507"/>
      <c r="N489" s="507"/>
      <c r="O489" s="507"/>
      <c r="P489" s="507"/>
      <c r="Q489" s="507"/>
      <c r="R489" s="507"/>
      <c r="S489" s="507"/>
      <c r="T489" s="507"/>
      <c r="U489" s="507"/>
      <c r="V489" s="510"/>
      <c r="W489" s="510"/>
      <c r="X489" s="510"/>
      <c r="Y489" s="507"/>
    </row>
    <row r="490" spans="1:25">
      <c r="A490" s="507"/>
      <c r="E490" s="507"/>
      <c r="F490" s="510"/>
      <c r="G490" s="510"/>
      <c r="H490" s="507"/>
      <c r="I490" s="507"/>
      <c r="J490" s="507"/>
      <c r="K490" s="507"/>
      <c r="L490" s="507"/>
      <c r="M490" s="507"/>
      <c r="N490" s="507"/>
      <c r="O490" s="507"/>
      <c r="P490" s="507"/>
      <c r="Q490" s="507"/>
      <c r="R490" s="507"/>
      <c r="S490" s="507"/>
      <c r="T490" s="507"/>
      <c r="U490" s="507"/>
      <c r="V490" s="510"/>
      <c r="W490" s="510"/>
      <c r="X490" s="510"/>
      <c r="Y490" s="507"/>
    </row>
    <row r="491" spans="1:25">
      <c r="A491" s="507"/>
      <c r="E491" s="507"/>
      <c r="F491" s="510"/>
      <c r="G491" s="510"/>
      <c r="H491" s="507"/>
      <c r="I491" s="507"/>
      <c r="J491" s="507"/>
      <c r="K491" s="507"/>
      <c r="L491" s="507"/>
      <c r="M491" s="507"/>
      <c r="N491" s="507"/>
      <c r="O491" s="507"/>
      <c r="P491" s="507"/>
      <c r="Q491" s="507"/>
      <c r="R491" s="507"/>
      <c r="S491" s="507"/>
      <c r="T491" s="507"/>
      <c r="U491" s="507"/>
      <c r="V491" s="510"/>
      <c r="W491" s="510"/>
      <c r="X491" s="510"/>
      <c r="Y491" s="507"/>
    </row>
    <row r="492" spans="1:25">
      <c r="A492" s="507"/>
      <c r="E492" s="507"/>
      <c r="F492" s="510"/>
      <c r="G492" s="510"/>
      <c r="H492" s="507"/>
      <c r="I492" s="507"/>
      <c r="J492" s="507"/>
      <c r="K492" s="507"/>
      <c r="L492" s="507"/>
      <c r="M492" s="507"/>
      <c r="N492" s="507"/>
      <c r="O492" s="507"/>
      <c r="P492" s="507"/>
      <c r="Q492" s="507"/>
      <c r="R492" s="507"/>
      <c r="S492" s="507"/>
      <c r="T492" s="507"/>
      <c r="U492" s="507"/>
      <c r="V492" s="510"/>
      <c r="W492" s="510"/>
      <c r="X492" s="510"/>
      <c r="Y492" s="507"/>
    </row>
    <row r="493" spans="1:25">
      <c r="A493" s="507"/>
      <c r="E493" s="507"/>
      <c r="F493" s="510"/>
      <c r="G493" s="510"/>
      <c r="H493" s="507"/>
      <c r="I493" s="507"/>
      <c r="J493" s="507"/>
      <c r="K493" s="507"/>
      <c r="L493" s="507"/>
      <c r="M493" s="507"/>
      <c r="N493" s="507"/>
      <c r="O493" s="507"/>
      <c r="P493" s="507"/>
      <c r="Q493" s="507"/>
      <c r="R493" s="507"/>
      <c r="S493" s="507"/>
      <c r="T493" s="507"/>
      <c r="U493" s="507"/>
      <c r="V493" s="510"/>
      <c r="W493" s="510"/>
      <c r="X493" s="510"/>
      <c r="Y493" s="507"/>
    </row>
    <row r="494" spans="1:25">
      <c r="A494" s="507"/>
      <c r="E494" s="507"/>
      <c r="F494" s="510"/>
      <c r="G494" s="510"/>
      <c r="H494" s="507"/>
      <c r="I494" s="507"/>
      <c r="J494" s="507"/>
      <c r="K494" s="507"/>
      <c r="L494" s="507"/>
      <c r="M494" s="507"/>
      <c r="N494" s="507"/>
      <c r="O494" s="507"/>
      <c r="P494" s="507"/>
      <c r="Q494" s="507"/>
      <c r="R494" s="507"/>
      <c r="S494" s="507"/>
      <c r="T494" s="507"/>
      <c r="U494" s="507"/>
      <c r="V494" s="510"/>
      <c r="W494" s="510"/>
      <c r="X494" s="510"/>
      <c r="Y494" s="507"/>
    </row>
    <row r="495" spans="1:25">
      <c r="A495" s="507"/>
      <c r="E495" s="507"/>
      <c r="F495" s="510"/>
      <c r="G495" s="510"/>
      <c r="H495" s="507"/>
      <c r="I495" s="507"/>
      <c r="J495" s="507"/>
      <c r="K495" s="507"/>
      <c r="L495" s="507"/>
      <c r="M495" s="507"/>
      <c r="N495" s="507"/>
      <c r="O495" s="507"/>
      <c r="P495" s="507"/>
      <c r="Q495" s="507"/>
      <c r="R495" s="507"/>
      <c r="S495" s="507"/>
      <c r="T495" s="507"/>
      <c r="U495" s="507"/>
      <c r="V495" s="510"/>
      <c r="W495" s="510"/>
      <c r="X495" s="510"/>
      <c r="Y495" s="507"/>
    </row>
    <row r="496" spans="1:25">
      <c r="A496" s="507"/>
      <c r="E496" s="507"/>
      <c r="F496" s="510"/>
      <c r="G496" s="510"/>
      <c r="H496" s="507"/>
      <c r="I496" s="507"/>
      <c r="J496" s="507"/>
      <c r="K496" s="507"/>
      <c r="L496" s="507"/>
      <c r="M496" s="507"/>
      <c r="N496" s="507"/>
      <c r="O496" s="507"/>
      <c r="P496" s="507"/>
      <c r="Q496" s="507"/>
      <c r="R496" s="507"/>
      <c r="S496" s="507"/>
      <c r="T496" s="507"/>
      <c r="U496" s="507"/>
      <c r="V496" s="510"/>
      <c r="W496" s="510"/>
      <c r="X496" s="510"/>
      <c r="Y496" s="507"/>
    </row>
    <row r="497" spans="1:25">
      <c r="A497" s="507"/>
      <c r="E497" s="507"/>
      <c r="F497" s="510"/>
      <c r="G497" s="510"/>
      <c r="H497" s="507"/>
      <c r="I497" s="507"/>
      <c r="J497" s="507"/>
      <c r="K497" s="507"/>
      <c r="L497" s="507"/>
      <c r="M497" s="507"/>
      <c r="N497" s="507"/>
      <c r="O497" s="507"/>
      <c r="P497" s="507"/>
      <c r="Q497" s="507"/>
      <c r="R497" s="507"/>
      <c r="S497" s="507"/>
      <c r="T497" s="507"/>
      <c r="U497" s="507"/>
      <c r="V497" s="510"/>
      <c r="W497" s="510"/>
      <c r="X497" s="510"/>
      <c r="Y497" s="507"/>
    </row>
    <row r="498" spans="1:25">
      <c r="A498" s="507"/>
      <c r="E498" s="507"/>
      <c r="F498" s="510"/>
      <c r="G498" s="510"/>
      <c r="H498" s="507"/>
      <c r="I498" s="507"/>
      <c r="J498" s="507"/>
      <c r="K498" s="507"/>
      <c r="L498" s="507"/>
      <c r="M498" s="507"/>
      <c r="N498" s="507"/>
      <c r="O498" s="507"/>
      <c r="P498" s="507"/>
      <c r="Q498" s="507"/>
      <c r="R498" s="507"/>
      <c r="S498" s="507"/>
      <c r="T498" s="507"/>
      <c r="U498" s="507"/>
      <c r="V498" s="510"/>
      <c r="W498" s="510"/>
      <c r="X498" s="510"/>
      <c r="Y498" s="507"/>
    </row>
    <row r="499" spans="1:25">
      <c r="A499" s="507"/>
      <c r="E499" s="507"/>
      <c r="F499" s="510"/>
      <c r="G499" s="510"/>
      <c r="H499" s="507"/>
      <c r="I499" s="507"/>
      <c r="J499" s="507"/>
      <c r="K499" s="507"/>
      <c r="L499" s="507"/>
      <c r="M499" s="507"/>
      <c r="N499" s="507"/>
      <c r="O499" s="507"/>
      <c r="P499" s="507"/>
      <c r="Q499" s="507"/>
      <c r="R499" s="507"/>
      <c r="S499" s="507"/>
      <c r="T499" s="507"/>
      <c r="U499" s="507"/>
      <c r="V499" s="510"/>
      <c r="W499" s="510"/>
      <c r="X499" s="510"/>
      <c r="Y499" s="507"/>
    </row>
    <row r="500" spans="1:25">
      <c r="A500" s="507"/>
      <c r="E500" s="507"/>
      <c r="F500" s="510"/>
      <c r="G500" s="510"/>
      <c r="H500" s="507"/>
      <c r="I500" s="507"/>
      <c r="J500" s="507"/>
      <c r="K500" s="507"/>
      <c r="L500" s="507"/>
      <c r="M500" s="507"/>
      <c r="N500" s="507"/>
      <c r="O500" s="507"/>
      <c r="P500" s="507"/>
      <c r="Q500" s="507"/>
      <c r="R500" s="507"/>
      <c r="S500" s="507"/>
      <c r="T500" s="507"/>
      <c r="U500" s="507"/>
      <c r="V500" s="510"/>
      <c r="W500" s="510"/>
      <c r="X500" s="510"/>
      <c r="Y500" s="507"/>
    </row>
    <row r="501" spans="1:25">
      <c r="A501" s="507"/>
      <c r="E501" s="507"/>
      <c r="F501" s="510"/>
      <c r="G501" s="510"/>
      <c r="H501" s="507"/>
      <c r="I501" s="507"/>
      <c r="J501" s="507"/>
      <c r="K501" s="507"/>
      <c r="L501" s="507"/>
      <c r="M501" s="507"/>
      <c r="N501" s="507"/>
      <c r="O501" s="507"/>
      <c r="P501" s="507"/>
      <c r="Q501" s="507"/>
      <c r="R501" s="507"/>
      <c r="S501" s="507"/>
      <c r="T501" s="507"/>
      <c r="U501" s="507"/>
      <c r="V501" s="510"/>
      <c r="W501" s="510"/>
      <c r="X501" s="510"/>
      <c r="Y501" s="507"/>
    </row>
    <row r="502" spans="1:25">
      <c r="A502" s="507"/>
      <c r="E502" s="507"/>
      <c r="F502" s="510"/>
      <c r="G502" s="510"/>
      <c r="H502" s="507"/>
      <c r="I502" s="507"/>
      <c r="J502" s="507"/>
      <c r="K502" s="507"/>
      <c r="L502" s="507"/>
      <c r="M502" s="507"/>
      <c r="N502" s="507"/>
      <c r="O502" s="507"/>
      <c r="P502" s="507"/>
      <c r="Q502" s="507"/>
      <c r="R502" s="507"/>
      <c r="S502" s="507"/>
      <c r="T502" s="507"/>
      <c r="U502" s="507"/>
      <c r="V502" s="510"/>
      <c r="W502" s="510"/>
      <c r="X502" s="510"/>
      <c r="Y502" s="507"/>
    </row>
    <row r="503" spans="1:25">
      <c r="A503" s="507"/>
      <c r="E503" s="507"/>
      <c r="F503" s="510"/>
      <c r="G503" s="510"/>
      <c r="H503" s="507"/>
      <c r="I503" s="507"/>
      <c r="J503" s="507"/>
      <c r="K503" s="507"/>
      <c r="L503" s="507"/>
      <c r="M503" s="507"/>
      <c r="N503" s="507"/>
      <c r="O503" s="507"/>
      <c r="P503" s="507"/>
      <c r="Q503" s="507"/>
      <c r="R503" s="507"/>
      <c r="S503" s="507"/>
      <c r="T503" s="507"/>
      <c r="U503" s="507"/>
      <c r="V503" s="510"/>
      <c r="W503" s="510"/>
      <c r="X503" s="510"/>
      <c r="Y503" s="507"/>
    </row>
    <row r="504" spans="1:25">
      <c r="A504" s="507"/>
      <c r="E504" s="507"/>
      <c r="F504" s="510"/>
      <c r="G504" s="510"/>
      <c r="H504" s="507"/>
      <c r="I504" s="507"/>
      <c r="J504" s="507"/>
      <c r="K504" s="507"/>
      <c r="L504" s="507"/>
      <c r="M504" s="507"/>
      <c r="N504" s="507"/>
      <c r="O504" s="507"/>
      <c r="P504" s="507"/>
      <c r="Q504" s="507"/>
      <c r="R504" s="507"/>
      <c r="S504" s="507"/>
      <c r="T504" s="507"/>
      <c r="U504" s="507"/>
      <c r="V504" s="510"/>
      <c r="W504" s="510"/>
      <c r="X504" s="510"/>
      <c r="Y504" s="507"/>
    </row>
    <row r="505" spans="1:25">
      <c r="A505" s="507"/>
      <c r="E505" s="507"/>
      <c r="F505" s="510"/>
      <c r="G505" s="510"/>
      <c r="H505" s="507"/>
      <c r="I505" s="507"/>
      <c r="J505" s="507"/>
      <c r="K505" s="507"/>
      <c r="L505" s="507"/>
      <c r="M505" s="507"/>
      <c r="N505" s="507"/>
      <c r="O505" s="507"/>
      <c r="P505" s="507"/>
      <c r="Q505" s="507"/>
      <c r="R505" s="507"/>
      <c r="S505" s="507"/>
      <c r="T505" s="507"/>
      <c r="U505" s="507"/>
      <c r="V505" s="510"/>
      <c r="W505" s="510"/>
      <c r="X505" s="510"/>
      <c r="Y505" s="507"/>
    </row>
    <row r="506" spans="1:25">
      <c r="A506" s="507"/>
      <c r="E506" s="507"/>
      <c r="F506" s="510"/>
      <c r="G506" s="510"/>
      <c r="H506" s="507"/>
      <c r="I506" s="507"/>
      <c r="J506" s="507"/>
      <c r="K506" s="507"/>
      <c r="L506" s="507"/>
      <c r="M506" s="507"/>
      <c r="N506" s="507"/>
      <c r="O506" s="507"/>
      <c r="P506" s="507"/>
      <c r="Q506" s="507"/>
      <c r="R506" s="507"/>
      <c r="S506" s="507"/>
      <c r="T506" s="507"/>
      <c r="U506" s="507"/>
      <c r="V506" s="510"/>
      <c r="W506" s="510"/>
      <c r="X506" s="510"/>
      <c r="Y506" s="507"/>
    </row>
    <row r="507" spans="1:25">
      <c r="A507" s="507"/>
      <c r="E507" s="507"/>
      <c r="F507" s="510"/>
      <c r="G507" s="510"/>
      <c r="H507" s="507"/>
      <c r="I507" s="507"/>
      <c r="J507" s="507"/>
      <c r="K507" s="507"/>
      <c r="L507" s="507"/>
      <c r="M507" s="507"/>
      <c r="N507" s="507"/>
      <c r="O507" s="507"/>
      <c r="P507" s="507"/>
      <c r="Q507" s="507"/>
      <c r="R507" s="507"/>
      <c r="S507" s="507"/>
      <c r="T507" s="507"/>
      <c r="U507" s="507"/>
      <c r="V507" s="510"/>
      <c r="W507" s="510"/>
      <c r="X507" s="510"/>
      <c r="Y507" s="507"/>
    </row>
    <row r="508" spans="1:25">
      <c r="A508" s="507"/>
      <c r="E508" s="507"/>
      <c r="F508" s="510"/>
      <c r="G508" s="510"/>
      <c r="H508" s="507"/>
      <c r="I508" s="507"/>
      <c r="J508" s="507"/>
      <c r="K508" s="507"/>
      <c r="L508" s="507"/>
      <c r="M508" s="507"/>
      <c r="N508" s="507"/>
      <c r="O508" s="507"/>
      <c r="P508" s="507"/>
      <c r="Q508" s="507"/>
      <c r="R508" s="507"/>
      <c r="S508" s="507"/>
      <c r="T508" s="507"/>
      <c r="U508" s="507"/>
      <c r="V508" s="510"/>
      <c r="W508" s="510"/>
      <c r="X508" s="510"/>
      <c r="Y508" s="507"/>
    </row>
    <row r="509" spans="1:25">
      <c r="A509" s="507"/>
      <c r="E509" s="507"/>
      <c r="F509" s="510"/>
      <c r="G509" s="510"/>
      <c r="H509" s="507"/>
      <c r="I509" s="507"/>
      <c r="J509" s="507"/>
      <c r="K509" s="507"/>
      <c r="L509" s="507"/>
      <c r="M509" s="507"/>
      <c r="N509" s="507"/>
      <c r="O509" s="507"/>
      <c r="P509" s="507"/>
      <c r="Q509" s="507"/>
      <c r="R509" s="507"/>
      <c r="S509" s="507"/>
      <c r="T509" s="507"/>
      <c r="U509" s="507"/>
      <c r="V509" s="510"/>
      <c r="W509" s="510"/>
      <c r="X509" s="510"/>
      <c r="Y509" s="507"/>
    </row>
    <row r="510" spans="1:25">
      <c r="A510" s="507"/>
      <c r="E510" s="507"/>
      <c r="F510" s="510"/>
      <c r="G510" s="510"/>
      <c r="H510" s="507"/>
      <c r="I510" s="507"/>
      <c r="J510" s="507"/>
      <c r="K510" s="507"/>
      <c r="L510" s="507"/>
      <c r="M510" s="507"/>
      <c r="N510" s="507"/>
      <c r="O510" s="507"/>
      <c r="P510" s="507"/>
      <c r="Q510" s="507"/>
      <c r="R510" s="507"/>
      <c r="S510" s="507"/>
      <c r="T510" s="507"/>
      <c r="U510" s="507"/>
      <c r="V510" s="510"/>
      <c r="W510" s="510"/>
      <c r="X510" s="510"/>
      <c r="Y510" s="507"/>
    </row>
    <row r="511" spans="1:25">
      <c r="A511" s="507"/>
      <c r="E511" s="507"/>
      <c r="F511" s="510"/>
      <c r="G511" s="510"/>
      <c r="H511" s="507"/>
      <c r="I511" s="507"/>
      <c r="J511" s="507"/>
      <c r="K511" s="507"/>
      <c r="L511" s="507"/>
      <c r="M511" s="507"/>
      <c r="N511" s="507"/>
      <c r="O511" s="507"/>
      <c r="P511" s="507"/>
      <c r="Q511" s="507"/>
      <c r="R511" s="507"/>
      <c r="S511" s="507"/>
      <c r="T511" s="507"/>
      <c r="U511" s="507"/>
      <c r="V511" s="510"/>
      <c r="W511" s="510"/>
      <c r="X511" s="510"/>
      <c r="Y511" s="507"/>
    </row>
    <row r="512" spans="1:25">
      <c r="A512" s="507"/>
      <c r="E512" s="507"/>
      <c r="F512" s="510"/>
      <c r="G512" s="510"/>
      <c r="H512" s="507"/>
      <c r="I512" s="507"/>
      <c r="J512" s="507"/>
      <c r="K512" s="507"/>
      <c r="L512" s="507"/>
      <c r="M512" s="507"/>
      <c r="N512" s="507"/>
      <c r="O512" s="507"/>
      <c r="P512" s="507"/>
      <c r="Q512" s="507"/>
      <c r="R512" s="507"/>
      <c r="S512" s="507"/>
      <c r="T512" s="507"/>
      <c r="U512" s="507"/>
      <c r="V512" s="510"/>
      <c r="W512" s="510"/>
      <c r="X512" s="510"/>
      <c r="Y512" s="507"/>
    </row>
    <row r="513" spans="1:25">
      <c r="A513" s="507"/>
      <c r="E513" s="507"/>
      <c r="F513" s="510"/>
      <c r="G513" s="510"/>
      <c r="H513" s="507"/>
      <c r="I513" s="507"/>
      <c r="J513" s="507"/>
      <c r="K513" s="507"/>
      <c r="L513" s="507"/>
      <c r="M513" s="507"/>
      <c r="N513" s="507"/>
      <c r="O513" s="507"/>
      <c r="P513" s="507"/>
      <c r="Q513" s="507"/>
      <c r="R513" s="507"/>
      <c r="S513" s="507"/>
      <c r="T513" s="507"/>
      <c r="U513" s="507"/>
      <c r="V513" s="510"/>
      <c r="W513" s="510"/>
      <c r="X513" s="510"/>
      <c r="Y513" s="507"/>
    </row>
    <row r="514" spans="1:25">
      <c r="A514" s="507"/>
      <c r="E514" s="507"/>
      <c r="F514" s="510"/>
      <c r="G514" s="510"/>
      <c r="H514" s="507"/>
      <c r="I514" s="507"/>
      <c r="J514" s="507"/>
      <c r="K514" s="507"/>
      <c r="L514" s="507"/>
      <c r="M514" s="507"/>
      <c r="N514" s="507"/>
      <c r="O514" s="507"/>
      <c r="P514" s="507"/>
      <c r="Q514" s="507"/>
      <c r="R514" s="507"/>
      <c r="S514" s="507"/>
      <c r="T514" s="507"/>
      <c r="U514" s="507"/>
      <c r="V514" s="510"/>
      <c r="W514" s="510"/>
      <c r="X514" s="510"/>
      <c r="Y514" s="507"/>
    </row>
    <row r="515" spans="1:25">
      <c r="A515" s="507"/>
      <c r="E515" s="507"/>
      <c r="F515" s="510"/>
      <c r="G515" s="510"/>
      <c r="H515" s="507"/>
      <c r="I515" s="507"/>
      <c r="J515" s="507"/>
      <c r="K515" s="507"/>
      <c r="L515" s="507"/>
      <c r="M515" s="507"/>
      <c r="N515" s="507"/>
      <c r="O515" s="507"/>
      <c r="P515" s="507"/>
      <c r="Q515" s="507"/>
      <c r="R515" s="507"/>
      <c r="S515" s="507"/>
      <c r="T515" s="507"/>
      <c r="U515" s="507"/>
      <c r="V515" s="510"/>
      <c r="W515" s="510"/>
      <c r="X515" s="510"/>
      <c r="Y515" s="507"/>
    </row>
    <row r="516" spans="1:25">
      <c r="A516" s="507"/>
      <c r="E516" s="507"/>
      <c r="F516" s="510"/>
      <c r="G516" s="510"/>
      <c r="H516" s="507"/>
      <c r="I516" s="507"/>
      <c r="J516" s="507"/>
      <c r="K516" s="507"/>
      <c r="L516" s="507"/>
      <c r="M516" s="507"/>
      <c r="N516" s="507"/>
      <c r="O516" s="507"/>
      <c r="P516" s="507"/>
      <c r="Q516" s="507"/>
      <c r="R516" s="507"/>
      <c r="S516" s="507"/>
      <c r="T516" s="507"/>
      <c r="U516" s="507"/>
      <c r="V516" s="510"/>
      <c r="W516" s="510"/>
      <c r="X516" s="510"/>
      <c r="Y516" s="507"/>
    </row>
    <row r="517" spans="1:25">
      <c r="A517" s="507"/>
      <c r="E517" s="507"/>
      <c r="F517" s="510"/>
      <c r="G517" s="510"/>
      <c r="H517" s="507"/>
      <c r="I517" s="507"/>
      <c r="J517" s="507"/>
      <c r="K517" s="507"/>
      <c r="L517" s="507"/>
      <c r="M517" s="507"/>
      <c r="N517" s="507"/>
      <c r="O517" s="507"/>
      <c r="P517" s="507"/>
      <c r="Q517" s="507"/>
      <c r="R517" s="507"/>
      <c r="S517" s="507"/>
      <c r="T517" s="507"/>
      <c r="U517" s="507"/>
      <c r="V517" s="510"/>
      <c r="W517" s="510"/>
      <c r="X517" s="510"/>
      <c r="Y517" s="507"/>
    </row>
    <row r="518" spans="1:25">
      <c r="A518" s="507"/>
      <c r="E518" s="507"/>
      <c r="F518" s="510"/>
      <c r="G518" s="510"/>
      <c r="H518" s="507"/>
      <c r="I518" s="507"/>
      <c r="J518" s="507"/>
      <c r="K518" s="507"/>
      <c r="L518" s="507"/>
      <c r="M518" s="507"/>
      <c r="N518" s="507"/>
      <c r="O518" s="507"/>
      <c r="P518" s="507"/>
      <c r="Q518" s="507"/>
      <c r="R518" s="507"/>
      <c r="S518" s="507"/>
      <c r="T518" s="507"/>
      <c r="U518" s="507"/>
      <c r="V518" s="510"/>
      <c r="W518" s="510"/>
      <c r="X518" s="510"/>
      <c r="Y518" s="507"/>
    </row>
    <row r="519" spans="1:25">
      <c r="A519" s="507"/>
      <c r="E519" s="507"/>
      <c r="F519" s="510"/>
      <c r="G519" s="510"/>
      <c r="H519" s="507"/>
      <c r="I519" s="507"/>
      <c r="J519" s="507"/>
      <c r="K519" s="507"/>
      <c r="L519" s="507"/>
      <c r="M519" s="507"/>
      <c r="N519" s="507"/>
      <c r="O519" s="507"/>
      <c r="P519" s="507"/>
      <c r="Q519" s="507"/>
      <c r="R519" s="507"/>
      <c r="S519" s="507"/>
      <c r="T519" s="507"/>
      <c r="U519" s="507"/>
      <c r="V519" s="510"/>
      <c r="W519" s="510"/>
      <c r="X519" s="510"/>
      <c r="Y519" s="507"/>
    </row>
    <row r="520" spans="1:25">
      <c r="A520" s="507"/>
      <c r="E520" s="507"/>
      <c r="F520" s="510"/>
      <c r="G520" s="510"/>
      <c r="H520" s="507"/>
      <c r="I520" s="507"/>
      <c r="J520" s="507"/>
      <c r="K520" s="507"/>
      <c r="L520" s="507"/>
      <c r="M520" s="507"/>
      <c r="N520" s="507"/>
      <c r="O520" s="507"/>
      <c r="P520" s="507"/>
      <c r="Q520" s="507"/>
      <c r="R520" s="507"/>
      <c r="S520" s="507"/>
      <c r="T520" s="507"/>
      <c r="U520" s="507"/>
      <c r="V520" s="510"/>
      <c r="W520" s="510"/>
      <c r="X520" s="510"/>
      <c r="Y520" s="507"/>
    </row>
    <row r="521" spans="1:25">
      <c r="A521" s="507"/>
      <c r="E521" s="507"/>
      <c r="F521" s="510"/>
      <c r="G521" s="510"/>
      <c r="H521" s="507"/>
      <c r="I521" s="507"/>
      <c r="J521" s="507"/>
      <c r="K521" s="507"/>
      <c r="L521" s="507"/>
      <c r="M521" s="507"/>
      <c r="N521" s="507"/>
      <c r="O521" s="507"/>
      <c r="P521" s="507"/>
      <c r="Q521" s="507"/>
      <c r="R521" s="507"/>
      <c r="S521" s="507"/>
      <c r="T521" s="507"/>
      <c r="U521" s="507"/>
      <c r="V521" s="510"/>
      <c r="W521" s="510"/>
      <c r="X521" s="510"/>
      <c r="Y521" s="507"/>
    </row>
    <row r="522" spans="1:25">
      <c r="A522" s="507"/>
      <c r="E522" s="507"/>
      <c r="F522" s="510"/>
      <c r="G522" s="510"/>
      <c r="H522" s="507"/>
      <c r="I522" s="507"/>
      <c r="J522" s="507"/>
      <c r="K522" s="507"/>
      <c r="L522" s="507"/>
      <c r="M522" s="507"/>
      <c r="N522" s="507"/>
      <c r="O522" s="507"/>
      <c r="P522" s="507"/>
      <c r="Q522" s="507"/>
      <c r="R522" s="507"/>
      <c r="S522" s="507"/>
      <c r="T522" s="507"/>
      <c r="U522" s="507"/>
      <c r="V522" s="510"/>
      <c r="W522" s="510"/>
      <c r="X522" s="510"/>
      <c r="Y522" s="507"/>
    </row>
    <row r="523" spans="1:25">
      <c r="A523" s="507"/>
      <c r="E523" s="507"/>
      <c r="F523" s="510"/>
      <c r="G523" s="510"/>
      <c r="H523" s="507"/>
      <c r="I523" s="507"/>
      <c r="J523" s="507"/>
      <c r="K523" s="507"/>
      <c r="L523" s="507"/>
      <c r="M523" s="507"/>
      <c r="N523" s="507"/>
      <c r="O523" s="507"/>
      <c r="P523" s="507"/>
      <c r="Q523" s="507"/>
      <c r="R523" s="507"/>
      <c r="S523" s="507"/>
      <c r="T523" s="507"/>
      <c r="U523" s="507"/>
      <c r="V523" s="510"/>
      <c r="W523" s="510"/>
      <c r="X523" s="510"/>
      <c r="Y523" s="507"/>
    </row>
    <row r="524" spans="1:25">
      <c r="A524" s="507"/>
      <c r="E524" s="507"/>
      <c r="F524" s="510"/>
      <c r="G524" s="510"/>
      <c r="H524" s="507"/>
      <c r="I524" s="507"/>
      <c r="J524" s="507"/>
      <c r="K524" s="507"/>
      <c r="L524" s="507"/>
      <c r="M524" s="507"/>
      <c r="N524" s="507"/>
      <c r="O524" s="507"/>
      <c r="P524" s="507"/>
      <c r="Q524" s="507"/>
      <c r="R524" s="507"/>
      <c r="S524" s="507"/>
      <c r="T524" s="507"/>
      <c r="U524" s="507"/>
      <c r="V524" s="510"/>
      <c r="W524" s="510"/>
      <c r="X524" s="510"/>
      <c r="Y524" s="507"/>
    </row>
    <row r="525" spans="1:25">
      <c r="A525" s="507"/>
      <c r="E525" s="507"/>
      <c r="F525" s="510"/>
      <c r="G525" s="510"/>
      <c r="H525" s="507"/>
      <c r="I525" s="507"/>
      <c r="J525" s="507"/>
      <c r="K525" s="507"/>
      <c r="L525" s="507"/>
      <c r="M525" s="507"/>
      <c r="N525" s="507"/>
      <c r="O525" s="507"/>
      <c r="P525" s="507"/>
      <c r="Q525" s="507"/>
      <c r="R525" s="507"/>
      <c r="S525" s="507"/>
      <c r="T525" s="507"/>
      <c r="U525" s="507"/>
      <c r="V525" s="510"/>
      <c r="W525" s="510"/>
      <c r="X525" s="510"/>
      <c r="Y525" s="507"/>
    </row>
    <row r="526" spans="1:25">
      <c r="A526" s="507"/>
      <c r="E526" s="507"/>
      <c r="F526" s="510"/>
      <c r="G526" s="510"/>
      <c r="H526" s="507"/>
      <c r="I526" s="507"/>
      <c r="J526" s="507"/>
      <c r="K526" s="507"/>
      <c r="L526" s="507"/>
      <c r="M526" s="507"/>
      <c r="N526" s="507"/>
      <c r="O526" s="507"/>
      <c r="P526" s="507"/>
      <c r="Q526" s="507"/>
      <c r="R526" s="507"/>
      <c r="S526" s="507"/>
      <c r="T526" s="507"/>
      <c r="U526" s="507"/>
      <c r="V526" s="510"/>
      <c r="W526" s="510"/>
      <c r="X526" s="510"/>
      <c r="Y526" s="507"/>
    </row>
    <row r="527" spans="1:25">
      <c r="A527" s="507"/>
      <c r="E527" s="507"/>
      <c r="F527" s="510"/>
      <c r="G527" s="510"/>
      <c r="H527" s="507"/>
      <c r="I527" s="507"/>
      <c r="J527" s="507"/>
      <c r="K527" s="507"/>
      <c r="L527" s="507"/>
      <c r="M527" s="507"/>
      <c r="N527" s="507"/>
      <c r="O527" s="507"/>
      <c r="P527" s="507"/>
      <c r="Q527" s="507"/>
      <c r="R527" s="507"/>
      <c r="S527" s="507"/>
      <c r="T527" s="507"/>
      <c r="U527" s="507"/>
      <c r="V527" s="510"/>
      <c r="W527" s="510"/>
      <c r="X527" s="510"/>
      <c r="Y527" s="507"/>
    </row>
    <row r="528" spans="1:25">
      <c r="A528" s="507"/>
      <c r="E528" s="507"/>
      <c r="F528" s="510"/>
      <c r="G528" s="510"/>
      <c r="H528" s="507"/>
      <c r="I528" s="507"/>
      <c r="J528" s="507"/>
      <c r="K528" s="507"/>
      <c r="L528" s="507"/>
      <c r="M528" s="507"/>
      <c r="N528" s="507"/>
      <c r="O528" s="507"/>
      <c r="P528" s="507"/>
      <c r="Q528" s="507"/>
      <c r="R528" s="507"/>
      <c r="S528" s="507"/>
      <c r="T528" s="507"/>
      <c r="U528" s="507"/>
      <c r="V528" s="510"/>
      <c r="W528" s="510"/>
      <c r="X528" s="510"/>
      <c r="Y528" s="507"/>
    </row>
    <row r="529" spans="1:25">
      <c r="A529" s="507"/>
      <c r="E529" s="507"/>
      <c r="F529" s="510"/>
      <c r="G529" s="510"/>
      <c r="H529" s="507"/>
      <c r="I529" s="507"/>
      <c r="J529" s="507"/>
      <c r="K529" s="507"/>
      <c r="L529" s="507"/>
      <c r="M529" s="507"/>
      <c r="N529" s="507"/>
      <c r="O529" s="507"/>
      <c r="P529" s="507"/>
      <c r="Q529" s="507"/>
      <c r="R529" s="507"/>
      <c r="S529" s="507"/>
      <c r="T529" s="507"/>
      <c r="U529" s="507"/>
      <c r="V529" s="510"/>
      <c r="W529" s="510"/>
      <c r="X529" s="510"/>
      <c r="Y529" s="507"/>
    </row>
    <row r="530" spans="1:25">
      <c r="A530" s="507"/>
      <c r="E530" s="507"/>
      <c r="F530" s="510"/>
      <c r="G530" s="510"/>
      <c r="H530" s="507"/>
      <c r="I530" s="507"/>
      <c r="J530" s="507"/>
      <c r="K530" s="507"/>
      <c r="L530" s="507"/>
      <c r="M530" s="507"/>
      <c r="N530" s="507"/>
      <c r="O530" s="507"/>
      <c r="P530" s="507"/>
      <c r="Q530" s="507"/>
      <c r="R530" s="507"/>
      <c r="S530" s="507"/>
      <c r="T530" s="507"/>
      <c r="U530" s="507"/>
      <c r="V530" s="510"/>
      <c r="W530" s="510"/>
      <c r="X530" s="510"/>
      <c r="Y530" s="507"/>
    </row>
    <row r="531" spans="1:25">
      <c r="A531" s="507"/>
      <c r="E531" s="507"/>
      <c r="F531" s="510"/>
      <c r="G531" s="510"/>
      <c r="H531" s="507"/>
      <c r="I531" s="507"/>
      <c r="J531" s="507"/>
      <c r="K531" s="507"/>
      <c r="L531" s="507"/>
      <c r="M531" s="507"/>
      <c r="N531" s="507"/>
      <c r="O531" s="507"/>
      <c r="P531" s="507"/>
      <c r="Q531" s="507"/>
      <c r="R531" s="507"/>
      <c r="S531" s="507"/>
      <c r="T531" s="507"/>
      <c r="U531" s="507"/>
      <c r="V531" s="510"/>
      <c r="W531" s="510"/>
      <c r="X531" s="510"/>
      <c r="Y531" s="507"/>
    </row>
    <row r="532" spans="1:25">
      <c r="A532" s="507"/>
      <c r="E532" s="507"/>
      <c r="F532" s="510"/>
      <c r="G532" s="510"/>
      <c r="H532" s="507"/>
      <c r="I532" s="507"/>
      <c r="J532" s="507"/>
      <c r="K532" s="507"/>
      <c r="L532" s="507"/>
      <c r="M532" s="507"/>
      <c r="N532" s="507"/>
      <c r="O532" s="507"/>
      <c r="P532" s="507"/>
      <c r="Q532" s="507"/>
      <c r="R532" s="507"/>
      <c r="S532" s="507"/>
      <c r="T532" s="507"/>
      <c r="U532" s="507"/>
      <c r="V532" s="510"/>
      <c r="W532" s="510"/>
      <c r="X532" s="510"/>
      <c r="Y532" s="507"/>
    </row>
    <row r="533" spans="1:25">
      <c r="A533" s="507"/>
      <c r="E533" s="507"/>
      <c r="F533" s="510"/>
      <c r="G533" s="510"/>
      <c r="H533" s="507"/>
      <c r="I533" s="507"/>
      <c r="J533" s="507"/>
      <c r="K533" s="507"/>
      <c r="L533" s="507"/>
      <c r="M533" s="507"/>
      <c r="N533" s="507"/>
      <c r="O533" s="507"/>
      <c r="P533" s="507"/>
      <c r="Q533" s="507"/>
      <c r="R533" s="507"/>
      <c r="S533" s="507"/>
      <c r="T533" s="507"/>
      <c r="U533" s="507"/>
      <c r="V533" s="510"/>
      <c r="W533" s="510"/>
      <c r="X533" s="510"/>
      <c r="Y533" s="507"/>
    </row>
    <row r="534" spans="1:25">
      <c r="A534" s="507"/>
      <c r="E534" s="507"/>
      <c r="F534" s="510"/>
      <c r="G534" s="510"/>
      <c r="H534" s="507"/>
      <c r="I534" s="507"/>
      <c r="J534" s="507"/>
      <c r="K534" s="507"/>
      <c r="L534" s="507"/>
      <c r="M534" s="507"/>
      <c r="N534" s="507"/>
      <c r="O534" s="507"/>
      <c r="P534" s="507"/>
      <c r="Q534" s="507"/>
      <c r="R534" s="507"/>
      <c r="S534" s="507"/>
      <c r="T534" s="507"/>
      <c r="U534" s="507"/>
      <c r="V534" s="510"/>
      <c r="W534" s="510"/>
      <c r="X534" s="510"/>
      <c r="Y534" s="507"/>
    </row>
    <row r="535" spans="1:25">
      <c r="A535" s="507"/>
      <c r="E535" s="507"/>
      <c r="F535" s="510"/>
      <c r="G535" s="510"/>
      <c r="H535" s="507"/>
      <c r="I535" s="507"/>
      <c r="J535" s="507"/>
      <c r="K535" s="507"/>
      <c r="L535" s="507"/>
      <c r="M535" s="507"/>
      <c r="N535" s="507"/>
      <c r="O535" s="507"/>
      <c r="P535" s="507"/>
      <c r="Q535" s="507"/>
      <c r="R535" s="507"/>
      <c r="S535" s="507"/>
      <c r="T535" s="507"/>
      <c r="U535" s="507"/>
      <c r="V535" s="510"/>
      <c r="W535" s="510"/>
      <c r="X535" s="510"/>
      <c r="Y535" s="507"/>
    </row>
    <row r="536" spans="1:25">
      <c r="A536" s="507"/>
      <c r="E536" s="507"/>
      <c r="F536" s="510"/>
      <c r="G536" s="510"/>
      <c r="H536" s="507"/>
      <c r="I536" s="507"/>
      <c r="J536" s="507"/>
      <c r="K536" s="507"/>
      <c r="L536" s="507"/>
      <c r="M536" s="507"/>
      <c r="N536" s="507"/>
      <c r="O536" s="507"/>
      <c r="P536" s="507"/>
      <c r="Q536" s="507"/>
      <c r="R536" s="507"/>
      <c r="S536" s="507"/>
      <c r="T536" s="507"/>
      <c r="U536" s="507"/>
      <c r="V536" s="510"/>
      <c r="W536" s="510"/>
      <c r="X536" s="510"/>
      <c r="Y536" s="507"/>
    </row>
    <row r="537" spans="1:25">
      <c r="A537" s="507"/>
      <c r="E537" s="507"/>
      <c r="F537" s="510"/>
      <c r="G537" s="510"/>
      <c r="H537" s="507"/>
      <c r="I537" s="507"/>
      <c r="J537" s="507"/>
      <c r="K537" s="507"/>
      <c r="L537" s="507"/>
      <c r="M537" s="507"/>
      <c r="N537" s="507"/>
      <c r="O537" s="507"/>
      <c r="P537" s="507"/>
      <c r="Q537" s="507"/>
      <c r="R537" s="507"/>
      <c r="S537" s="507"/>
      <c r="T537" s="507"/>
      <c r="U537" s="507"/>
      <c r="V537" s="510"/>
      <c r="W537" s="510"/>
      <c r="X537" s="510"/>
      <c r="Y537" s="507"/>
    </row>
    <row r="538" spans="1:25">
      <c r="A538" s="507"/>
      <c r="E538" s="507"/>
      <c r="F538" s="510"/>
      <c r="G538" s="510"/>
      <c r="H538" s="507"/>
      <c r="I538" s="507"/>
      <c r="J538" s="507"/>
      <c r="K538" s="507"/>
      <c r="L538" s="507"/>
      <c r="M538" s="507"/>
      <c r="N538" s="507"/>
      <c r="O538" s="507"/>
      <c r="P538" s="507"/>
      <c r="Q538" s="507"/>
      <c r="R538" s="507"/>
      <c r="S538" s="507"/>
      <c r="T538" s="507"/>
      <c r="U538" s="507"/>
      <c r="V538" s="510"/>
      <c r="W538" s="510"/>
      <c r="X538" s="510"/>
      <c r="Y538" s="507"/>
    </row>
    <row r="539" spans="1:25">
      <c r="A539" s="507"/>
      <c r="E539" s="507"/>
      <c r="F539" s="510"/>
      <c r="G539" s="510"/>
      <c r="H539" s="507"/>
      <c r="I539" s="507"/>
      <c r="J539" s="507"/>
      <c r="K539" s="507"/>
      <c r="L539" s="507"/>
      <c r="M539" s="507"/>
      <c r="N539" s="507"/>
      <c r="O539" s="507"/>
      <c r="P539" s="507"/>
      <c r="Q539" s="507"/>
      <c r="R539" s="507"/>
      <c r="S539" s="507"/>
      <c r="T539" s="507"/>
      <c r="U539" s="507"/>
      <c r="V539" s="510"/>
      <c r="W539" s="510"/>
      <c r="X539" s="510"/>
      <c r="Y539" s="507"/>
    </row>
    <row r="540" spans="1:25">
      <c r="A540" s="507"/>
      <c r="E540" s="507"/>
      <c r="F540" s="510"/>
      <c r="G540" s="510"/>
      <c r="H540" s="507"/>
      <c r="I540" s="507"/>
      <c r="J540" s="507"/>
      <c r="K540" s="507"/>
      <c r="L540" s="507"/>
      <c r="M540" s="507"/>
      <c r="N540" s="507"/>
      <c r="O540" s="507"/>
      <c r="P540" s="507"/>
      <c r="Q540" s="507"/>
      <c r="R540" s="507"/>
      <c r="S540" s="507"/>
      <c r="T540" s="507"/>
      <c r="U540" s="507"/>
      <c r="V540" s="510"/>
      <c r="W540" s="510"/>
      <c r="X540" s="510"/>
      <c r="Y540" s="507"/>
    </row>
    <row r="541" spans="1:25">
      <c r="A541" s="507"/>
      <c r="E541" s="507"/>
      <c r="F541" s="510"/>
      <c r="G541" s="510"/>
      <c r="H541" s="507"/>
      <c r="I541" s="507"/>
      <c r="J541" s="507"/>
      <c r="K541" s="507"/>
      <c r="L541" s="507"/>
      <c r="M541" s="507"/>
      <c r="N541" s="507"/>
      <c r="O541" s="507"/>
      <c r="P541" s="507"/>
      <c r="Q541" s="507"/>
      <c r="R541" s="507"/>
      <c r="S541" s="507"/>
      <c r="T541" s="507"/>
      <c r="U541" s="507"/>
      <c r="V541" s="510"/>
      <c r="W541" s="510"/>
      <c r="X541" s="510"/>
      <c r="Y541" s="507"/>
    </row>
    <row r="542" spans="1:25">
      <c r="A542" s="507"/>
      <c r="E542" s="507"/>
      <c r="F542" s="510"/>
      <c r="G542" s="510"/>
      <c r="H542" s="507"/>
      <c r="I542" s="507"/>
      <c r="J542" s="507"/>
      <c r="K542" s="507"/>
      <c r="L542" s="507"/>
      <c r="M542" s="507"/>
      <c r="N542" s="507"/>
      <c r="O542" s="507"/>
      <c r="P542" s="507"/>
      <c r="Q542" s="507"/>
      <c r="R542" s="507"/>
      <c r="S542" s="507"/>
      <c r="T542" s="507"/>
      <c r="U542" s="507"/>
      <c r="V542" s="510"/>
      <c r="W542" s="510"/>
      <c r="X542" s="510"/>
      <c r="Y542" s="507"/>
    </row>
    <row r="543" spans="1:25">
      <c r="A543" s="507"/>
      <c r="E543" s="507"/>
      <c r="F543" s="510"/>
      <c r="G543" s="510"/>
      <c r="H543" s="507"/>
      <c r="I543" s="507"/>
      <c r="J543" s="507"/>
      <c r="K543" s="507"/>
      <c r="L543" s="507"/>
      <c r="M543" s="507"/>
      <c r="N543" s="507"/>
      <c r="O543" s="507"/>
      <c r="P543" s="507"/>
      <c r="Q543" s="507"/>
      <c r="R543" s="507"/>
      <c r="S543" s="507"/>
      <c r="T543" s="507"/>
      <c r="U543" s="507"/>
      <c r="V543" s="510"/>
      <c r="W543" s="510"/>
      <c r="X543" s="510"/>
      <c r="Y543" s="507"/>
    </row>
    <row r="544" spans="1:25">
      <c r="A544" s="507"/>
      <c r="E544" s="507"/>
      <c r="F544" s="510"/>
      <c r="G544" s="510"/>
      <c r="H544" s="507"/>
      <c r="I544" s="507"/>
      <c r="J544" s="507"/>
      <c r="K544" s="507"/>
      <c r="L544" s="507"/>
      <c r="M544" s="507"/>
      <c r="N544" s="507"/>
      <c r="O544" s="507"/>
      <c r="P544" s="507"/>
      <c r="Q544" s="507"/>
      <c r="R544" s="507"/>
      <c r="S544" s="507"/>
      <c r="T544" s="507"/>
      <c r="U544" s="507"/>
      <c r="V544" s="510"/>
      <c r="W544" s="510"/>
      <c r="X544" s="510"/>
      <c r="Y544" s="507"/>
    </row>
    <row r="545" spans="1:25">
      <c r="A545" s="507"/>
      <c r="E545" s="507"/>
      <c r="F545" s="510"/>
      <c r="G545" s="510"/>
      <c r="H545" s="507"/>
      <c r="I545" s="507"/>
      <c r="J545" s="507"/>
      <c r="K545" s="507"/>
      <c r="L545" s="507"/>
      <c r="M545" s="507"/>
      <c r="N545" s="507"/>
      <c r="O545" s="507"/>
      <c r="P545" s="507"/>
      <c r="Q545" s="507"/>
      <c r="R545" s="507"/>
      <c r="S545" s="507"/>
      <c r="T545" s="507"/>
      <c r="U545" s="507"/>
      <c r="V545" s="510"/>
      <c r="W545" s="510"/>
      <c r="X545" s="510"/>
      <c r="Y545" s="507"/>
    </row>
    <row r="546" spans="1:25">
      <c r="A546" s="507"/>
      <c r="E546" s="507"/>
      <c r="F546" s="510"/>
      <c r="G546" s="510"/>
      <c r="H546" s="507"/>
      <c r="I546" s="507"/>
      <c r="J546" s="507"/>
      <c r="K546" s="507"/>
      <c r="L546" s="507"/>
      <c r="M546" s="507"/>
      <c r="N546" s="507"/>
      <c r="O546" s="507"/>
      <c r="P546" s="507"/>
      <c r="Q546" s="507"/>
      <c r="R546" s="507"/>
      <c r="S546" s="507"/>
      <c r="T546" s="507"/>
      <c r="U546" s="507"/>
      <c r="V546" s="510"/>
      <c r="W546" s="510"/>
      <c r="X546" s="510"/>
      <c r="Y546" s="507"/>
    </row>
    <row r="547" spans="1:25">
      <c r="A547" s="507"/>
      <c r="E547" s="507"/>
      <c r="F547" s="510"/>
      <c r="G547" s="510"/>
      <c r="H547" s="507"/>
      <c r="I547" s="507"/>
      <c r="J547" s="507"/>
      <c r="K547" s="507"/>
      <c r="L547" s="507"/>
      <c r="M547" s="507"/>
      <c r="N547" s="507"/>
      <c r="O547" s="507"/>
      <c r="P547" s="507"/>
      <c r="Q547" s="507"/>
      <c r="R547" s="507"/>
      <c r="S547" s="507"/>
      <c r="T547" s="507"/>
      <c r="U547" s="507"/>
      <c r="V547" s="510"/>
      <c r="W547" s="510"/>
      <c r="X547" s="510"/>
      <c r="Y547" s="507"/>
    </row>
    <row r="548" spans="1:25">
      <c r="A548" s="507"/>
      <c r="E548" s="507"/>
      <c r="F548" s="510"/>
      <c r="G548" s="510"/>
      <c r="H548" s="507"/>
      <c r="I548" s="507"/>
      <c r="J548" s="507"/>
      <c r="K548" s="507"/>
      <c r="L548" s="507"/>
      <c r="M548" s="507"/>
      <c r="N548" s="507"/>
      <c r="O548" s="507"/>
      <c r="P548" s="507"/>
      <c r="Q548" s="507"/>
      <c r="R548" s="507"/>
      <c r="S548" s="507"/>
      <c r="T548" s="507"/>
      <c r="U548" s="507"/>
      <c r="V548" s="510"/>
      <c r="W548" s="510"/>
      <c r="X548" s="510"/>
      <c r="Y548" s="507"/>
    </row>
    <row r="549" spans="1:25">
      <c r="A549" s="507"/>
      <c r="E549" s="507"/>
      <c r="F549" s="510"/>
      <c r="G549" s="510"/>
      <c r="H549" s="507"/>
      <c r="I549" s="507"/>
      <c r="J549" s="507"/>
      <c r="K549" s="507"/>
      <c r="L549" s="507"/>
      <c r="M549" s="507"/>
      <c r="N549" s="507"/>
      <c r="O549" s="507"/>
      <c r="P549" s="507"/>
      <c r="Q549" s="507"/>
      <c r="R549" s="507"/>
      <c r="S549" s="507"/>
      <c r="T549" s="507"/>
      <c r="U549" s="507"/>
      <c r="V549" s="510"/>
      <c r="W549" s="510"/>
      <c r="X549" s="510"/>
      <c r="Y549" s="507"/>
    </row>
    <row r="550" spans="1:25">
      <c r="A550" s="507"/>
      <c r="E550" s="507"/>
      <c r="F550" s="510"/>
      <c r="G550" s="510"/>
      <c r="H550" s="507"/>
      <c r="I550" s="507"/>
      <c r="J550" s="507"/>
      <c r="K550" s="507"/>
      <c r="L550" s="507"/>
      <c r="M550" s="507"/>
      <c r="N550" s="507"/>
      <c r="O550" s="507"/>
      <c r="P550" s="507"/>
      <c r="Q550" s="507"/>
      <c r="R550" s="507"/>
      <c r="S550" s="507"/>
      <c r="T550" s="507"/>
      <c r="U550" s="507"/>
      <c r="V550" s="510"/>
      <c r="W550" s="510"/>
      <c r="X550" s="510"/>
      <c r="Y550" s="507"/>
    </row>
    <row r="551" spans="1:25">
      <c r="A551" s="507"/>
      <c r="E551" s="507"/>
      <c r="F551" s="510"/>
      <c r="G551" s="510"/>
      <c r="H551" s="507"/>
      <c r="I551" s="507"/>
      <c r="J551" s="507"/>
      <c r="K551" s="507"/>
      <c r="L551" s="507"/>
      <c r="M551" s="507"/>
      <c r="N551" s="507"/>
      <c r="O551" s="507"/>
      <c r="P551" s="507"/>
      <c r="Q551" s="507"/>
      <c r="R551" s="507"/>
      <c r="S551" s="507"/>
      <c r="T551" s="507"/>
      <c r="U551" s="507"/>
      <c r="V551" s="510"/>
      <c r="W551" s="510"/>
      <c r="X551" s="510"/>
      <c r="Y551" s="507"/>
    </row>
    <row r="552" spans="1:25">
      <c r="A552" s="507"/>
      <c r="E552" s="507"/>
      <c r="F552" s="510"/>
      <c r="G552" s="510"/>
      <c r="H552" s="507"/>
      <c r="I552" s="507"/>
      <c r="J552" s="507"/>
      <c r="K552" s="507"/>
      <c r="L552" s="507"/>
      <c r="M552" s="507"/>
      <c r="N552" s="507"/>
      <c r="O552" s="507"/>
      <c r="P552" s="507"/>
      <c r="Q552" s="507"/>
      <c r="R552" s="507"/>
      <c r="S552" s="507"/>
      <c r="T552" s="507"/>
      <c r="U552" s="507"/>
      <c r="V552" s="510"/>
      <c r="W552" s="510"/>
      <c r="X552" s="510"/>
      <c r="Y552" s="507"/>
    </row>
    <row r="553" spans="1:25">
      <c r="A553" s="507"/>
      <c r="E553" s="507"/>
      <c r="F553" s="510"/>
      <c r="G553" s="510"/>
      <c r="H553" s="507"/>
      <c r="I553" s="507"/>
      <c r="J553" s="507"/>
      <c r="K553" s="507"/>
      <c r="L553" s="507"/>
      <c r="M553" s="507"/>
      <c r="N553" s="507"/>
      <c r="O553" s="507"/>
      <c r="P553" s="507"/>
      <c r="Q553" s="507"/>
      <c r="R553" s="507"/>
      <c r="S553" s="507"/>
      <c r="T553" s="507"/>
      <c r="U553" s="507"/>
      <c r="V553" s="510"/>
      <c r="W553" s="510"/>
      <c r="X553" s="510"/>
      <c r="Y553" s="507"/>
    </row>
    <row r="554" spans="1:25">
      <c r="A554" s="507"/>
      <c r="E554" s="507"/>
      <c r="F554" s="510"/>
      <c r="G554" s="510"/>
      <c r="H554" s="507"/>
      <c r="I554" s="507"/>
      <c r="J554" s="507"/>
      <c r="K554" s="507"/>
      <c r="L554" s="507"/>
      <c r="M554" s="507"/>
      <c r="N554" s="507"/>
      <c r="O554" s="507"/>
      <c r="P554" s="507"/>
      <c r="Q554" s="507"/>
      <c r="R554" s="507"/>
      <c r="S554" s="507"/>
      <c r="T554" s="507"/>
      <c r="U554" s="507"/>
      <c r="V554" s="510"/>
      <c r="W554" s="510"/>
      <c r="X554" s="510"/>
      <c r="Y554" s="507"/>
    </row>
    <row r="555" spans="1:25">
      <c r="A555" s="507"/>
      <c r="E555" s="507"/>
      <c r="F555" s="510"/>
      <c r="G555" s="510"/>
      <c r="H555" s="507"/>
      <c r="I555" s="507"/>
      <c r="J555" s="507"/>
      <c r="K555" s="507"/>
      <c r="L555" s="507"/>
      <c r="M555" s="507"/>
      <c r="N555" s="507"/>
      <c r="O555" s="507"/>
      <c r="P555" s="507"/>
      <c r="Q555" s="507"/>
      <c r="R555" s="507"/>
      <c r="S555" s="507"/>
      <c r="T555" s="507"/>
      <c r="U555" s="507"/>
      <c r="V555" s="510"/>
      <c r="W555" s="510"/>
      <c r="X555" s="510"/>
      <c r="Y555" s="507"/>
    </row>
    <row r="556" spans="1:25">
      <c r="A556" s="507"/>
      <c r="E556" s="507"/>
      <c r="F556" s="510"/>
      <c r="G556" s="510"/>
      <c r="H556" s="507"/>
      <c r="I556" s="507"/>
      <c r="J556" s="507"/>
      <c r="K556" s="507"/>
      <c r="L556" s="507"/>
      <c r="M556" s="507"/>
      <c r="N556" s="507"/>
      <c r="O556" s="507"/>
      <c r="P556" s="507"/>
      <c r="Q556" s="507"/>
      <c r="R556" s="507"/>
      <c r="S556" s="507"/>
      <c r="T556" s="507"/>
      <c r="U556" s="507"/>
      <c r="V556" s="510"/>
      <c r="W556" s="510"/>
      <c r="X556" s="510"/>
      <c r="Y556" s="507"/>
    </row>
    <row r="557" spans="1:25">
      <c r="A557" s="507"/>
      <c r="E557" s="507"/>
      <c r="F557" s="510"/>
      <c r="G557" s="510"/>
      <c r="H557" s="507"/>
      <c r="I557" s="507"/>
      <c r="J557" s="507"/>
      <c r="K557" s="507"/>
      <c r="L557" s="507"/>
      <c r="M557" s="507"/>
      <c r="N557" s="507"/>
      <c r="O557" s="507"/>
      <c r="P557" s="507"/>
      <c r="Q557" s="507"/>
      <c r="R557" s="507"/>
      <c r="S557" s="507"/>
      <c r="T557" s="507"/>
      <c r="U557" s="507"/>
      <c r="V557" s="510"/>
      <c r="W557" s="510"/>
      <c r="X557" s="510"/>
      <c r="Y557" s="507"/>
    </row>
    <row r="558" spans="1:25">
      <c r="A558" s="507"/>
      <c r="E558" s="507"/>
      <c r="F558" s="510"/>
      <c r="G558" s="510"/>
      <c r="H558" s="507"/>
      <c r="I558" s="507"/>
      <c r="J558" s="507"/>
      <c r="K558" s="507"/>
      <c r="L558" s="507"/>
      <c r="M558" s="507"/>
      <c r="N558" s="507"/>
      <c r="O558" s="507"/>
      <c r="P558" s="507"/>
      <c r="Q558" s="507"/>
      <c r="R558" s="507"/>
      <c r="S558" s="507"/>
      <c r="T558" s="507"/>
      <c r="U558" s="507"/>
      <c r="V558" s="510"/>
      <c r="W558" s="510"/>
      <c r="X558" s="510"/>
      <c r="Y558" s="507"/>
    </row>
    <row r="559" spans="1:25">
      <c r="A559" s="507"/>
      <c r="E559" s="507"/>
      <c r="F559" s="510"/>
      <c r="G559" s="510"/>
      <c r="H559" s="507"/>
      <c r="I559" s="507"/>
      <c r="J559" s="507"/>
      <c r="K559" s="507"/>
      <c r="L559" s="507"/>
      <c r="M559" s="507"/>
      <c r="N559" s="507"/>
      <c r="O559" s="507"/>
      <c r="P559" s="507"/>
      <c r="Q559" s="507"/>
      <c r="R559" s="507"/>
      <c r="S559" s="507"/>
      <c r="T559" s="507"/>
      <c r="U559" s="507"/>
      <c r="V559" s="510"/>
      <c r="W559" s="510"/>
      <c r="X559" s="510"/>
      <c r="Y559" s="507"/>
    </row>
    <row r="560" spans="1:25">
      <c r="A560" s="507"/>
      <c r="E560" s="507"/>
      <c r="F560" s="510"/>
      <c r="G560" s="510"/>
      <c r="H560" s="507"/>
      <c r="I560" s="507"/>
      <c r="J560" s="507"/>
      <c r="K560" s="507"/>
      <c r="L560" s="507"/>
      <c r="M560" s="507"/>
      <c r="N560" s="507"/>
      <c r="O560" s="507"/>
      <c r="P560" s="507"/>
      <c r="Q560" s="507"/>
      <c r="R560" s="507"/>
      <c r="S560" s="507"/>
      <c r="T560" s="507"/>
      <c r="U560" s="507"/>
      <c r="V560" s="510"/>
      <c r="W560" s="510"/>
      <c r="X560" s="510"/>
      <c r="Y560" s="507"/>
    </row>
    <row r="561" spans="1:25">
      <c r="A561" s="507"/>
      <c r="E561" s="507"/>
      <c r="F561" s="510"/>
      <c r="G561" s="510"/>
      <c r="H561" s="507"/>
      <c r="I561" s="507"/>
      <c r="J561" s="507"/>
      <c r="K561" s="507"/>
      <c r="L561" s="507"/>
      <c r="M561" s="507"/>
      <c r="N561" s="507"/>
      <c r="O561" s="507"/>
      <c r="P561" s="507"/>
      <c r="Q561" s="507"/>
      <c r="R561" s="507"/>
      <c r="S561" s="507"/>
      <c r="T561" s="507"/>
      <c r="U561" s="507"/>
      <c r="V561" s="510"/>
      <c r="W561" s="510"/>
      <c r="X561" s="510"/>
      <c r="Y561" s="507"/>
    </row>
    <row r="562" spans="1:25">
      <c r="A562" s="507"/>
      <c r="E562" s="507"/>
      <c r="F562" s="510"/>
      <c r="G562" s="510"/>
      <c r="H562" s="507"/>
      <c r="I562" s="507"/>
      <c r="J562" s="507"/>
      <c r="K562" s="507"/>
      <c r="L562" s="507"/>
      <c r="M562" s="507"/>
      <c r="N562" s="507"/>
      <c r="O562" s="507"/>
      <c r="P562" s="507"/>
      <c r="Q562" s="507"/>
      <c r="R562" s="507"/>
      <c r="S562" s="507"/>
      <c r="T562" s="507"/>
      <c r="U562" s="507"/>
      <c r="V562" s="510"/>
      <c r="W562" s="510"/>
      <c r="X562" s="510"/>
      <c r="Y562" s="507"/>
    </row>
    <row r="563" spans="1:25">
      <c r="A563" s="507"/>
      <c r="E563" s="507"/>
      <c r="F563" s="510"/>
      <c r="G563" s="510"/>
      <c r="H563" s="507"/>
      <c r="I563" s="507"/>
      <c r="J563" s="507"/>
      <c r="K563" s="507"/>
      <c r="L563" s="507"/>
      <c r="M563" s="507"/>
      <c r="N563" s="507"/>
      <c r="O563" s="507"/>
      <c r="P563" s="507"/>
      <c r="Q563" s="507"/>
      <c r="R563" s="507"/>
      <c r="S563" s="507"/>
      <c r="T563" s="507"/>
      <c r="U563" s="507"/>
      <c r="V563" s="510"/>
      <c r="W563" s="510"/>
      <c r="X563" s="510"/>
      <c r="Y563" s="507"/>
    </row>
    <row r="564" spans="1:25">
      <c r="A564" s="507"/>
      <c r="E564" s="507"/>
      <c r="F564" s="510"/>
      <c r="G564" s="510"/>
      <c r="H564" s="507"/>
      <c r="I564" s="507"/>
      <c r="J564" s="507"/>
      <c r="K564" s="507"/>
      <c r="L564" s="507"/>
      <c r="M564" s="507"/>
      <c r="N564" s="507"/>
      <c r="O564" s="507"/>
      <c r="P564" s="507"/>
      <c r="Q564" s="507"/>
      <c r="R564" s="507"/>
      <c r="S564" s="507"/>
      <c r="T564" s="507"/>
      <c r="U564" s="507"/>
      <c r="V564" s="510"/>
      <c r="W564" s="510"/>
      <c r="X564" s="510"/>
      <c r="Y564" s="507"/>
    </row>
    <row r="565" spans="1:25">
      <c r="A565" s="507"/>
      <c r="E565" s="507"/>
      <c r="F565" s="510"/>
      <c r="G565" s="510"/>
      <c r="H565" s="507"/>
      <c r="I565" s="507"/>
      <c r="J565" s="507"/>
      <c r="K565" s="507"/>
      <c r="L565" s="507"/>
      <c r="M565" s="507"/>
      <c r="N565" s="507"/>
      <c r="O565" s="507"/>
      <c r="P565" s="507"/>
      <c r="Q565" s="507"/>
      <c r="R565" s="507"/>
      <c r="S565" s="507"/>
      <c r="T565" s="507"/>
      <c r="U565" s="507"/>
      <c r="V565" s="510"/>
      <c r="W565" s="510"/>
      <c r="X565" s="510"/>
      <c r="Y565" s="507"/>
    </row>
    <row r="566" spans="1:25">
      <c r="A566" s="507"/>
      <c r="E566" s="507"/>
      <c r="F566" s="510"/>
      <c r="G566" s="510"/>
      <c r="H566" s="507"/>
      <c r="I566" s="507"/>
      <c r="J566" s="507"/>
      <c r="K566" s="507"/>
      <c r="L566" s="507"/>
      <c r="M566" s="507"/>
      <c r="N566" s="507"/>
      <c r="O566" s="507"/>
      <c r="P566" s="507"/>
      <c r="Q566" s="507"/>
      <c r="R566" s="507"/>
      <c r="S566" s="507"/>
      <c r="T566" s="507"/>
      <c r="U566" s="507"/>
      <c r="V566" s="510"/>
      <c r="W566" s="510"/>
      <c r="X566" s="510"/>
      <c r="Y566" s="507"/>
    </row>
    <row r="567" spans="1:25">
      <c r="A567" s="507"/>
      <c r="E567" s="507"/>
      <c r="F567" s="510"/>
      <c r="G567" s="510"/>
      <c r="H567" s="507"/>
      <c r="I567" s="507"/>
      <c r="J567" s="507"/>
      <c r="K567" s="507"/>
      <c r="L567" s="507"/>
      <c r="M567" s="507"/>
      <c r="N567" s="507"/>
      <c r="O567" s="507"/>
      <c r="P567" s="507"/>
      <c r="Q567" s="507"/>
      <c r="R567" s="507"/>
      <c r="S567" s="507"/>
      <c r="T567" s="507"/>
      <c r="U567" s="507"/>
      <c r="V567" s="510"/>
      <c r="W567" s="510"/>
      <c r="X567" s="510"/>
      <c r="Y567" s="507"/>
    </row>
    <row r="568" spans="1:25">
      <c r="A568" s="507"/>
      <c r="E568" s="507"/>
      <c r="F568" s="510"/>
      <c r="G568" s="510"/>
      <c r="H568" s="507"/>
      <c r="I568" s="507"/>
      <c r="J568" s="507"/>
      <c r="K568" s="507"/>
      <c r="L568" s="507"/>
      <c r="M568" s="507"/>
      <c r="N568" s="507"/>
      <c r="O568" s="507"/>
      <c r="P568" s="507"/>
      <c r="Q568" s="507"/>
      <c r="R568" s="507"/>
      <c r="S568" s="507"/>
      <c r="T568" s="507"/>
      <c r="U568" s="507"/>
      <c r="V568" s="510"/>
      <c r="W568" s="510"/>
      <c r="X568" s="510"/>
      <c r="Y568" s="507"/>
    </row>
    <row r="569" spans="1:25">
      <c r="A569" s="507"/>
      <c r="E569" s="507"/>
      <c r="F569" s="510"/>
      <c r="G569" s="510"/>
      <c r="H569" s="507"/>
      <c r="I569" s="507"/>
      <c r="J569" s="507"/>
      <c r="K569" s="507"/>
      <c r="L569" s="507"/>
      <c r="M569" s="507"/>
      <c r="N569" s="507"/>
      <c r="O569" s="507"/>
      <c r="P569" s="507"/>
      <c r="Q569" s="507"/>
      <c r="R569" s="507"/>
      <c r="S569" s="507"/>
      <c r="T569" s="507"/>
      <c r="U569" s="507"/>
      <c r="V569" s="510"/>
      <c r="W569" s="510"/>
      <c r="X569" s="510"/>
      <c r="Y569" s="507"/>
    </row>
    <row r="570" spans="1:25">
      <c r="A570" s="507"/>
      <c r="E570" s="507"/>
      <c r="F570" s="510"/>
      <c r="G570" s="510"/>
      <c r="H570" s="507"/>
      <c r="I570" s="507"/>
      <c r="J570" s="507"/>
      <c r="K570" s="507"/>
      <c r="L570" s="507"/>
      <c r="M570" s="507"/>
      <c r="N570" s="507"/>
      <c r="O570" s="507"/>
      <c r="P570" s="507"/>
      <c r="Q570" s="507"/>
      <c r="R570" s="507"/>
      <c r="S570" s="507"/>
      <c r="T570" s="507"/>
      <c r="U570" s="507"/>
      <c r="V570" s="510"/>
      <c r="W570" s="510"/>
      <c r="X570" s="510"/>
      <c r="Y570" s="507"/>
    </row>
    <row r="571" spans="1:25">
      <c r="A571" s="507"/>
      <c r="E571" s="507"/>
      <c r="F571" s="510"/>
      <c r="G571" s="510"/>
      <c r="H571" s="507"/>
      <c r="I571" s="507"/>
      <c r="J571" s="507"/>
      <c r="K571" s="507"/>
      <c r="L571" s="507"/>
      <c r="M571" s="507"/>
      <c r="N571" s="507"/>
      <c r="O571" s="507"/>
      <c r="P571" s="507"/>
      <c r="Q571" s="507"/>
      <c r="R571" s="507"/>
      <c r="S571" s="507"/>
      <c r="T571" s="507"/>
      <c r="U571" s="507"/>
      <c r="V571" s="510"/>
      <c r="W571" s="510"/>
      <c r="X571" s="510"/>
      <c r="Y571" s="507"/>
    </row>
    <row r="572" spans="1:25">
      <c r="A572" s="507"/>
      <c r="E572" s="507"/>
      <c r="F572" s="510"/>
      <c r="G572" s="510"/>
      <c r="H572" s="507"/>
      <c r="I572" s="507"/>
      <c r="J572" s="507"/>
      <c r="K572" s="507"/>
      <c r="L572" s="507"/>
      <c r="M572" s="507"/>
      <c r="N572" s="507"/>
      <c r="O572" s="507"/>
      <c r="P572" s="507"/>
      <c r="Q572" s="507"/>
      <c r="R572" s="507"/>
      <c r="S572" s="507"/>
      <c r="T572" s="507"/>
      <c r="U572" s="507"/>
      <c r="V572" s="510"/>
      <c r="W572" s="510"/>
      <c r="X572" s="510"/>
      <c r="Y572" s="507"/>
    </row>
    <row r="573" spans="1:25">
      <c r="A573" s="507"/>
      <c r="E573" s="507"/>
      <c r="F573" s="510"/>
      <c r="G573" s="510"/>
      <c r="H573" s="507"/>
      <c r="I573" s="507"/>
      <c r="J573" s="507"/>
      <c r="K573" s="507"/>
      <c r="L573" s="507"/>
      <c r="M573" s="507"/>
      <c r="N573" s="507"/>
      <c r="O573" s="507"/>
      <c r="P573" s="507"/>
      <c r="Q573" s="507"/>
      <c r="R573" s="507"/>
      <c r="S573" s="507"/>
      <c r="T573" s="507"/>
      <c r="U573" s="507"/>
      <c r="V573" s="510"/>
      <c r="W573" s="510"/>
      <c r="X573" s="510"/>
      <c r="Y573" s="507"/>
    </row>
    <row r="574" spans="1:25">
      <c r="A574" s="507"/>
      <c r="E574" s="507"/>
      <c r="F574" s="510"/>
      <c r="G574" s="510"/>
      <c r="H574" s="507"/>
      <c r="I574" s="507"/>
      <c r="J574" s="507"/>
      <c r="K574" s="507"/>
      <c r="L574" s="507"/>
      <c r="M574" s="507"/>
      <c r="N574" s="507"/>
      <c r="O574" s="507"/>
      <c r="P574" s="507"/>
      <c r="Q574" s="507"/>
      <c r="R574" s="507"/>
      <c r="S574" s="507"/>
      <c r="T574" s="507"/>
      <c r="U574" s="507"/>
      <c r="V574" s="510"/>
      <c r="W574" s="510"/>
      <c r="X574" s="510"/>
      <c r="Y574" s="507"/>
    </row>
    <row r="575" spans="1:25">
      <c r="A575" s="507"/>
      <c r="E575" s="507"/>
      <c r="F575" s="510"/>
      <c r="G575" s="510"/>
      <c r="H575" s="507"/>
      <c r="I575" s="507"/>
      <c r="J575" s="507"/>
      <c r="K575" s="507"/>
      <c r="L575" s="507"/>
      <c r="M575" s="507"/>
      <c r="N575" s="507"/>
      <c r="O575" s="507"/>
      <c r="P575" s="507"/>
      <c r="Q575" s="507"/>
      <c r="R575" s="507"/>
      <c r="S575" s="507"/>
      <c r="T575" s="507"/>
      <c r="U575" s="507"/>
      <c r="V575" s="510"/>
      <c r="W575" s="510"/>
      <c r="X575" s="510"/>
      <c r="Y575" s="507"/>
    </row>
    <row r="576" spans="1:25">
      <c r="A576" s="507"/>
      <c r="E576" s="507"/>
      <c r="F576" s="510"/>
      <c r="G576" s="510"/>
      <c r="H576" s="507"/>
      <c r="I576" s="507"/>
      <c r="J576" s="507"/>
      <c r="K576" s="507"/>
      <c r="L576" s="507"/>
      <c r="M576" s="507"/>
      <c r="N576" s="507"/>
      <c r="O576" s="507"/>
      <c r="P576" s="507"/>
      <c r="Q576" s="507"/>
      <c r="R576" s="507"/>
      <c r="S576" s="507"/>
      <c r="T576" s="507"/>
      <c r="U576" s="507"/>
      <c r="V576" s="510"/>
      <c r="W576" s="510"/>
      <c r="X576" s="510"/>
      <c r="Y576" s="507"/>
    </row>
    <row r="577" spans="1:25">
      <c r="A577" s="507"/>
      <c r="E577" s="507"/>
      <c r="F577" s="510"/>
      <c r="G577" s="510"/>
      <c r="H577" s="507"/>
      <c r="I577" s="507"/>
      <c r="J577" s="507"/>
      <c r="K577" s="507"/>
      <c r="L577" s="507"/>
      <c r="M577" s="507"/>
      <c r="N577" s="507"/>
      <c r="O577" s="507"/>
      <c r="P577" s="507"/>
      <c r="Q577" s="507"/>
      <c r="R577" s="507"/>
      <c r="S577" s="507"/>
      <c r="T577" s="507"/>
      <c r="U577" s="507"/>
      <c r="V577" s="510"/>
      <c r="W577" s="510"/>
      <c r="X577" s="510"/>
      <c r="Y577" s="507"/>
    </row>
    <row r="578" spans="1:25">
      <c r="A578" s="507"/>
      <c r="E578" s="507"/>
      <c r="F578" s="510"/>
      <c r="G578" s="510"/>
      <c r="H578" s="507"/>
      <c r="I578" s="507"/>
      <c r="J578" s="507"/>
      <c r="K578" s="507"/>
      <c r="L578" s="507"/>
      <c r="M578" s="507"/>
      <c r="N578" s="507"/>
      <c r="O578" s="507"/>
      <c r="P578" s="507"/>
      <c r="Q578" s="507"/>
      <c r="R578" s="507"/>
      <c r="S578" s="507"/>
      <c r="T578" s="507"/>
      <c r="U578" s="507"/>
      <c r="V578" s="510"/>
      <c r="W578" s="510"/>
      <c r="X578" s="510"/>
      <c r="Y578" s="507"/>
    </row>
    <row r="579" spans="1:25">
      <c r="A579" s="507"/>
      <c r="E579" s="507"/>
      <c r="F579" s="510"/>
      <c r="G579" s="510"/>
      <c r="H579" s="507"/>
      <c r="I579" s="507"/>
      <c r="J579" s="507"/>
      <c r="K579" s="507"/>
      <c r="L579" s="507"/>
      <c r="M579" s="507"/>
      <c r="N579" s="507"/>
      <c r="O579" s="507"/>
      <c r="P579" s="507"/>
      <c r="Q579" s="507"/>
      <c r="R579" s="507"/>
      <c r="S579" s="507"/>
      <c r="T579" s="507"/>
      <c r="U579" s="507"/>
      <c r="V579" s="510"/>
      <c r="W579" s="510"/>
      <c r="X579" s="510"/>
      <c r="Y579" s="507"/>
    </row>
    <row r="580" spans="1:25">
      <c r="A580" s="507"/>
      <c r="E580" s="507"/>
      <c r="F580" s="510"/>
      <c r="G580" s="510"/>
      <c r="H580" s="507"/>
      <c r="I580" s="507"/>
      <c r="J580" s="507"/>
      <c r="K580" s="507"/>
      <c r="L580" s="507"/>
      <c r="M580" s="507"/>
      <c r="N580" s="507"/>
      <c r="O580" s="507"/>
      <c r="P580" s="507"/>
      <c r="Q580" s="507"/>
      <c r="R580" s="507"/>
      <c r="S580" s="507"/>
      <c r="T580" s="507"/>
      <c r="U580" s="507"/>
      <c r="V580" s="510"/>
      <c r="W580" s="510"/>
      <c r="X580" s="510"/>
      <c r="Y580" s="507"/>
    </row>
    <row r="581" spans="1:25">
      <c r="A581" s="507"/>
      <c r="E581" s="507"/>
      <c r="F581" s="510"/>
      <c r="G581" s="510"/>
      <c r="H581" s="507"/>
      <c r="I581" s="507"/>
      <c r="J581" s="507"/>
      <c r="K581" s="507"/>
      <c r="L581" s="507"/>
      <c r="M581" s="507"/>
      <c r="N581" s="507"/>
      <c r="O581" s="507"/>
      <c r="P581" s="507"/>
      <c r="Q581" s="507"/>
      <c r="R581" s="507"/>
      <c r="S581" s="507"/>
      <c r="T581" s="507"/>
      <c r="U581" s="507"/>
      <c r="V581" s="510"/>
      <c r="W581" s="510"/>
      <c r="X581" s="510"/>
      <c r="Y581" s="507"/>
    </row>
    <row r="582" spans="1:25">
      <c r="A582" s="507"/>
      <c r="E582" s="507"/>
      <c r="F582" s="510"/>
      <c r="G582" s="510"/>
      <c r="H582" s="507"/>
      <c r="I582" s="507"/>
      <c r="J582" s="507"/>
      <c r="K582" s="507"/>
      <c r="L582" s="507"/>
      <c r="M582" s="507"/>
      <c r="N582" s="507"/>
      <c r="O582" s="507"/>
      <c r="P582" s="507"/>
      <c r="Q582" s="507"/>
      <c r="R582" s="507"/>
      <c r="S582" s="507"/>
      <c r="T582" s="507"/>
      <c r="U582" s="507"/>
      <c r="V582" s="510"/>
      <c r="W582" s="510"/>
      <c r="X582" s="510"/>
      <c r="Y582" s="507"/>
    </row>
    <row r="583" spans="1:25">
      <c r="A583" s="507"/>
      <c r="E583" s="507"/>
      <c r="F583" s="510"/>
      <c r="G583" s="510"/>
      <c r="H583" s="507"/>
      <c r="I583" s="507"/>
      <c r="J583" s="507"/>
      <c r="K583" s="507"/>
      <c r="L583" s="507"/>
      <c r="M583" s="507"/>
      <c r="N583" s="507"/>
      <c r="O583" s="507"/>
      <c r="P583" s="507"/>
      <c r="Q583" s="507"/>
      <c r="R583" s="507"/>
      <c r="S583" s="507"/>
      <c r="T583" s="507"/>
      <c r="U583" s="507"/>
      <c r="V583" s="510"/>
      <c r="W583" s="510"/>
      <c r="X583" s="510"/>
      <c r="Y583" s="507"/>
    </row>
    <row r="584" spans="1:25">
      <c r="A584" s="507"/>
      <c r="E584" s="507"/>
      <c r="F584" s="510"/>
      <c r="G584" s="510"/>
      <c r="H584" s="507"/>
      <c r="I584" s="507"/>
      <c r="J584" s="507"/>
      <c r="K584" s="507"/>
      <c r="L584" s="507"/>
      <c r="M584" s="507"/>
      <c r="N584" s="507"/>
      <c r="O584" s="507"/>
      <c r="P584" s="507"/>
      <c r="Q584" s="507"/>
      <c r="R584" s="507"/>
      <c r="S584" s="507"/>
      <c r="T584" s="507"/>
      <c r="U584" s="507"/>
      <c r="V584" s="510"/>
      <c r="W584" s="510"/>
      <c r="X584" s="510"/>
      <c r="Y584" s="507"/>
    </row>
    <row r="585" spans="1:25">
      <c r="A585" s="507"/>
      <c r="E585" s="507"/>
      <c r="F585" s="510"/>
      <c r="G585" s="510"/>
      <c r="H585" s="507"/>
      <c r="I585" s="507"/>
      <c r="J585" s="507"/>
      <c r="K585" s="507"/>
      <c r="L585" s="507"/>
      <c r="M585" s="507"/>
      <c r="N585" s="507"/>
      <c r="O585" s="507"/>
      <c r="P585" s="507"/>
      <c r="Q585" s="507"/>
      <c r="R585" s="507"/>
      <c r="S585" s="507"/>
      <c r="T585" s="507"/>
      <c r="U585" s="507"/>
      <c r="V585" s="510"/>
      <c r="W585" s="510"/>
      <c r="X585" s="510"/>
      <c r="Y585" s="507"/>
    </row>
    <row r="586" spans="1:25">
      <c r="A586" s="507"/>
      <c r="E586" s="507"/>
      <c r="F586" s="510"/>
      <c r="G586" s="510"/>
      <c r="H586" s="507"/>
      <c r="I586" s="507"/>
      <c r="J586" s="507"/>
      <c r="K586" s="507"/>
      <c r="L586" s="507"/>
      <c r="M586" s="507"/>
      <c r="N586" s="507"/>
      <c r="O586" s="507"/>
      <c r="P586" s="507"/>
      <c r="Q586" s="507"/>
      <c r="R586" s="507"/>
      <c r="S586" s="507"/>
      <c r="T586" s="507"/>
      <c r="U586" s="507"/>
      <c r="V586" s="510"/>
      <c r="W586" s="510"/>
      <c r="X586" s="510"/>
      <c r="Y586" s="507"/>
    </row>
    <row r="587" spans="1:25">
      <c r="A587" s="507"/>
      <c r="E587" s="507"/>
      <c r="F587" s="510"/>
      <c r="G587" s="510"/>
      <c r="H587" s="507"/>
      <c r="I587" s="507"/>
      <c r="J587" s="507"/>
      <c r="K587" s="507"/>
      <c r="L587" s="507"/>
      <c r="M587" s="507"/>
      <c r="N587" s="507"/>
      <c r="O587" s="507"/>
      <c r="P587" s="507"/>
      <c r="Q587" s="507"/>
      <c r="R587" s="507"/>
      <c r="S587" s="507"/>
      <c r="T587" s="507"/>
      <c r="U587" s="507"/>
      <c r="V587" s="510"/>
      <c r="W587" s="510"/>
      <c r="X587" s="510"/>
      <c r="Y587" s="507"/>
    </row>
    <row r="588" spans="1:25">
      <c r="A588" s="507"/>
      <c r="E588" s="507"/>
      <c r="F588" s="510"/>
      <c r="G588" s="510"/>
      <c r="H588" s="507"/>
      <c r="I588" s="507"/>
      <c r="J588" s="507"/>
      <c r="K588" s="507"/>
      <c r="L588" s="507"/>
      <c r="M588" s="507"/>
      <c r="N588" s="507"/>
      <c r="O588" s="507"/>
      <c r="P588" s="507"/>
      <c r="Q588" s="507"/>
      <c r="R588" s="507"/>
      <c r="S588" s="507"/>
      <c r="T588" s="507"/>
      <c r="U588" s="507"/>
      <c r="V588" s="510"/>
      <c r="W588" s="510"/>
      <c r="X588" s="510"/>
      <c r="Y588" s="507"/>
    </row>
    <row r="589" spans="1:25">
      <c r="A589" s="507"/>
      <c r="E589" s="507"/>
      <c r="F589" s="510"/>
      <c r="G589" s="510"/>
      <c r="H589" s="507"/>
      <c r="I589" s="507"/>
      <c r="J589" s="507"/>
      <c r="K589" s="507"/>
      <c r="L589" s="507"/>
      <c r="M589" s="507"/>
      <c r="N589" s="507"/>
      <c r="O589" s="507"/>
      <c r="P589" s="507"/>
      <c r="Q589" s="507"/>
      <c r="R589" s="507"/>
      <c r="S589" s="507"/>
      <c r="T589" s="507"/>
      <c r="U589" s="507"/>
      <c r="V589" s="510"/>
      <c r="W589" s="510"/>
      <c r="X589" s="510"/>
      <c r="Y589" s="507"/>
    </row>
    <row r="590" spans="1:25">
      <c r="A590" s="507"/>
      <c r="E590" s="507"/>
      <c r="F590" s="510"/>
      <c r="G590" s="510"/>
      <c r="H590" s="507"/>
      <c r="I590" s="507"/>
      <c r="J590" s="507"/>
      <c r="K590" s="507"/>
      <c r="L590" s="507"/>
      <c r="M590" s="507"/>
      <c r="N590" s="507"/>
      <c r="O590" s="507"/>
      <c r="P590" s="507"/>
      <c r="Q590" s="507"/>
      <c r="R590" s="507"/>
      <c r="S590" s="507"/>
      <c r="T590" s="507"/>
      <c r="U590" s="507"/>
      <c r="V590" s="510"/>
      <c r="W590" s="510"/>
      <c r="X590" s="510"/>
      <c r="Y590" s="507"/>
    </row>
    <row r="591" spans="1:25">
      <c r="A591" s="507"/>
      <c r="E591" s="507"/>
      <c r="F591" s="510"/>
      <c r="G591" s="510"/>
      <c r="H591" s="507"/>
      <c r="I591" s="507"/>
      <c r="J591" s="507"/>
      <c r="K591" s="507"/>
      <c r="L591" s="507"/>
      <c r="M591" s="507"/>
      <c r="N591" s="507"/>
      <c r="O591" s="507"/>
      <c r="P591" s="507"/>
      <c r="Q591" s="507"/>
      <c r="R591" s="507"/>
      <c r="S591" s="507"/>
      <c r="T591" s="507"/>
      <c r="U591" s="507"/>
      <c r="V591" s="510"/>
      <c r="W591" s="510"/>
      <c r="X591" s="510"/>
      <c r="Y591" s="507"/>
    </row>
    <row r="592" spans="1:25">
      <c r="A592" s="507"/>
      <c r="E592" s="507"/>
      <c r="F592" s="510"/>
      <c r="G592" s="510"/>
      <c r="H592" s="507"/>
      <c r="I592" s="507"/>
      <c r="J592" s="507"/>
      <c r="K592" s="507"/>
      <c r="L592" s="507"/>
      <c r="M592" s="507"/>
      <c r="N592" s="507"/>
      <c r="O592" s="507"/>
      <c r="P592" s="507"/>
      <c r="Q592" s="507"/>
      <c r="R592" s="507"/>
      <c r="S592" s="507"/>
      <c r="T592" s="507"/>
      <c r="U592" s="507"/>
      <c r="V592" s="510"/>
      <c r="W592" s="510"/>
      <c r="X592" s="510"/>
      <c r="Y592" s="507"/>
    </row>
    <row r="593" spans="1:25">
      <c r="A593" s="507"/>
      <c r="E593" s="507"/>
      <c r="F593" s="510"/>
      <c r="G593" s="510"/>
      <c r="H593" s="507"/>
      <c r="I593" s="507"/>
      <c r="J593" s="507"/>
      <c r="K593" s="507"/>
      <c r="L593" s="507"/>
      <c r="M593" s="507"/>
      <c r="N593" s="507"/>
      <c r="O593" s="507"/>
      <c r="P593" s="507"/>
      <c r="Q593" s="507"/>
      <c r="R593" s="507"/>
      <c r="S593" s="507"/>
      <c r="T593" s="507"/>
      <c r="U593" s="507"/>
      <c r="V593" s="510"/>
      <c r="W593" s="510"/>
      <c r="X593" s="510"/>
      <c r="Y593" s="507"/>
    </row>
    <row r="594" spans="1:25">
      <c r="A594" s="507"/>
      <c r="E594" s="507"/>
      <c r="F594" s="510"/>
      <c r="G594" s="510"/>
      <c r="H594" s="507"/>
      <c r="I594" s="507"/>
      <c r="J594" s="507"/>
      <c r="K594" s="507"/>
      <c r="L594" s="507"/>
      <c r="M594" s="507"/>
      <c r="N594" s="507"/>
      <c r="O594" s="507"/>
      <c r="P594" s="507"/>
      <c r="Q594" s="507"/>
      <c r="R594" s="507"/>
      <c r="S594" s="507"/>
      <c r="T594" s="507"/>
      <c r="U594" s="507"/>
      <c r="V594" s="510"/>
      <c r="W594" s="510"/>
      <c r="X594" s="510"/>
      <c r="Y594" s="507"/>
    </row>
    <row r="595" spans="1:25">
      <c r="A595" s="507"/>
      <c r="E595" s="507"/>
      <c r="F595" s="510"/>
      <c r="G595" s="510"/>
      <c r="H595" s="507"/>
      <c r="I595" s="507"/>
      <c r="J595" s="507"/>
      <c r="K595" s="507"/>
      <c r="L595" s="507"/>
      <c r="M595" s="507"/>
      <c r="N595" s="507"/>
      <c r="O595" s="507"/>
      <c r="P595" s="507"/>
      <c r="Q595" s="507"/>
      <c r="R595" s="507"/>
      <c r="S595" s="507"/>
      <c r="T595" s="507"/>
      <c r="U595" s="507"/>
      <c r="V595" s="510"/>
      <c r="W595" s="510"/>
      <c r="X595" s="510"/>
      <c r="Y595" s="507"/>
    </row>
    <row r="596" spans="1:25">
      <c r="A596" s="507"/>
      <c r="E596" s="507"/>
      <c r="F596" s="510"/>
      <c r="G596" s="510"/>
      <c r="H596" s="507"/>
      <c r="I596" s="507"/>
      <c r="J596" s="507"/>
      <c r="K596" s="507"/>
      <c r="L596" s="507"/>
      <c r="M596" s="507"/>
      <c r="N596" s="507"/>
      <c r="O596" s="507"/>
      <c r="P596" s="507"/>
      <c r="Q596" s="507"/>
      <c r="R596" s="507"/>
      <c r="S596" s="507"/>
      <c r="T596" s="507"/>
      <c r="U596" s="507"/>
      <c r="V596" s="510"/>
      <c r="W596" s="510"/>
      <c r="X596" s="510"/>
      <c r="Y596" s="507"/>
    </row>
    <row r="597" spans="1:25">
      <c r="A597" s="507"/>
      <c r="E597" s="507"/>
      <c r="F597" s="510"/>
      <c r="G597" s="510"/>
      <c r="H597" s="507"/>
      <c r="I597" s="507"/>
      <c r="J597" s="507"/>
      <c r="K597" s="507"/>
      <c r="L597" s="507"/>
      <c r="M597" s="507"/>
      <c r="N597" s="507"/>
      <c r="O597" s="507"/>
      <c r="P597" s="507"/>
      <c r="Q597" s="507"/>
      <c r="R597" s="507"/>
      <c r="S597" s="507"/>
      <c r="T597" s="507"/>
      <c r="U597" s="507"/>
      <c r="V597" s="510"/>
      <c r="W597" s="510"/>
      <c r="X597" s="510"/>
      <c r="Y597" s="507"/>
    </row>
    <row r="598" spans="1:25">
      <c r="A598" s="507"/>
      <c r="E598" s="507"/>
      <c r="F598" s="510"/>
      <c r="G598" s="510"/>
      <c r="H598" s="507"/>
      <c r="I598" s="507"/>
      <c r="J598" s="507"/>
      <c r="K598" s="507"/>
      <c r="L598" s="507"/>
      <c r="M598" s="507"/>
      <c r="N598" s="507"/>
      <c r="O598" s="507"/>
      <c r="P598" s="507"/>
      <c r="Q598" s="507"/>
      <c r="R598" s="507"/>
      <c r="S598" s="507"/>
      <c r="T598" s="507"/>
      <c r="U598" s="507"/>
      <c r="V598" s="510"/>
      <c r="W598" s="510"/>
      <c r="X598" s="510"/>
      <c r="Y598" s="507"/>
    </row>
    <row r="599" spans="1:25">
      <c r="A599" s="507"/>
      <c r="E599" s="507"/>
      <c r="F599" s="510"/>
      <c r="G599" s="510"/>
      <c r="H599" s="507"/>
      <c r="I599" s="507"/>
      <c r="J599" s="507"/>
      <c r="K599" s="507"/>
      <c r="L599" s="507"/>
      <c r="M599" s="507"/>
      <c r="N599" s="507"/>
      <c r="O599" s="507"/>
      <c r="P599" s="507"/>
      <c r="Q599" s="507"/>
      <c r="R599" s="507"/>
      <c r="S599" s="507"/>
      <c r="T599" s="507"/>
      <c r="U599" s="507"/>
      <c r="V599" s="510"/>
      <c r="W599" s="510"/>
      <c r="X599" s="510"/>
      <c r="Y599" s="507"/>
    </row>
    <row r="600" spans="1:25">
      <c r="A600" s="507"/>
      <c r="E600" s="507"/>
      <c r="F600" s="510"/>
      <c r="G600" s="510"/>
      <c r="H600" s="507"/>
      <c r="I600" s="507"/>
      <c r="J600" s="507"/>
      <c r="K600" s="507"/>
      <c r="L600" s="507"/>
      <c r="M600" s="507"/>
      <c r="N600" s="507"/>
      <c r="O600" s="507"/>
      <c r="P600" s="507"/>
      <c r="Q600" s="507"/>
      <c r="R600" s="507"/>
      <c r="S600" s="507"/>
      <c r="T600" s="507"/>
      <c r="U600" s="507"/>
      <c r="V600" s="510"/>
      <c r="W600" s="510"/>
      <c r="X600" s="510"/>
      <c r="Y600" s="507"/>
    </row>
    <row r="601" spans="1:25">
      <c r="A601" s="507"/>
      <c r="E601" s="507"/>
      <c r="F601" s="510"/>
      <c r="G601" s="510"/>
      <c r="H601" s="507"/>
      <c r="I601" s="507"/>
      <c r="J601" s="507"/>
      <c r="K601" s="507"/>
      <c r="L601" s="507"/>
      <c r="M601" s="507"/>
      <c r="N601" s="507"/>
      <c r="O601" s="507"/>
      <c r="P601" s="507"/>
      <c r="Q601" s="507"/>
      <c r="R601" s="507"/>
      <c r="S601" s="507"/>
      <c r="T601" s="507"/>
      <c r="U601" s="507"/>
      <c r="V601" s="510"/>
      <c r="W601" s="510"/>
      <c r="X601" s="510"/>
      <c r="Y601" s="507"/>
    </row>
    <row r="602" spans="1:25">
      <c r="A602" s="507"/>
      <c r="E602" s="507"/>
      <c r="F602" s="510"/>
      <c r="G602" s="510"/>
      <c r="H602" s="507"/>
      <c r="I602" s="507"/>
      <c r="J602" s="507"/>
      <c r="K602" s="507"/>
      <c r="L602" s="507"/>
      <c r="M602" s="507"/>
      <c r="N602" s="507"/>
      <c r="O602" s="507"/>
      <c r="P602" s="507"/>
      <c r="Q602" s="507"/>
      <c r="R602" s="507"/>
      <c r="S602" s="507"/>
      <c r="T602" s="507"/>
      <c r="U602" s="507"/>
      <c r="V602" s="510"/>
      <c r="W602" s="510"/>
      <c r="X602" s="510"/>
      <c r="Y602" s="507"/>
    </row>
    <row r="603" spans="1:25">
      <c r="A603" s="507"/>
      <c r="E603" s="507"/>
      <c r="F603" s="510"/>
      <c r="G603" s="510"/>
      <c r="H603" s="507"/>
      <c r="I603" s="507"/>
      <c r="J603" s="507"/>
      <c r="K603" s="507"/>
      <c r="L603" s="507"/>
      <c r="M603" s="507"/>
      <c r="N603" s="507"/>
      <c r="O603" s="507"/>
      <c r="P603" s="507"/>
      <c r="Q603" s="507"/>
      <c r="R603" s="507"/>
      <c r="S603" s="507"/>
      <c r="T603" s="507"/>
      <c r="U603" s="507"/>
      <c r="V603" s="510"/>
      <c r="W603" s="510"/>
      <c r="X603" s="510"/>
      <c r="Y603" s="507"/>
    </row>
    <row r="604" spans="1:25">
      <c r="A604" s="507"/>
      <c r="E604" s="507"/>
      <c r="F604" s="510"/>
      <c r="G604" s="510"/>
      <c r="H604" s="507"/>
      <c r="I604" s="507"/>
      <c r="J604" s="507"/>
      <c r="K604" s="507"/>
      <c r="L604" s="507"/>
      <c r="M604" s="507"/>
      <c r="N604" s="507"/>
      <c r="O604" s="507"/>
      <c r="P604" s="507"/>
      <c r="Q604" s="507"/>
      <c r="R604" s="507"/>
      <c r="S604" s="507"/>
      <c r="T604" s="507"/>
      <c r="U604" s="507"/>
      <c r="V604" s="510"/>
      <c r="W604" s="510"/>
      <c r="X604" s="510"/>
      <c r="Y604" s="507"/>
    </row>
    <row r="605" spans="1:25">
      <c r="A605" s="507"/>
      <c r="E605" s="507"/>
      <c r="F605" s="510"/>
      <c r="G605" s="510"/>
      <c r="H605" s="507"/>
      <c r="I605" s="507"/>
      <c r="J605" s="507"/>
      <c r="K605" s="507"/>
      <c r="L605" s="507"/>
      <c r="M605" s="507"/>
      <c r="N605" s="507"/>
      <c r="O605" s="507"/>
      <c r="P605" s="507"/>
      <c r="Q605" s="507"/>
      <c r="R605" s="507"/>
      <c r="S605" s="507"/>
      <c r="T605" s="507"/>
      <c r="U605" s="507"/>
      <c r="V605" s="510"/>
      <c r="W605" s="510"/>
      <c r="X605" s="510"/>
      <c r="Y605" s="507"/>
    </row>
    <row r="606" spans="1:25">
      <c r="A606" s="507"/>
      <c r="E606" s="507"/>
      <c r="F606" s="510"/>
      <c r="G606" s="510"/>
      <c r="H606" s="507"/>
      <c r="I606" s="507"/>
      <c r="J606" s="507"/>
      <c r="K606" s="507"/>
      <c r="L606" s="507"/>
      <c r="M606" s="507"/>
      <c r="N606" s="507"/>
      <c r="O606" s="507"/>
      <c r="P606" s="507"/>
      <c r="Q606" s="507"/>
      <c r="R606" s="507"/>
      <c r="S606" s="507"/>
      <c r="T606" s="507"/>
      <c r="U606" s="507"/>
      <c r="V606" s="510"/>
      <c r="W606" s="510"/>
      <c r="X606" s="510"/>
      <c r="Y606" s="507"/>
    </row>
    <row r="607" spans="1:25">
      <c r="A607" s="507"/>
      <c r="E607" s="507"/>
      <c r="F607" s="510"/>
      <c r="G607" s="510"/>
      <c r="H607" s="507"/>
      <c r="I607" s="507"/>
      <c r="J607" s="507"/>
      <c r="K607" s="507"/>
      <c r="L607" s="507"/>
      <c r="M607" s="507"/>
      <c r="N607" s="507"/>
      <c r="O607" s="507"/>
      <c r="P607" s="507"/>
      <c r="Q607" s="507"/>
      <c r="R607" s="507"/>
      <c r="S607" s="507"/>
      <c r="T607" s="507"/>
      <c r="U607" s="507"/>
      <c r="V607" s="510"/>
      <c r="W607" s="510"/>
      <c r="X607" s="510"/>
      <c r="Y607" s="507"/>
    </row>
    <row r="608" spans="1:25">
      <c r="A608" s="507"/>
      <c r="E608" s="507"/>
      <c r="F608" s="510"/>
      <c r="G608" s="510"/>
      <c r="H608" s="507"/>
      <c r="I608" s="507"/>
      <c r="J608" s="507"/>
      <c r="K608" s="507"/>
      <c r="L608" s="507"/>
      <c r="M608" s="507"/>
      <c r="N608" s="507"/>
      <c r="O608" s="507"/>
      <c r="P608" s="507"/>
      <c r="Q608" s="507"/>
      <c r="R608" s="507"/>
      <c r="S608" s="507"/>
      <c r="T608" s="507"/>
      <c r="U608" s="507"/>
      <c r="V608" s="510"/>
      <c r="W608" s="510"/>
      <c r="X608" s="510"/>
      <c r="Y608" s="507"/>
    </row>
    <row r="609" spans="1:25">
      <c r="A609" s="507"/>
      <c r="E609" s="507"/>
      <c r="F609" s="510"/>
      <c r="G609" s="510"/>
      <c r="H609" s="507"/>
      <c r="I609" s="507"/>
      <c r="J609" s="507"/>
      <c r="K609" s="507"/>
      <c r="L609" s="507"/>
      <c r="M609" s="507"/>
      <c r="N609" s="507"/>
      <c r="O609" s="507"/>
      <c r="P609" s="507"/>
      <c r="Q609" s="507"/>
      <c r="R609" s="507"/>
      <c r="S609" s="507"/>
      <c r="T609" s="507"/>
      <c r="U609" s="507"/>
      <c r="V609" s="510"/>
      <c r="W609" s="510"/>
      <c r="X609" s="510"/>
      <c r="Y609" s="507"/>
    </row>
    <row r="610" spans="1:25">
      <c r="A610" s="507"/>
      <c r="E610" s="507"/>
      <c r="F610" s="510"/>
      <c r="G610" s="510"/>
      <c r="H610" s="507"/>
      <c r="I610" s="507"/>
      <c r="J610" s="507"/>
      <c r="K610" s="507"/>
      <c r="L610" s="507"/>
      <c r="M610" s="507"/>
      <c r="N610" s="507"/>
      <c r="O610" s="507"/>
      <c r="P610" s="507"/>
      <c r="Q610" s="507"/>
      <c r="R610" s="507"/>
      <c r="S610" s="507"/>
      <c r="T610" s="507"/>
      <c r="U610" s="507"/>
      <c r="V610" s="510"/>
      <c r="W610" s="510"/>
      <c r="X610" s="510"/>
      <c r="Y610" s="507"/>
    </row>
    <row r="611" spans="1:25">
      <c r="A611" s="507"/>
      <c r="E611" s="507"/>
      <c r="F611" s="510"/>
      <c r="G611" s="510"/>
      <c r="H611" s="507"/>
      <c r="I611" s="507"/>
      <c r="J611" s="507"/>
      <c r="K611" s="507"/>
      <c r="L611" s="507"/>
      <c r="M611" s="507"/>
      <c r="N611" s="507"/>
      <c r="O611" s="507"/>
      <c r="P611" s="507"/>
      <c r="Q611" s="507"/>
      <c r="R611" s="507"/>
      <c r="S611" s="507"/>
      <c r="T611" s="507"/>
      <c r="U611" s="507"/>
      <c r="V611" s="510"/>
      <c r="W611" s="510"/>
      <c r="X611" s="510"/>
      <c r="Y611" s="507"/>
    </row>
    <row r="612" spans="1:25">
      <c r="A612" s="507"/>
      <c r="E612" s="507"/>
      <c r="F612" s="510"/>
      <c r="G612" s="510"/>
      <c r="H612" s="507"/>
      <c r="I612" s="507"/>
      <c r="J612" s="507"/>
      <c r="K612" s="507"/>
      <c r="L612" s="507"/>
      <c r="M612" s="507"/>
      <c r="N612" s="507"/>
      <c r="O612" s="507"/>
      <c r="P612" s="507"/>
      <c r="Q612" s="507"/>
      <c r="R612" s="507"/>
      <c r="S612" s="507"/>
      <c r="T612" s="507"/>
      <c r="U612" s="507"/>
      <c r="V612" s="510"/>
      <c r="W612" s="510"/>
      <c r="X612" s="510"/>
      <c r="Y612" s="507"/>
    </row>
    <row r="613" spans="1:25">
      <c r="A613" s="507"/>
      <c r="E613" s="507"/>
      <c r="F613" s="510"/>
      <c r="G613" s="510"/>
      <c r="H613" s="507"/>
      <c r="I613" s="507"/>
      <c r="J613" s="507"/>
      <c r="K613" s="507"/>
      <c r="L613" s="507"/>
      <c r="M613" s="507"/>
      <c r="N613" s="507"/>
      <c r="O613" s="507"/>
      <c r="P613" s="507"/>
      <c r="Q613" s="507"/>
      <c r="R613" s="507"/>
      <c r="S613" s="507"/>
      <c r="T613" s="507"/>
      <c r="U613" s="507"/>
      <c r="V613" s="510"/>
      <c r="W613" s="510"/>
      <c r="X613" s="510"/>
      <c r="Y613" s="507"/>
    </row>
    <row r="614" spans="1:25">
      <c r="A614" s="507"/>
      <c r="E614" s="507"/>
      <c r="F614" s="510"/>
      <c r="G614" s="510"/>
      <c r="H614" s="507"/>
      <c r="I614" s="507"/>
      <c r="J614" s="507"/>
      <c r="K614" s="507"/>
      <c r="L614" s="507"/>
      <c r="M614" s="507"/>
      <c r="N614" s="507"/>
      <c r="O614" s="507"/>
      <c r="P614" s="507"/>
      <c r="Q614" s="507"/>
      <c r="R614" s="507"/>
      <c r="S614" s="507"/>
      <c r="T614" s="507"/>
      <c r="U614" s="507"/>
      <c r="V614" s="510"/>
      <c r="W614" s="510"/>
      <c r="X614" s="510"/>
      <c r="Y614" s="507"/>
    </row>
    <row r="615" spans="1:25">
      <c r="A615" s="507"/>
      <c r="E615" s="507"/>
      <c r="F615" s="510"/>
      <c r="G615" s="510"/>
      <c r="H615" s="507"/>
      <c r="I615" s="507"/>
      <c r="J615" s="507"/>
      <c r="K615" s="507"/>
      <c r="L615" s="507"/>
      <c r="M615" s="507"/>
      <c r="N615" s="507"/>
      <c r="O615" s="507"/>
      <c r="P615" s="507"/>
      <c r="Q615" s="507"/>
      <c r="R615" s="507"/>
      <c r="S615" s="507"/>
      <c r="T615" s="507"/>
      <c r="U615" s="507"/>
      <c r="V615" s="510"/>
      <c r="W615" s="510"/>
      <c r="X615" s="510"/>
      <c r="Y615" s="507"/>
    </row>
    <row r="616" spans="1:25">
      <c r="A616" s="507"/>
      <c r="E616" s="507"/>
      <c r="F616" s="510"/>
      <c r="G616" s="510"/>
      <c r="H616" s="507"/>
      <c r="I616" s="507"/>
      <c r="J616" s="507"/>
      <c r="K616" s="507"/>
      <c r="L616" s="507"/>
      <c r="M616" s="507"/>
      <c r="N616" s="507"/>
      <c r="O616" s="507"/>
      <c r="P616" s="507"/>
      <c r="Q616" s="507"/>
      <c r="R616" s="507"/>
      <c r="S616" s="507"/>
      <c r="T616" s="507"/>
      <c r="U616" s="507"/>
      <c r="V616" s="510"/>
      <c r="W616" s="510"/>
      <c r="X616" s="510"/>
      <c r="Y616" s="507"/>
    </row>
    <row r="617" spans="1:25">
      <c r="A617" s="507"/>
      <c r="E617" s="507"/>
      <c r="F617" s="510"/>
      <c r="G617" s="510"/>
      <c r="H617" s="507"/>
      <c r="I617" s="507"/>
      <c r="J617" s="507"/>
      <c r="K617" s="507"/>
      <c r="L617" s="507"/>
      <c r="M617" s="507"/>
      <c r="N617" s="507"/>
      <c r="O617" s="507"/>
      <c r="P617" s="507"/>
      <c r="Q617" s="507"/>
      <c r="R617" s="507"/>
      <c r="S617" s="507"/>
      <c r="T617" s="507"/>
      <c r="U617" s="507"/>
      <c r="V617" s="510"/>
      <c r="W617" s="510"/>
      <c r="X617" s="510"/>
      <c r="Y617" s="507"/>
    </row>
    <row r="618" spans="1:25">
      <c r="A618" s="507"/>
      <c r="E618" s="507"/>
      <c r="F618" s="510"/>
      <c r="G618" s="510"/>
      <c r="H618" s="507"/>
      <c r="I618" s="507"/>
      <c r="J618" s="507"/>
      <c r="K618" s="507"/>
      <c r="L618" s="507"/>
      <c r="M618" s="507"/>
      <c r="N618" s="507"/>
      <c r="O618" s="507"/>
      <c r="P618" s="507"/>
      <c r="Q618" s="507"/>
      <c r="R618" s="507"/>
      <c r="S618" s="507"/>
      <c r="T618" s="507"/>
      <c r="U618" s="507"/>
      <c r="V618" s="510"/>
      <c r="W618" s="510"/>
      <c r="X618" s="510"/>
      <c r="Y618" s="507"/>
    </row>
    <row r="619" spans="1:25">
      <c r="A619" s="507"/>
      <c r="E619" s="507"/>
      <c r="F619" s="510"/>
      <c r="G619" s="510"/>
      <c r="H619" s="507"/>
      <c r="I619" s="507"/>
      <c r="J619" s="507"/>
      <c r="K619" s="507"/>
      <c r="L619" s="507"/>
      <c r="M619" s="507"/>
      <c r="N619" s="507"/>
      <c r="O619" s="507"/>
      <c r="P619" s="507"/>
      <c r="Q619" s="507"/>
      <c r="R619" s="507"/>
      <c r="S619" s="507"/>
      <c r="T619" s="507"/>
      <c r="U619" s="507"/>
      <c r="V619" s="510"/>
      <c r="W619" s="510"/>
      <c r="X619" s="510"/>
      <c r="Y619" s="507"/>
    </row>
    <row r="620" spans="1:25">
      <c r="A620" s="507"/>
      <c r="E620" s="507"/>
      <c r="F620" s="510"/>
      <c r="G620" s="510"/>
      <c r="H620" s="507"/>
      <c r="I620" s="507"/>
      <c r="J620" s="507"/>
      <c r="K620" s="507"/>
      <c r="L620" s="507"/>
      <c r="M620" s="507"/>
      <c r="N620" s="507"/>
      <c r="O620" s="507"/>
      <c r="P620" s="507"/>
      <c r="Q620" s="507"/>
      <c r="R620" s="507"/>
      <c r="S620" s="507"/>
      <c r="T620" s="507"/>
      <c r="U620" s="507"/>
      <c r="V620" s="510"/>
      <c r="W620" s="510"/>
      <c r="X620" s="510"/>
      <c r="Y620" s="507"/>
    </row>
    <row r="621" spans="1:25">
      <c r="A621" s="507"/>
      <c r="E621" s="507"/>
      <c r="F621" s="510"/>
      <c r="G621" s="510"/>
      <c r="H621" s="507"/>
      <c r="I621" s="507"/>
      <c r="J621" s="507"/>
      <c r="K621" s="507"/>
      <c r="L621" s="507"/>
      <c r="M621" s="507"/>
      <c r="N621" s="507"/>
      <c r="O621" s="507"/>
      <c r="P621" s="507"/>
      <c r="Q621" s="507"/>
      <c r="R621" s="507"/>
      <c r="S621" s="507"/>
      <c r="T621" s="507"/>
      <c r="U621" s="507"/>
      <c r="V621" s="510"/>
      <c r="W621" s="510"/>
      <c r="X621" s="510"/>
      <c r="Y621" s="507"/>
    </row>
    <row r="622" spans="1:25">
      <c r="A622" s="507"/>
      <c r="E622" s="507"/>
      <c r="F622" s="510"/>
      <c r="G622" s="510"/>
      <c r="H622" s="507"/>
      <c r="I622" s="507"/>
      <c r="J622" s="507"/>
      <c r="K622" s="507"/>
      <c r="L622" s="507"/>
      <c r="M622" s="507"/>
      <c r="N622" s="507"/>
      <c r="O622" s="507"/>
      <c r="P622" s="507"/>
      <c r="Q622" s="507"/>
      <c r="R622" s="507"/>
      <c r="S622" s="507"/>
      <c r="T622" s="507"/>
      <c r="U622" s="507"/>
      <c r="V622" s="510"/>
      <c r="W622" s="510"/>
      <c r="X622" s="510"/>
      <c r="Y622" s="507"/>
    </row>
    <row r="623" spans="1:25">
      <c r="A623" s="507"/>
      <c r="E623" s="507"/>
      <c r="F623" s="510"/>
      <c r="G623" s="510"/>
      <c r="H623" s="507"/>
      <c r="I623" s="507"/>
      <c r="J623" s="507"/>
      <c r="K623" s="507"/>
      <c r="L623" s="507"/>
      <c r="M623" s="507"/>
      <c r="N623" s="507"/>
      <c r="O623" s="507"/>
      <c r="P623" s="507"/>
      <c r="Q623" s="507"/>
      <c r="R623" s="507"/>
      <c r="S623" s="507"/>
      <c r="T623" s="507"/>
      <c r="U623" s="507"/>
      <c r="V623" s="510"/>
      <c r="W623" s="510"/>
      <c r="X623" s="510"/>
      <c r="Y623" s="507"/>
    </row>
    <row r="624" spans="1:25">
      <c r="A624" s="507"/>
      <c r="E624" s="507"/>
      <c r="F624" s="510"/>
      <c r="G624" s="510"/>
      <c r="H624" s="507"/>
      <c r="I624" s="507"/>
      <c r="J624" s="507"/>
      <c r="K624" s="507"/>
      <c r="L624" s="507"/>
      <c r="M624" s="507"/>
      <c r="N624" s="507"/>
      <c r="O624" s="507"/>
      <c r="P624" s="507"/>
      <c r="Q624" s="507"/>
      <c r="R624" s="507"/>
      <c r="S624" s="507"/>
      <c r="T624" s="507"/>
      <c r="U624" s="507"/>
      <c r="V624" s="510"/>
      <c r="W624" s="510"/>
      <c r="X624" s="510"/>
      <c r="Y624" s="507"/>
    </row>
    <row r="625" spans="1:25">
      <c r="A625" s="507"/>
      <c r="E625" s="507"/>
      <c r="F625" s="510"/>
      <c r="G625" s="510"/>
      <c r="H625" s="507"/>
      <c r="I625" s="507"/>
      <c r="J625" s="507"/>
      <c r="K625" s="507"/>
      <c r="L625" s="507"/>
      <c r="M625" s="507"/>
      <c r="N625" s="507"/>
      <c r="O625" s="507"/>
      <c r="P625" s="507"/>
      <c r="Q625" s="507"/>
      <c r="R625" s="507"/>
      <c r="S625" s="507"/>
      <c r="T625" s="507"/>
      <c r="U625" s="507"/>
      <c r="V625" s="510"/>
      <c r="W625" s="510"/>
      <c r="X625" s="510"/>
      <c r="Y625" s="507"/>
    </row>
    <row r="626" spans="1:25">
      <c r="A626" s="507"/>
      <c r="E626" s="507"/>
      <c r="F626" s="510"/>
      <c r="G626" s="510"/>
      <c r="H626" s="507"/>
      <c r="I626" s="507"/>
      <c r="J626" s="507"/>
      <c r="K626" s="507"/>
      <c r="L626" s="507"/>
      <c r="M626" s="507"/>
      <c r="N626" s="507"/>
      <c r="O626" s="507"/>
      <c r="P626" s="507"/>
      <c r="Q626" s="507"/>
      <c r="R626" s="507"/>
      <c r="S626" s="507"/>
      <c r="T626" s="507"/>
      <c r="U626" s="507"/>
      <c r="V626" s="510"/>
      <c r="W626" s="510"/>
      <c r="X626" s="510"/>
      <c r="Y626" s="507"/>
    </row>
    <row r="627" spans="1:25">
      <c r="A627" s="507"/>
      <c r="E627" s="507"/>
      <c r="F627" s="510"/>
      <c r="G627" s="510"/>
      <c r="H627" s="507"/>
      <c r="I627" s="507"/>
      <c r="J627" s="507"/>
      <c r="K627" s="507"/>
      <c r="L627" s="507"/>
      <c r="M627" s="507"/>
      <c r="N627" s="507"/>
      <c r="O627" s="507"/>
      <c r="P627" s="507"/>
      <c r="Q627" s="507"/>
      <c r="R627" s="507"/>
      <c r="S627" s="507"/>
      <c r="T627" s="507"/>
      <c r="U627" s="507"/>
      <c r="V627" s="510"/>
      <c r="W627" s="510"/>
      <c r="X627" s="510"/>
      <c r="Y627" s="507"/>
    </row>
    <row r="628" spans="1:25">
      <c r="A628" s="507"/>
      <c r="E628" s="507"/>
      <c r="F628" s="510"/>
      <c r="G628" s="510"/>
      <c r="H628" s="507"/>
      <c r="I628" s="507"/>
      <c r="J628" s="507"/>
      <c r="K628" s="507"/>
      <c r="L628" s="507"/>
      <c r="M628" s="507"/>
      <c r="N628" s="507"/>
      <c r="O628" s="507"/>
      <c r="P628" s="507"/>
      <c r="Q628" s="507"/>
      <c r="R628" s="507"/>
      <c r="S628" s="507"/>
      <c r="T628" s="507"/>
      <c r="U628" s="507"/>
      <c r="V628" s="510"/>
      <c r="W628" s="510"/>
      <c r="X628" s="510"/>
      <c r="Y628" s="507"/>
    </row>
    <row r="629" spans="1:25">
      <c r="A629" s="507"/>
      <c r="E629" s="507"/>
      <c r="F629" s="510"/>
      <c r="G629" s="510"/>
      <c r="H629" s="507"/>
      <c r="I629" s="507"/>
      <c r="J629" s="507"/>
      <c r="K629" s="507"/>
      <c r="L629" s="507"/>
      <c r="M629" s="507"/>
      <c r="N629" s="507"/>
      <c r="O629" s="507"/>
      <c r="P629" s="507"/>
      <c r="Q629" s="507"/>
      <c r="R629" s="507"/>
      <c r="S629" s="507"/>
      <c r="T629" s="507"/>
      <c r="U629" s="507"/>
      <c r="V629" s="510"/>
      <c r="W629" s="510"/>
      <c r="X629" s="510"/>
      <c r="Y629" s="507"/>
    </row>
    <row r="630" spans="1:25">
      <c r="A630" s="507"/>
      <c r="E630" s="507"/>
      <c r="F630" s="510"/>
      <c r="G630" s="510"/>
      <c r="H630" s="507"/>
      <c r="I630" s="507"/>
      <c r="J630" s="507"/>
      <c r="K630" s="507"/>
      <c r="L630" s="507"/>
      <c r="M630" s="507"/>
      <c r="N630" s="507"/>
      <c r="O630" s="507"/>
      <c r="P630" s="507"/>
      <c r="Q630" s="507"/>
      <c r="R630" s="507"/>
      <c r="S630" s="507"/>
      <c r="T630" s="507"/>
      <c r="U630" s="507"/>
      <c r="V630" s="510"/>
      <c r="W630" s="510"/>
      <c r="X630" s="510"/>
      <c r="Y630" s="507"/>
    </row>
    <row r="631" spans="1:25">
      <c r="A631" s="507"/>
      <c r="E631" s="507"/>
      <c r="F631" s="510"/>
      <c r="G631" s="510"/>
      <c r="H631" s="507"/>
      <c r="I631" s="507"/>
      <c r="J631" s="507"/>
      <c r="K631" s="507"/>
      <c r="L631" s="507"/>
      <c r="M631" s="507"/>
      <c r="N631" s="507"/>
      <c r="O631" s="507"/>
      <c r="P631" s="507"/>
      <c r="Q631" s="507"/>
      <c r="R631" s="507"/>
      <c r="S631" s="507"/>
      <c r="T631" s="507"/>
      <c r="U631" s="507"/>
      <c r="V631" s="510"/>
      <c r="W631" s="510"/>
      <c r="X631" s="510"/>
      <c r="Y631" s="507"/>
    </row>
    <row r="632" spans="1:25">
      <c r="A632" s="507"/>
      <c r="E632" s="507"/>
      <c r="F632" s="510"/>
      <c r="G632" s="510"/>
      <c r="H632" s="507"/>
      <c r="I632" s="507"/>
      <c r="J632" s="507"/>
      <c r="K632" s="507"/>
      <c r="L632" s="507"/>
      <c r="M632" s="507"/>
      <c r="N632" s="507"/>
      <c r="O632" s="507"/>
      <c r="P632" s="507"/>
      <c r="Q632" s="507"/>
      <c r="R632" s="507"/>
      <c r="S632" s="507"/>
      <c r="T632" s="507"/>
      <c r="U632" s="507"/>
      <c r="V632" s="510"/>
      <c r="W632" s="510"/>
      <c r="X632" s="510"/>
      <c r="Y632" s="507"/>
    </row>
    <row r="633" spans="1:25">
      <c r="A633" s="507"/>
      <c r="E633" s="507"/>
      <c r="F633" s="510"/>
      <c r="G633" s="510"/>
      <c r="H633" s="507"/>
      <c r="I633" s="507"/>
      <c r="J633" s="507"/>
      <c r="K633" s="507"/>
      <c r="L633" s="507"/>
      <c r="M633" s="507"/>
      <c r="N633" s="507"/>
      <c r="O633" s="507"/>
      <c r="P633" s="507"/>
      <c r="Q633" s="507"/>
      <c r="R633" s="507"/>
      <c r="S633" s="507"/>
      <c r="T633" s="507"/>
      <c r="U633" s="507"/>
      <c r="V633" s="510"/>
      <c r="W633" s="510"/>
      <c r="X633" s="510"/>
      <c r="Y633" s="507"/>
    </row>
    <row r="634" spans="1:25">
      <c r="A634" s="507"/>
      <c r="E634" s="507"/>
      <c r="F634" s="510"/>
      <c r="G634" s="510"/>
      <c r="H634" s="507"/>
      <c r="I634" s="507"/>
      <c r="J634" s="507"/>
      <c r="K634" s="507"/>
      <c r="L634" s="507"/>
      <c r="M634" s="507"/>
      <c r="N634" s="507"/>
      <c r="O634" s="507"/>
      <c r="P634" s="507"/>
      <c r="Q634" s="507"/>
      <c r="R634" s="507"/>
      <c r="S634" s="507"/>
      <c r="T634" s="507"/>
      <c r="U634" s="507"/>
      <c r="V634" s="510"/>
      <c r="W634" s="510"/>
      <c r="X634" s="510"/>
      <c r="Y634" s="507"/>
    </row>
    <row r="635" spans="1:25">
      <c r="A635" s="507"/>
      <c r="E635" s="507"/>
      <c r="F635" s="510"/>
      <c r="G635" s="510"/>
      <c r="H635" s="507"/>
      <c r="I635" s="507"/>
      <c r="J635" s="507"/>
      <c r="K635" s="507"/>
      <c r="L635" s="507"/>
      <c r="M635" s="507"/>
      <c r="N635" s="507"/>
      <c r="O635" s="507"/>
      <c r="P635" s="507"/>
      <c r="Q635" s="507"/>
      <c r="R635" s="507"/>
      <c r="S635" s="507"/>
      <c r="T635" s="507"/>
      <c r="U635" s="507"/>
      <c r="V635" s="510"/>
      <c r="W635" s="510"/>
      <c r="X635" s="510"/>
      <c r="Y635" s="507"/>
    </row>
    <row r="636" spans="1:25">
      <c r="A636" s="507"/>
      <c r="E636" s="507"/>
      <c r="F636" s="510"/>
      <c r="G636" s="510"/>
      <c r="H636" s="507"/>
      <c r="I636" s="507"/>
      <c r="J636" s="507"/>
      <c r="K636" s="507"/>
      <c r="L636" s="507"/>
      <c r="M636" s="507"/>
      <c r="N636" s="507"/>
      <c r="O636" s="507"/>
      <c r="P636" s="507"/>
      <c r="Q636" s="507"/>
      <c r="R636" s="507"/>
      <c r="S636" s="507"/>
      <c r="T636" s="507"/>
      <c r="U636" s="507"/>
      <c r="V636" s="510"/>
      <c r="W636" s="510"/>
      <c r="X636" s="510"/>
      <c r="Y636" s="507"/>
    </row>
    <row r="637" spans="1:25">
      <c r="A637" s="507"/>
      <c r="E637" s="507"/>
      <c r="F637" s="510"/>
      <c r="G637" s="510"/>
      <c r="H637" s="507"/>
      <c r="I637" s="507"/>
      <c r="J637" s="507"/>
      <c r="K637" s="507"/>
      <c r="L637" s="507"/>
      <c r="M637" s="507"/>
      <c r="N637" s="507"/>
      <c r="O637" s="507"/>
      <c r="P637" s="507"/>
      <c r="Q637" s="507"/>
      <c r="R637" s="507"/>
      <c r="S637" s="507"/>
      <c r="T637" s="507"/>
      <c r="U637" s="507"/>
      <c r="V637" s="510"/>
      <c r="W637" s="510"/>
      <c r="X637" s="510"/>
      <c r="Y637" s="507"/>
    </row>
    <row r="638" spans="1:25">
      <c r="A638" s="507"/>
      <c r="E638" s="507"/>
      <c r="F638" s="510"/>
      <c r="G638" s="510"/>
      <c r="H638" s="507"/>
      <c r="I638" s="507"/>
      <c r="J638" s="507"/>
      <c r="K638" s="507"/>
      <c r="L638" s="507"/>
      <c r="M638" s="507"/>
      <c r="N638" s="507"/>
      <c r="O638" s="507"/>
      <c r="P638" s="507"/>
      <c r="Q638" s="507"/>
      <c r="R638" s="507"/>
      <c r="S638" s="507"/>
      <c r="T638" s="507"/>
      <c r="U638" s="507"/>
      <c r="V638" s="510"/>
      <c r="W638" s="510"/>
      <c r="X638" s="510"/>
      <c r="Y638" s="507"/>
    </row>
    <row r="639" spans="1:25">
      <c r="A639" s="507"/>
      <c r="E639" s="507"/>
      <c r="F639" s="510"/>
      <c r="G639" s="510"/>
      <c r="H639" s="507"/>
      <c r="I639" s="507"/>
      <c r="J639" s="507"/>
      <c r="K639" s="507"/>
      <c r="L639" s="507"/>
      <c r="M639" s="507"/>
      <c r="N639" s="507"/>
      <c r="O639" s="507"/>
      <c r="P639" s="507"/>
      <c r="Q639" s="507"/>
      <c r="R639" s="507"/>
      <c r="S639" s="507"/>
      <c r="T639" s="507"/>
      <c r="U639" s="507"/>
      <c r="V639" s="510"/>
      <c r="W639" s="510"/>
      <c r="X639" s="510"/>
      <c r="Y639" s="507"/>
    </row>
    <row r="640" spans="1:25">
      <c r="A640" s="507"/>
      <c r="E640" s="507"/>
      <c r="F640" s="510"/>
      <c r="G640" s="510"/>
      <c r="H640" s="507"/>
      <c r="I640" s="507"/>
      <c r="J640" s="507"/>
      <c r="K640" s="507"/>
      <c r="L640" s="507"/>
      <c r="M640" s="507"/>
      <c r="N640" s="507"/>
      <c r="O640" s="507"/>
      <c r="P640" s="507"/>
      <c r="Q640" s="507"/>
      <c r="R640" s="507"/>
      <c r="S640" s="507"/>
      <c r="T640" s="507"/>
      <c r="U640" s="507"/>
      <c r="V640" s="510"/>
      <c r="W640" s="510"/>
      <c r="X640" s="510"/>
      <c r="Y640" s="507"/>
    </row>
    <row r="641" spans="1:25">
      <c r="A641" s="507"/>
      <c r="E641" s="507"/>
      <c r="F641" s="510"/>
      <c r="G641" s="510"/>
      <c r="H641" s="507"/>
      <c r="I641" s="507"/>
      <c r="J641" s="507"/>
      <c r="K641" s="507"/>
      <c r="L641" s="507"/>
      <c r="M641" s="507"/>
      <c r="N641" s="507"/>
      <c r="O641" s="507"/>
      <c r="P641" s="507"/>
      <c r="Q641" s="507"/>
      <c r="R641" s="507"/>
      <c r="S641" s="507"/>
      <c r="T641" s="507"/>
      <c r="U641" s="507"/>
      <c r="V641" s="510"/>
      <c r="W641" s="510"/>
      <c r="X641" s="510"/>
      <c r="Y641" s="507"/>
    </row>
    <row r="642" spans="1:25">
      <c r="A642" s="507"/>
      <c r="E642" s="507"/>
      <c r="F642" s="510"/>
      <c r="G642" s="510"/>
      <c r="H642" s="507"/>
      <c r="I642" s="507"/>
      <c r="J642" s="507"/>
      <c r="K642" s="507"/>
      <c r="L642" s="507"/>
      <c r="M642" s="507"/>
      <c r="N642" s="507"/>
      <c r="O642" s="507"/>
      <c r="P642" s="507"/>
      <c r="Q642" s="507"/>
      <c r="R642" s="507"/>
      <c r="S642" s="507"/>
      <c r="T642" s="507"/>
      <c r="U642" s="507"/>
      <c r="V642" s="510"/>
      <c r="W642" s="510"/>
      <c r="X642" s="510"/>
      <c r="Y642" s="507"/>
    </row>
    <row r="643" spans="1:25">
      <c r="A643" s="507"/>
      <c r="E643" s="507"/>
      <c r="F643" s="510"/>
      <c r="G643" s="510"/>
      <c r="H643" s="507"/>
      <c r="I643" s="507"/>
      <c r="J643" s="507"/>
      <c r="K643" s="507"/>
      <c r="L643" s="507"/>
      <c r="M643" s="507"/>
      <c r="N643" s="507"/>
      <c r="O643" s="507"/>
      <c r="P643" s="507"/>
      <c r="Q643" s="507"/>
      <c r="R643" s="507"/>
      <c r="S643" s="507"/>
      <c r="T643" s="507"/>
      <c r="U643" s="507"/>
      <c r="V643" s="510"/>
      <c r="W643" s="510"/>
      <c r="X643" s="510"/>
      <c r="Y643" s="507"/>
    </row>
    <row r="644" spans="1:25">
      <c r="A644" s="507"/>
      <c r="E644" s="507"/>
      <c r="F644" s="510"/>
      <c r="G644" s="510"/>
      <c r="H644" s="507"/>
      <c r="I644" s="507"/>
      <c r="J644" s="507"/>
      <c r="K644" s="507"/>
      <c r="L644" s="507"/>
      <c r="M644" s="507"/>
      <c r="N644" s="507"/>
      <c r="O644" s="507"/>
      <c r="P644" s="507"/>
      <c r="Q644" s="507"/>
      <c r="R644" s="507"/>
      <c r="S644" s="507"/>
      <c r="T644" s="507"/>
      <c r="U644" s="507"/>
      <c r="V644" s="510"/>
      <c r="W644" s="510"/>
      <c r="X644" s="510"/>
      <c r="Y644" s="507"/>
    </row>
    <row r="645" spans="1:25">
      <c r="A645" s="507"/>
      <c r="E645" s="507"/>
      <c r="F645" s="510"/>
      <c r="G645" s="510"/>
      <c r="H645" s="507"/>
      <c r="I645" s="507"/>
      <c r="J645" s="507"/>
      <c r="K645" s="507"/>
      <c r="L645" s="507"/>
      <c r="M645" s="507"/>
      <c r="N645" s="507"/>
      <c r="O645" s="507"/>
      <c r="P645" s="507"/>
      <c r="Q645" s="507"/>
      <c r="R645" s="507"/>
      <c r="S645" s="507"/>
      <c r="T645" s="507"/>
      <c r="U645" s="507"/>
      <c r="V645" s="510"/>
      <c r="W645" s="510"/>
      <c r="X645" s="510"/>
      <c r="Y645" s="507"/>
    </row>
    <row r="646" spans="1:25">
      <c r="A646" s="507"/>
      <c r="E646" s="507"/>
      <c r="F646" s="510"/>
      <c r="G646" s="510"/>
      <c r="H646" s="507"/>
      <c r="I646" s="507"/>
      <c r="J646" s="507"/>
      <c r="K646" s="507"/>
      <c r="L646" s="507"/>
      <c r="M646" s="507"/>
      <c r="N646" s="507"/>
      <c r="O646" s="507"/>
      <c r="P646" s="507"/>
      <c r="Q646" s="507"/>
      <c r="R646" s="507"/>
      <c r="S646" s="507"/>
      <c r="T646" s="507"/>
      <c r="U646" s="507"/>
      <c r="V646" s="510"/>
      <c r="W646" s="510"/>
      <c r="X646" s="510"/>
      <c r="Y646" s="507"/>
    </row>
    <row r="647" spans="1:25">
      <c r="A647" s="507"/>
      <c r="E647" s="507"/>
      <c r="F647" s="510"/>
      <c r="G647" s="510"/>
      <c r="H647" s="507"/>
      <c r="I647" s="507"/>
      <c r="J647" s="507"/>
      <c r="K647" s="507"/>
      <c r="L647" s="507"/>
      <c r="M647" s="507"/>
      <c r="N647" s="507"/>
      <c r="O647" s="507"/>
      <c r="P647" s="507"/>
      <c r="Q647" s="507"/>
      <c r="R647" s="507"/>
      <c r="S647" s="507"/>
      <c r="T647" s="507"/>
      <c r="U647" s="507"/>
      <c r="V647" s="510"/>
      <c r="W647" s="510"/>
      <c r="X647" s="510"/>
      <c r="Y647" s="507"/>
    </row>
    <row r="648" spans="1:25">
      <c r="A648" s="507"/>
      <c r="E648" s="507"/>
      <c r="F648" s="510"/>
      <c r="G648" s="510"/>
      <c r="H648" s="507"/>
      <c r="I648" s="507"/>
      <c r="J648" s="507"/>
      <c r="K648" s="507"/>
      <c r="L648" s="507"/>
      <c r="M648" s="507"/>
      <c r="N648" s="507"/>
      <c r="O648" s="507"/>
      <c r="P648" s="507"/>
      <c r="Q648" s="507"/>
      <c r="R648" s="507"/>
      <c r="S648" s="507"/>
      <c r="T648" s="507"/>
      <c r="U648" s="507"/>
      <c r="V648" s="510"/>
      <c r="W648" s="510"/>
      <c r="X648" s="510"/>
      <c r="Y648" s="507"/>
    </row>
    <row r="649" spans="1:25">
      <c r="A649" s="507"/>
      <c r="E649" s="507"/>
      <c r="F649" s="510"/>
      <c r="G649" s="510"/>
      <c r="H649" s="507"/>
      <c r="I649" s="507"/>
      <c r="J649" s="507"/>
      <c r="K649" s="507"/>
      <c r="L649" s="507"/>
      <c r="M649" s="507"/>
      <c r="N649" s="507"/>
      <c r="O649" s="507"/>
      <c r="P649" s="507"/>
      <c r="Q649" s="507"/>
      <c r="R649" s="507"/>
      <c r="S649" s="507"/>
      <c r="T649" s="507"/>
      <c r="U649" s="507"/>
      <c r="V649" s="510"/>
      <c r="W649" s="510"/>
      <c r="X649" s="510"/>
      <c r="Y649" s="507"/>
    </row>
    <row r="650" spans="1:25">
      <c r="A650" s="507"/>
      <c r="E650" s="507"/>
      <c r="F650" s="510"/>
      <c r="G650" s="510"/>
      <c r="H650" s="507"/>
      <c r="I650" s="507"/>
      <c r="J650" s="507"/>
      <c r="K650" s="507"/>
      <c r="L650" s="507"/>
      <c r="M650" s="507"/>
      <c r="N650" s="507"/>
      <c r="O650" s="507"/>
      <c r="P650" s="507"/>
      <c r="Q650" s="507"/>
      <c r="R650" s="507"/>
      <c r="S650" s="507"/>
      <c r="T650" s="507"/>
      <c r="U650" s="507"/>
      <c r="V650" s="510"/>
      <c r="W650" s="510"/>
      <c r="X650" s="510"/>
      <c r="Y650" s="507"/>
    </row>
    <row r="651" spans="1:25">
      <c r="A651" s="507"/>
      <c r="E651" s="507"/>
      <c r="F651" s="510"/>
      <c r="G651" s="510"/>
      <c r="H651" s="507"/>
      <c r="I651" s="507"/>
      <c r="J651" s="507"/>
      <c r="K651" s="507"/>
      <c r="L651" s="507"/>
      <c r="M651" s="507"/>
      <c r="N651" s="507"/>
      <c r="O651" s="507"/>
      <c r="P651" s="507"/>
      <c r="Q651" s="507"/>
      <c r="R651" s="507"/>
      <c r="S651" s="507"/>
      <c r="T651" s="507"/>
      <c r="U651" s="507"/>
      <c r="V651" s="510"/>
      <c r="W651" s="510"/>
      <c r="X651" s="510"/>
      <c r="Y651" s="507"/>
    </row>
    <row r="652" spans="1:25">
      <c r="A652" s="507"/>
      <c r="E652" s="507"/>
      <c r="F652" s="510"/>
      <c r="G652" s="510"/>
      <c r="H652" s="507"/>
      <c r="I652" s="507"/>
      <c r="J652" s="507"/>
      <c r="K652" s="507"/>
      <c r="L652" s="507"/>
      <c r="M652" s="507"/>
      <c r="N652" s="507"/>
      <c r="O652" s="507"/>
      <c r="P652" s="507"/>
      <c r="Q652" s="507"/>
      <c r="R652" s="507"/>
      <c r="S652" s="507"/>
      <c r="T652" s="507"/>
      <c r="U652" s="507"/>
      <c r="V652" s="510"/>
      <c r="W652" s="510"/>
      <c r="X652" s="510"/>
      <c r="Y652" s="507"/>
    </row>
    <row r="653" spans="1:25">
      <c r="A653" s="507"/>
      <c r="E653" s="507"/>
      <c r="F653" s="510"/>
      <c r="G653" s="510"/>
      <c r="H653" s="507"/>
      <c r="I653" s="507"/>
      <c r="J653" s="507"/>
      <c r="K653" s="507"/>
      <c r="L653" s="507"/>
      <c r="M653" s="507"/>
      <c r="N653" s="507"/>
      <c r="O653" s="507"/>
      <c r="P653" s="507"/>
      <c r="Q653" s="507"/>
      <c r="R653" s="507"/>
      <c r="S653" s="507"/>
      <c r="T653" s="507"/>
      <c r="U653" s="507"/>
      <c r="V653" s="510"/>
      <c r="W653" s="510"/>
      <c r="X653" s="510"/>
      <c r="Y653" s="507"/>
    </row>
    <row r="654" spans="1:25">
      <c r="A654" s="507"/>
      <c r="E654" s="507"/>
      <c r="F654" s="510"/>
      <c r="G654" s="510"/>
      <c r="H654" s="507"/>
      <c r="I654" s="507"/>
      <c r="J654" s="507"/>
      <c r="K654" s="507"/>
      <c r="L654" s="507"/>
      <c r="M654" s="507"/>
      <c r="N654" s="507"/>
      <c r="O654" s="507"/>
      <c r="P654" s="507"/>
      <c r="Q654" s="507"/>
      <c r="R654" s="507"/>
      <c r="S654" s="507"/>
      <c r="T654" s="507"/>
      <c r="U654" s="507"/>
      <c r="V654" s="510"/>
      <c r="W654" s="510"/>
      <c r="X654" s="510"/>
      <c r="Y654" s="507"/>
    </row>
    <row r="655" spans="1:25">
      <c r="A655" s="507"/>
      <c r="E655" s="507"/>
      <c r="F655" s="510"/>
      <c r="G655" s="510"/>
      <c r="H655" s="507"/>
      <c r="I655" s="507"/>
      <c r="J655" s="507"/>
      <c r="K655" s="507"/>
      <c r="L655" s="507"/>
      <c r="M655" s="507"/>
      <c r="N655" s="507"/>
      <c r="O655" s="507"/>
      <c r="P655" s="507"/>
      <c r="Q655" s="507"/>
      <c r="R655" s="507"/>
      <c r="S655" s="507"/>
      <c r="T655" s="507"/>
      <c r="U655" s="507"/>
      <c r="V655" s="510"/>
      <c r="W655" s="510"/>
      <c r="X655" s="510"/>
      <c r="Y655" s="507"/>
    </row>
    <row r="656" spans="1:25">
      <c r="A656" s="507"/>
      <c r="E656" s="507"/>
      <c r="F656" s="510"/>
      <c r="G656" s="510"/>
      <c r="H656" s="507"/>
      <c r="I656" s="507"/>
      <c r="J656" s="507"/>
      <c r="K656" s="507"/>
      <c r="L656" s="507"/>
      <c r="M656" s="507"/>
      <c r="N656" s="507"/>
      <c r="O656" s="507"/>
      <c r="P656" s="507"/>
      <c r="Q656" s="507"/>
      <c r="R656" s="507"/>
      <c r="S656" s="507"/>
      <c r="T656" s="507"/>
      <c r="U656" s="507"/>
      <c r="V656" s="510"/>
      <c r="W656" s="510"/>
      <c r="X656" s="510"/>
      <c r="Y656" s="507"/>
    </row>
    <row r="657" spans="1:25">
      <c r="A657" s="507"/>
      <c r="E657" s="507"/>
      <c r="F657" s="510"/>
      <c r="G657" s="510"/>
      <c r="H657" s="507"/>
      <c r="I657" s="507"/>
      <c r="J657" s="507"/>
      <c r="K657" s="507"/>
      <c r="L657" s="507"/>
      <c r="M657" s="507"/>
      <c r="N657" s="507"/>
      <c r="O657" s="507"/>
      <c r="P657" s="507"/>
      <c r="Q657" s="507"/>
      <c r="R657" s="507"/>
      <c r="S657" s="507"/>
      <c r="T657" s="507"/>
      <c r="U657" s="507"/>
      <c r="V657" s="510"/>
      <c r="W657" s="510"/>
      <c r="X657" s="510"/>
      <c r="Y657" s="507"/>
    </row>
    <row r="658" spans="1:25">
      <c r="A658" s="507"/>
      <c r="E658" s="507"/>
      <c r="F658" s="510"/>
      <c r="G658" s="510"/>
      <c r="H658" s="507"/>
      <c r="I658" s="507"/>
      <c r="J658" s="507"/>
      <c r="K658" s="507"/>
      <c r="L658" s="507"/>
      <c r="M658" s="507"/>
      <c r="N658" s="507"/>
      <c r="O658" s="507"/>
      <c r="P658" s="507"/>
      <c r="Q658" s="507"/>
      <c r="R658" s="507"/>
      <c r="S658" s="507"/>
      <c r="T658" s="507"/>
      <c r="U658" s="507"/>
      <c r="V658" s="510"/>
      <c r="W658" s="510"/>
      <c r="X658" s="510"/>
      <c r="Y658" s="507"/>
    </row>
    <row r="659" spans="1:25">
      <c r="A659" s="507"/>
      <c r="E659" s="507"/>
      <c r="F659" s="510"/>
      <c r="G659" s="510"/>
      <c r="H659" s="507"/>
      <c r="I659" s="507"/>
      <c r="J659" s="507"/>
      <c r="K659" s="507"/>
      <c r="L659" s="507"/>
      <c r="M659" s="507"/>
      <c r="N659" s="507"/>
      <c r="O659" s="507"/>
      <c r="P659" s="507"/>
      <c r="Q659" s="507"/>
      <c r="R659" s="507"/>
      <c r="S659" s="507"/>
      <c r="T659" s="507"/>
      <c r="U659" s="507"/>
      <c r="V659" s="510"/>
      <c r="W659" s="510"/>
      <c r="X659" s="510"/>
      <c r="Y659" s="507"/>
    </row>
    <row r="660" spans="1:25">
      <c r="A660" s="507"/>
      <c r="E660" s="507"/>
      <c r="F660" s="510"/>
      <c r="G660" s="510"/>
      <c r="H660" s="507"/>
      <c r="I660" s="507"/>
      <c r="J660" s="507"/>
      <c r="K660" s="507"/>
      <c r="L660" s="507"/>
      <c r="M660" s="507"/>
      <c r="N660" s="507"/>
      <c r="O660" s="507"/>
      <c r="P660" s="507"/>
      <c r="Q660" s="507"/>
      <c r="R660" s="507"/>
      <c r="S660" s="507"/>
      <c r="T660" s="507"/>
      <c r="U660" s="507"/>
      <c r="V660" s="510"/>
      <c r="W660" s="510"/>
      <c r="X660" s="510"/>
      <c r="Y660" s="507"/>
    </row>
    <row r="661" spans="1:25">
      <c r="A661" s="507"/>
      <c r="E661" s="507"/>
      <c r="F661" s="510"/>
      <c r="G661" s="510"/>
      <c r="H661" s="507"/>
      <c r="I661" s="507"/>
      <c r="J661" s="507"/>
      <c r="K661" s="507"/>
      <c r="L661" s="507"/>
      <c r="M661" s="507"/>
      <c r="N661" s="507"/>
      <c r="O661" s="507"/>
      <c r="P661" s="507"/>
      <c r="Q661" s="507"/>
      <c r="R661" s="507"/>
      <c r="S661" s="507"/>
      <c r="T661" s="507"/>
      <c r="U661" s="507"/>
      <c r="V661" s="510"/>
      <c r="W661" s="510"/>
      <c r="X661" s="510"/>
      <c r="Y661" s="507"/>
    </row>
    <row r="662" spans="1:25">
      <c r="A662" s="507"/>
      <c r="E662" s="507"/>
      <c r="F662" s="510"/>
      <c r="G662" s="510"/>
      <c r="H662" s="507"/>
      <c r="I662" s="507"/>
      <c r="J662" s="507"/>
      <c r="K662" s="507"/>
      <c r="L662" s="507"/>
      <c r="M662" s="507"/>
      <c r="N662" s="507"/>
      <c r="O662" s="507"/>
      <c r="P662" s="507"/>
      <c r="Q662" s="507"/>
      <c r="R662" s="507"/>
      <c r="S662" s="507"/>
      <c r="T662" s="507"/>
      <c r="U662" s="507"/>
      <c r="V662" s="510"/>
      <c r="W662" s="510"/>
      <c r="X662" s="510"/>
      <c r="Y662" s="507"/>
    </row>
    <row r="663" spans="1:25">
      <c r="A663" s="507"/>
      <c r="E663" s="507"/>
      <c r="F663" s="510"/>
      <c r="G663" s="510"/>
      <c r="H663" s="507"/>
      <c r="I663" s="507"/>
      <c r="J663" s="507"/>
      <c r="K663" s="507"/>
      <c r="L663" s="507"/>
      <c r="M663" s="507"/>
      <c r="N663" s="507"/>
      <c r="O663" s="507"/>
      <c r="P663" s="507"/>
      <c r="Q663" s="507"/>
      <c r="R663" s="507"/>
      <c r="S663" s="507"/>
      <c r="T663" s="507"/>
      <c r="U663" s="507"/>
      <c r="V663" s="510"/>
      <c r="W663" s="510"/>
      <c r="X663" s="510"/>
      <c r="Y663" s="507"/>
    </row>
    <row r="664" spans="1:25">
      <c r="A664" s="507"/>
      <c r="E664" s="507"/>
      <c r="F664" s="510"/>
      <c r="G664" s="510"/>
      <c r="H664" s="507"/>
      <c r="I664" s="507"/>
      <c r="J664" s="507"/>
      <c r="K664" s="507"/>
      <c r="L664" s="507"/>
      <c r="M664" s="507"/>
      <c r="N664" s="507"/>
      <c r="O664" s="507"/>
      <c r="P664" s="507"/>
      <c r="Q664" s="507"/>
      <c r="R664" s="507"/>
      <c r="S664" s="507"/>
      <c r="T664" s="507"/>
      <c r="U664" s="507"/>
      <c r="V664" s="510"/>
      <c r="W664" s="510"/>
      <c r="X664" s="510"/>
      <c r="Y664" s="507"/>
    </row>
    <row r="665" spans="1:25">
      <c r="A665" s="507"/>
      <c r="E665" s="507"/>
      <c r="F665" s="510"/>
      <c r="G665" s="510"/>
      <c r="H665" s="507"/>
      <c r="I665" s="507"/>
      <c r="J665" s="507"/>
      <c r="K665" s="507"/>
      <c r="L665" s="507"/>
      <c r="M665" s="507"/>
      <c r="N665" s="507"/>
      <c r="O665" s="507"/>
      <c r="P665" s="507"/>
      <c r="Q665" s="507"/>
      <c r="R665" s="507"/>
      <c r="S665" s="507"/>
      <c r="T665" s="507"/>
      <c r="U665" s="507"/>
      <c r="V665" s="510"/>
      <c r="W665" s="510"/>
      <c r="X665" s="510"/>
      <c r="Y665" s="507"/>
    </row>
    <row r="666" spans="1:25">
      <c r="A666" s="507"/>
      <c r="E666" s="507"/>
      <c r="F666" s="510"/>
      <c r="G666" s="510"/>
      <c r="H666" s="507"/>
      <c r="I666" s="507"/>
      <c r="J666" s="507"/>
      <c r="K666" s="507"/>
      <c r="L666" s="507"/>
      <c r="M666" s="507"/>
      <c r="N666" s="507"/>
      <c r="O666" s="507"/>
      <c r="P666" s="507"/>
      <c r="Q666" s="507"/>
      <c r="R666" s="507"/>
      <c r="S666" s="507"/>
      <c r="T666" s="507"/>
      <c r="U666" s="507"/>
      <c r="V666" s="510"/>
      <c r="W666" s="510"/>
      <c r="X666" s="510"/>
      <c r="Y666" s="507"/>
    </row>
    <row r="667" spans="1:25">
      <c r="A667" s="507"/>
      <c r="E667" s="507"/>
      <c r="F667" s="510"/>
      <c r="G667" s="510"/>
      <c r="H667" s="507"/>
      <c r="I667" s="507"/>
      <c r="J667" s="507"/>
      <c r="K667" s="507"/>
      <c r="L667" s="507"/>
      <c r="M667" s="507"/>
      <c r="N667" s="507"/>
      <c r="O667" s="507"/>
      <c r="P667" s="507"/>
      <c r="Q667" s="507"/>
      <c r="R667" s="507"/>
      <c r="S667" s="507"/>
      <c r="T667" s="507"/>
      <c r="U667" s="507"/>
      <c r="V667" s="510"/>
      <c r="W667" s="510"/>
      <c r="X667" s="510"/>
      <c r="Y667" s="507"/>
    </row>
    <row r="668" spans="1:25">
      <c r="A668" s="507"/>
      <c r="E668" s="507"/>
      <c r="F668" s="510"/>
      <c r="G668" s="510"/>
      <c r="H668" s="507"/>
      <c r="I668" s="507"/>
      <c r="J668" s="507"/>
      <c r="K668" s="507"/>
      <c r="L668" s="507"/>
      <c r="M668" s="507"/>
      <c r="N668" s="507"/>
      <c r="O668" s="507"/>
      <c r="P668" s="507"/>
      <c r="Q668" s="507"/>
      <c r="R668" s="507"/>
      <c r="S668" s="507"/>
      <c r="T668" s="507"/>
      <c r="U668" s="507"/>
      <c r="V668" s="510"/>
      <c r="W668" s="510"/>
      <c r="X668" s="510"/>
      <c r="Y668" s="507"/>
    </row>
    <row r="669" spans="1:25">
      <c r="A669" s="507"/>
      <c r="E669" s="507"/>
      <c r="F669" s="510"/>
      <c r="G669" s="510"/>
      <c r="H669" s="507"/>
      <c r="I669" s="507"/>
      <c r="J669" s="507"/>
      <c r="K669" s="507"/>
      <c r="L669" s="507"/>
      <c r="M669" s="507"/>
      <c r="N669" s="507"/>
      <c r="O669" s="507"/>
      <c r="P669" s="507"/>
      <c r="Q669" s="507"/>
      <c r="R669" s="507"/>
      <c r="S669" s="507"/>
      <c r="T669" s="507"/>
      <c r="U669" s="507"/>
      <c r="V669" s="510"/>
      <c r="W669" s="510"/>
      <c r="X669" s="510"/>
      <c r="Y669" s="507"/>
    </row>
    <row r="670" spans="1:25">
      <c r="A670" s="507"/>
      <c r="E670" s="507"/>
      <c r="F670" s="510"/>
      <c r="G670" s="510"/>
      <c r="H670" s="507"/>
      <c r="I670" s="507"/>
      <c r="J670" s="507"/>
      <c r="K670" s="507"/>
      <c r="L670" s="507"/>
      <c r="M670" s="507"/>
      <c r="N670" s="507"/>
      <c r="O670" s="507"/>
      <c r="P670" s="507"/>
      <c r="Q670" s="507"/>
      <c r="R670" s="507"/>
      <c r="S670" s="507"/>
      <c r="T670" s="507"/>
      <c r="U670" s="507"/>
      <c r="V670" s="510"/>
      <c r="W670" s="510"/>
      <c r="X670" s="510"/>
      <c r="Y670" s="507"/>
    </row>
    <row r="671" spans="1:25">
      <c r="A671" s="507"/>
      <c r="E671" s="507"/>
      <c r="F671" s="510"/>
      <c r="G671" s="510"/>
      <c r="H671" s="507"/>
      <c r="I671" s="507"/>
      <c r="J671" s="507"/>
      <c r="K671" s="507"/>
      <c r="L671" s="507"/>
      <c r="M671" s="507"/>
      <c r="N671" s="507"/>
      <c r="O671" s="507"/>
      <c r="P671" s="507"/>
      <c r="Q671" s="507"/>
      <c r="R671" s="507"/>
      <c r="S671" s="507"/>
      <c r="T671" s="507"/>
      <c r="U671" s="507"/>
      <c r="V671" s="510"/>
      <c r="W671" s="510"/>
      <c r="X671" s="510"/>
      <c r="Y671" s="507"/>
    </row>
    <row r="672" spans="1:25">
      <c r="A672" s="507"/>
      <c r="E672" s="507"/>
      <c r="F672" s="510"/>
      <c r="G672" s="510"/>
      <c r="H672" s="507"/>
      <c r="I672" s="507"/>
      <c r="J672" s="507"/>
      <c r="K672" s="507"/>
      <c r="L672" s="507"/>
      <c r="M672" s="507"/>
      <c r="N672" s="507"/>
      <c r="O672" s="507"/>
      <c r="P672" s="507"/>
      <c r="Q672" s="507"/>
      <c r="R672" s="507"/>
      <c r="S672" s="507"/>
      <c r="T672" s="507"/>
      <c r="U672" s="507"/>
      <c r="V672" s="510"/>
      <c r="W672" s="510"/>
      <c r="X672" s="510"/>
      <c r="Y672" s="507"/>
    </row>
    <row r="673" spans="1:25">
      <c r="A673" s="507"/>
      <c r="E673" s="507"/>
      <c r="F673" s="510"/>
      <c r="G673" s="510"/>
      <c r="H673" s="507"/>
      <c r="I673" s="507"/>
      <c r="J673" s="507"/>
      <c r="K673" s="507"/>
      <c r="L673" s="507"/>
      <c r="M673" s="507"/>
      <c r="N673" s="507"/>
      <c r="O673" s="507"/>
      <c r="P673" s="507"/>
      <c r="Q673" s="507"/>
      <c r="R673" s="507"/>
      <c r="S673" s="507"/>
      <c r="T673" s="507"/>
      <c r="U673" s="507"/>
      <c r="V673" s="510"/>
      <c r="W673" s="510"/>
      <c r="X673" s="510"/>
      <c r="Y673" s="507"/>
    </row>
    <row r="674" spans="1:25">
      <c r="A674" s="507"/>
      <c r="E674" s="507"/>
      <c r="F674" s="510"/>
      <c r="G674" s="510"/>
      <c r="H674" s="507"/>
      <c r="I674" s="507"/>
      <c r="J674" s="507"/>
      <c r="K674" s="507"/>
      <c r="L674" s="507"/>
      <c r="M674" s="507"/>
      <c r="N674" s="507"/>
      <c r="O674" s="507"/>
      <c r="P674" s="507"/>
      <c r="Q674" s="507"/>
      <c r="R674" s="507"/>
      <c r="S674" s="507"/>
      <c r="T674" s="507"/>
      <c r="U674" s="507"/>
      <c r="V674" s="510"/>
      <c r="W674" s="510"/>
      <c r="X674" s="510"/>
      <c r="Y674" s="507"/>
    </row>
    <row r="675" spans="1:25">
      <c r="A675" s="507"/>
      <c r="E675" s="507"/>
      <c r="F675" s="510"/>
      <c r="G675" s="510"/>
      <c r="H675" s="507"/>
      <c r="I675" s="507"/>
      <c r="J675" s="507"/>
      <c r="K675" s="507"/>
      <c r="L675" s="507"/>
      <c r="M675" s="507"/>
      <c r="N675" s="507"/>
      <c r="O675" s="507"/>
      <c r="P675" s="507"/>
      <c r="Q675" s="507"/>
      <c r="R675" s="507"/>
      <c r="S675" s="507"/>
      <c r="T675" s="507"/>
      <c r="U675" s="507"/>
      <c r="V675" s="510"/>
      <c r="W675" s="510"/>
      <c r="X675" s="510"/>
      <c r="Y675" s="507"/>
    </row>
    <row r="676" spans="1:25">
      <c r="A676" s="507"/>
      <c r="E676" s="507"/>
      <c r="F676" s="510"/>
      <c r="G676" s="510"/>
      <c r="H676" s="507"/>
      <c r="I676" s="507"/>
      <c r="J676" s="507"/>
      <c r="K676" s="507"/>
      <c r="L676" s="507"/>
      <c r="M676" s="507"/>
      <c r="N676" s="507"/>
      <c r="O676" s="507"/>
      <c r="P676" s="507"/>
      <c r="Q676" s="507"/>
      <c r="R676" s="507"/>
      <c r="S676" s="507"/>
      <c r="T676" s="507"/>
      <c r="U676" s="507"/>
      <c r="V676" s="510"/>
      <c r="W676" s="510"/>
      <c r="X676" s="510"/>
      <c r="Y676" s="507"/>
    </row>
    <row r="677" spans="1:25">
      <c r="A677" s="507"/>
      <c r="E677" s="507"/>
      <c r="F677" s="510"/>
      <c r="G677" s="510"/>
      <c r="H677" s="507"/>
      <c r="I677" s="507"/>
      <c r="J677" s="507"/>
      <c r="K677" s="507"/>
      <c r="L677" s="507"/>
      <c r="M677" s="507"/>
      <c r="N677" s="507"/>
      <c r="O677" s="507"/>
      <c r="P677" s="507"/>
      <c r="Q677" s="507"/>
      <c r="R677" s="507"/>
      <c r="S677" s="507"/>
      <c r="T677" s="507"/>
      <c r="U677" s="507"/>
      <c r="V677" s="510"/>
      <c r="W677" s="510"/>
      <c r="X677" s="510"/>
      <c r="Y677" s="507"/>
    </row>
    <row r="678" spans="1:25">
      <c r="A678" s="507"/>
      <c r="E678" s="507"/>
      <c r="F678" s="510"/>
      <c r="G678" s="510"/>
      <c r="H678" s="507"/>
      <c r="I678" s="507"/>
      <c r="J678" s="507"/>
      <c r="K678" s="507"/>
      <c r="L678" s="507"/>
      <c r="M678" s="507"/>
      <c r="N678" s="507"/>
      <c r="O678" s="507"/>
      <c r="P678" s="507"/>
      <c r="Q678" s="507"/>
      <c r="R678" s="507"/>
      <c r="S678" s="507"/>
      <c r="T678" s="507"/>
      <c r="U678" s="507"/>
      <c r="V678" s="510"/>
      <c r="W678" s="510"/>
      <c r="X678" s="510"/>
      <c r="Y678" s="507"/>
    </row>
    <row r="679" spans="1:25">
      <c r="A679" s="507"/>
      <c r="E679" s="507"/>
      <c r="F679" s="510"/>
      <c r="G679" s="510"/>
      <c r="H679" s="507"/>
      <c r="I679" s="507"/>
      <c r="J679" s="507"/>
      <c r="K679" s="507"/>
      <c r="L679" s="507"/>
      <c r="M679" s="507"/>
      <c r="N679" s="507"/>
      <c r="O679" s="507"/>
      <c r="P679" s="507"/>
      <c r="Q679" s="507"/>
      <c r="R679" s="507"/>
      <c r="S679" s="507"/>
      <c r="T679" s="507"/>
      <c r="U679" s="507"/>
      <c r="V679" s="510"/>
      <c r="W679" s="510"/>
      <c r="X679" s="510"/>
      <c r="Y679" s="507"/>
    </row>
    <row r="680" spans="1:25">
      <c r="A680" s="507"/>
      <c r="E680" s="507"/>
      <c r="F680" s="510"/>
      <c r="G680" s="510"/>
      <c r="H680" s="507"/>
      <c r="I680" s="507"/>
      <c r="J680" s="507"/>
      <c r="K680" s="507"/>
      <c r="L680" s="507"/>
      <c r="M680" s="507"/>
      <c r="N680" s="507"/>
      <c r="O680" s="507"/>
      <c r="P680" s="507"/>
      <c r="Q680" s="507"/>
      <c r="R680" s="507"/>
      <c r="S680" s="507"/>
      <c r="T680" s="507"/>
      <c r="U680" s="507"/>
      <c r="V680" s="510"/>
      <c r="W680" s="510"/>
      <c r="X680" s="510"/>
      <c r="Y680" s="507"/>
    </row>
    <row r="681" spans="1:25">
      <c r="A681" s="507"/>
      <c r="E681" s="507"/>
      <c r="F681" s="510"/>
      <c r="G681" s="510"/>
      <c r="H681" s="507"/>
      <c r="I681" s="507"/>
      <c r="J681" s="507"/>
      <c r="K681" s="507"/>
      <c r="L681" s="507"/>
      <c r="M681" s="507"/>
      <c r="N681" s="507"/>
      <c r="O681" s="507"/>
      <c r="P681" s="507"/>
      <c r="Q681" s="507"/>
      <c r="R681" s="507"/>
      <c r="S681" s="507"/>
      <c r="T681" s="507"/>
      <c r="U681" s="507"/>
      <c r="V681" s="510"/>
      <c r="W681" s="510"/>
      <c r="X681" s="510"/>
      <c r="Y681" s="507"/>
    </row>
    <row r="682" spans="1:25">
      <c r="A682" s="507"/>
      <c r="E682" s="507"/>
      <c r="F682" s="510"/>
      <c r="G682" s="510"/>
      <c r="H682" s="507"/>
      <c r="I682" s="507"/>
      <c r="J682" s="507"/>
      <c r="K682" s="507"/>
      <c r="L682" s="507"/>
      <c r="M682" s="507"/>
      <c r="N682" s="507"/>
      <c r="O682" s="507"/>
      <c r="P682" s="507"/>
      <c r="Q682" s="507"/>
      <c r="R682" s="507"/>
      <c r="S682" s="507"/>
      <c r="T682" s="507"/>
      <c r="U682" s="507"/>
      <c r="V682" s="510"/>
      <c r="W682" s="510"/>
      <c r="X682" s="510"/>
      <c r="Y682" s="507"/>
    </row>
    <row r="683" spans="1:25">
      <c r="A683" s="507"/>
      <c r="E683" s="507"/>
      <c r="F683" s="510"/>
      <c r="G683" s="510"/>
      <c r="H683" s="507"/>
      <c r="I683" s="507"/>
      <c r="J683" s="507"/>
      <c r="K683" s="507"/>
      <c r="L683" s="507"/>
      <c r="M683" s="507"/>
      <c r="N683" s="507"/>
      <c r="O683" s="507"/>
      <c r="P683" s="507"/>
      <c r="Q683" s="507"/>
      <c r="R683" s="507"/>
      <c r="S683" s="507"/>
      <c r="T683" s="507"/>
      <c r="U683" s="507"/>
      <c r="V683" s="510"/>
      <c r="W683" s="510"/>
      <c r="X683" s="510"/>
      <c r="Y683" s="507"/>
    </row>
    <row r="684" spans="1:25">
      <c r="A684" s="507"/>
      <c r="E684" s="507"/>
      <c r="F684" s="510"/>
      <c r="G684" s="510"/>
      <c r="H684" s="507"/>
      <c r="I684" s="507"/>
      <c r="J684" s="507"/>
      <c r="K684" s="507"/>
      <c r="L684" s="507"/>
      <c r="M684" s="507"/>
      <c r="N684" s="507"/>
      <c r="O684" s="507"/>
      <c r="P684" s="507"/>
      <c r="Q684" s="507"/>
      <c r="R684" s="507"/>
      <c r="S684" s="507"/>
      <c r="T684" s="507"/>
      <c r="U684" s="507"/>
      <c r="V684" s="510"/>
      <c r="W684" s="510"/>
      <c r="X684" s="510"/>
      <c r="Y684" s="507"/>
    </row>
    <row r="685" spans="1:25">
      <c r="A685" s="507"/>
      <c r="E685" s="507"/>
      <c r="F685" s="510"/>
      <c r="G685" s="510"/>
      <c r="H685" s="507"/>
      <c r="I685" s="507"/>
      <c r="J685" s="507"/>
      <c r="K685" s="507"/>
      <c r="L685" s="507"/>
      <c r="M685" s="507"/>
      <c r="N685" s="507"/>
      <c r="O685" s="507"/>
      <c r="P685" s="507"/>
      <c r="Q685" s="507"/>
      <c r="R685" s="507"/>
      <c r="S685" s="507"/>
      <c r="T685" s="507"/>
      <c r="U685" s="507"/>
      <c r="V685" s="510"/>
      <c r="W685" s="510"/>
      <c r="X685" s="510"/>
      <c r="Y685" s="507"/>
    </row>
    <row r="686" spans="1:25">
      <c r="A686" s="507"/>
      <c r="E686" s="507"/>
      <c r="F686" s="510"/>
      <c r="G686" s="510"/>
      <c r="H686" s="507"/>
      <c r="I686" s="507"/>
      <c r="J686" s="507"/>
      <c r="K686" s="507"/>
      <c r="L686" s="507"/>
      <c r="M686" s="507"/>
      <c r="N686" s="507"/>
      <c r="O686" s="507"/>
      <c r="P686" s="507"/>
      <c r="Q686" s="507"/>
      <c r="R686" s="507"/>
      <c r="S686" s="507"/>
      <c r="T686" s="507"/>
      <c r="U686" s="507"/>
      <c r="V686" s="510"/>
      <c r="W686" s="510"/>
      <c r="X686" s="510"/>
      <c r="Y686" s="507"/>
    </row>
    <row r="687" spans="1:25">
      <c r="A687" s="507"/>
      <c r="E687" s="507"/>
      <c r="F687" s="510"/>
      <c r="G687" s="510"/>
      <c r="H687" s="507"/>
      <c r="I687" s="507"/>
      <c r="J687" s="507"/>
      <c r="K687" s="507"/>
      <c r="L687" s="507"/>
      <c r="M687" s="507"/>
      <c r="N687" s="507"/>
      <c r="O687" s="507"/>
      <c r="P687" s="507"/>
      <c r="Q687" s="507"/>
      <c r="R687" s="507"/>
      <c r="S687" s="507"/>
      <c r="T687" s="507"/>
      <c r="U687" s="507"/>
      <c r="V687" s="510"/>
      <c r="W687" s="510"/>
      <c r="X687" s="510"/>
      <c r="Y687" s="507"/>
    </row>
    <row r="688" spans="1:25">
      <c r="A688" s="507"/>
      <c r="E688" s="507"/>
      <c r="F688" s="510"/>
      <c r="G688" s="510"/>
      <c r="H688" s="507"/>
      <c r="I688" s="507"/>
      <c r="J688" s="507"/>
      <c r="K688" s="507"/>
      <c r="L688" s="507"/>
      <c r="M688" s="507"/>
      <c r="N688" s="507"/>
      <c r="O688" s="507"/>
      <c r="P688" s="507"/>
      <c r="Q688" s="507"/>
      <c r="R688" s="507"/>
      <c r="S688" s="507"/>
      <c r="T688" s="507"/>
      <c r="U688" s="507"/>
      <c r="V688" s="510"/>
      <c r="W688" s="510"/>
      <c r="X688" s="510"/>
      <c r="Y688" s="507"/>
    </row>
    <row r="689" spans="1:25">
      <c r="A689" s="507"/>
      <c r="E689" s="507"/>
      <c r="F689" s="510"/>
      <c r="G689" s="510"/>
      <c r="H689" s="507"/>
      <c r="I689" s="507"/>
      <c r="J689" s="507"/>
      <c r="K689" s="507"/>
      <c r="L689" s="507"/>
      <c r="M689" s="507"/>
      <c r="N689" s="507"/>
      <c r="O689" s="507"/>
      <c r="P689" s="507"/>
      <c r="Q689" s="507"/>
      <c r="R689" s="507"/>
      <c r="S689" s="507"/>
      <c r="T689" s="507"/>
      <c r="U689" s="507"/>
      <c r="V689" s="510"/>
      <c r="W689" s="510"/>
      <c r="X689" s="510"/>
      <c r="Y689" s="507"/>
    </row>
    <row r="690" spans="1:25">
      <c r="A690" s="507"/>
      <c r="E690" s="507"/>
      <c r="F690" s="510"/>
      <c r="G690" s="510"/>
      <c r="H690" s="507"/>
      <c r="I690" s="507"/>
      <c r="J690" s="507"/>
      <c r="K690" s="507"/>
      <c r="L690" s="507"/>
      <c r="M690" s="507"/>
      <c r="N690" s="507"/>
      <c r="O690" s="507"/>
      <c r="P690" s="507"/>
      <c r="Q690" s="507"/>
      <c r="R690" s="507"/>
      <c r="S690" s="507"/>
      <c r="T690" s="507"/>
      <c r="U690" s="507"/>
      <c r="V690" s="510"/>
      <c r="W690" s="510"/>
      <c r="X690" s="510"/>
      <c r="Y690" s="507"/>
    </row>
    <row r="691" spans="1:25">
      <c r="A691" s="507"/>
      <c r="E691" s="507"/>
      <c r="F691" s="510"/>
      <c r="G691" s="510"/>
      <c r="H691" s="507"/>
      <c r="I691" s="507"/>
      <c r="J691" s="507"/>
      <c r="K691" s="507"/>
      <c r="L691" s="507"/>
      <c r="M691" s="507"/>
      <c r="N691" s="507"/>
      <c r="O691" s="507"/>
      <c r="P691" s="507"/>
      <c r="Q691" s="507"/>
      <c r="R691" s="507"/>
      <c r="S691" s="507"/>
      <c r="T691" s="507"/>
      <c r="U691" s="507"/>
      <c r="V691" s="510"/>
      <c r="W691" s="510"/>
      <c r="X691" s="510"/>
      <c r="Y691" s="507"/>
    </row>
    <row r="692" spans="1:25">
      <c r="A692" s="507"/>
      <c r="E692" s="507"/>
      <c r="F692" s="510"/>
      <c r="G692" s="510"/>
      <c r="H692" s="507"/>
      <c r="I692" s="507"/>
      <c r="J692" s="507"/>
      <c r="K692" s="507"/>
      <c r="L692" s="507"/>
      <c r="M692" s="507"/>
      <c r="N692" s="507"/>
      <c r="O692" s="507"/>
      <c r="P692" s="507"/>
      <c r="Q692" s="507"/>
      <c r="R692" s="507"/>
      <c r="S692" s="507"/>
      <c r="T692" s="507"/>
      <c r="U692" s="507"/>
      <c r="V692" s="510"/>
      <c r="W692" s="510"/>
      <c r="X692" s="510"/>
      <c r="Y692" s="507"/>
    </row>
    <row r="693" spans="1:25">
      <c r="A693" s="507"/>
      <c r="E693" s="507"/>
      <c r="F693" s="510"/>
      <c r="G693" s="510"/>
      <c r="H693" s="507"/>
      <c r="I693" s="507"/>
      <c r="J693" s="507"/>
      <c r="K693" s="507"/>
      <c r="L693" s="507"/>
      <c r="M693" s="507"/>
      <c r="N693" s="507"/>
      <c r="O693" s="507"/>
      <c r="P693" s="507"/>
      <c r="Q693" s="507"/>
      <c r="R693" s="507"/>
      <c r="S693" s="507"/>
      <c r="T693" s="507"/>
      <c r="U693" s="507"/>
      <c r="V693" s="510"/>
      <c r="W693" s="510"/>
      <c r="X693" s="510"/>
      <c r="Y693" s="507"/>
    </row>
    <row r="694" spans="1:25">
      <c r="A694" s="507"/>
      <c r="E694" s="507"/>
      <c r="F694" s="510"/>
      <c r="G694" s="510"/>
      <c r="H694" s="507"/>
      <c r="I694" s="507"/>
      <c r="J694" s="507"/>
      <c r="K694" s="507"/>
      <c r="L694" s="507"/>
      <c r="M694" s="507"/>
      <c r="N694" s="507"/>
      <c r="O694" s="507"/>
      <c r="P694" s="507"/>
      <c r="Q694" s="507"/>
      <c r="R694" s="507"/>
      <c r="S694" s="507"/>
      <c r="T694" s="507"/>
      <c r="U694" s="507"/>
      <c r="V694" s="510"/>
      <c r="W694" s="510"/>
      <c r="X694" s="510"/>
      <c r="Y694" s="507"/>
    </row>
    <row r="695" spans="1:25">
      <c r="A695" s="507"/>
      <c r="E695" s="507"/>
      <c r="F695" s="510"/>
      <c r="G695" s="510"/>
      <c r="H695" s="507"/>
      <c r="I695" s="507"/>
      <c r="J695" s="507"/>
      <c r="K695" s="507"/>
      <c r="L695" s="507"/>
      <c r="M695" s="507"/>
      <c r="N695" s="507"/>
      <c r="O695" s="507"/>
      <c r="P695" s="507"/>
      <c r="Q695" s="507"/>
      <c r="R695" s="507"/>
      <c r="S695" s="507"/>
      <c r="T695" s="507"/>
      <c r="U695" s="507"/>
      <c r="V695" s="510"/>
      <c r="W695" s="510"/>
      <c r="X695" s="510"/>
      <c r="Y695" s="507"/>
    </row>
    <row r="696" spans="1:25">
      <c r="A696" s="507"/>
      <c r="E696" s="507"/>
      <c r="F696" s="510"/>
      <c r="G696" s="510"/>
      <c r="H696" s="507"/>
      <c r="I696" s="507"/>
      <c r="J696" s="507"/>
      <c r="K696" s="507"/>
      <c r="L696" s="507"/>
      <c r="M696" s="507"/>
      <c r="N696" s="507"/>
      <c r="O696" s="507"/>
      <c r="P696" s="507"/>
      <c r="Q696" s="507"/>
      <c r="R696" s="507"/>
      <c r="S696" s="507"/>
      <c r="T696" s="507"/>
      <c r="U696" s="507"/>
      <c r="V696" s="510"/>
      <c r="W696" s="510"/>
      <c r="X696" s="510"/>
      <c r="Y696" s="507"/>
    </row>
    <row r="697" spans="1:25">
      <c r="A697" s="507"/>
      <c r="E697" s="507"/>
      <c r="F697" s="510"/>
      <c r="G697" s="510"/>
      <c r="H697" s="507"/>
      <c r="I697" s="507"/>
      <c r="J697" s="507"/>
      <c r="K697" s="507"/>
      <c r="L697" s="507"/>
      <c r="M697" s="507"/>
      <c r="N697" s="507"/>
      <c r="O697" s="507"/>
      <c r="P697" s="507"/>
      <c r="Q697" s="507"/>
      <c r="R697" s="507"/>
      <c r="S697" s="507"/>
      <c r="T697" s="507"/>
      <c r="U697" s="507"/>
      <c r="V697" s="510"/>
      <c r="W697" s="510"/>
      <c r="X697" s="510"/>
      <c r="Y697" s="507"/>
    </row>
    <row r="698" spans="1:25">
      <c r="A698" s="507"/>
      <c r="E698" s="507"/>
      <c r="F698" s="510"/>
      <c r="G698" s="510"/>
      <c r="H698" s="507"/>
      <c r="I698" s="507"/>
      <c r="J698" s="507"/>
      <c r="K698" s="507"/>
      <c r="L698" s="507"/>
      <c r="M698" s="507"/>
      <c r="N698" s="507"/>
      <c r="O698" s="507"/>
      <c r="P698" s="507"/>
      <c r="Q698" s="507"/>
      <c r="R698" s="507"/>
      <c r="S698" s="507"/>
      <c r="T698" s="507"/>
      <c r="U698" s="507"/>
      <c r="V698" s="510"/>
      <c r="W698" s="510"/>
      <c r="X698" s="510"/>
      <c r="Y698" s="507"/>
    </row>
    <row r="699" spans="1:25">
      <c r="A699" s="507"/>
      <c r="E699" s="507"/>
      <c r="F699" s="510"/>
      <c r="G699" s="510"/>
      <c r="H699" s="507"/>
      <c r="I699" s="507"/>
      <c r="J699" s="507"/>
      <c r="K699" s="507"/>
      <c r="L699" s="507"/>
      <c r="M699" s="507"/>
      <c r="N699" s="507"/>
      <c r="O699" s="507"/>
      <c r="P699" s="507"/>
      <c r="Q699" s="507"/>
      <c r="R699" s="507"/>
      <c r="S699" s="507"/>
      <c r="T699" s="507"/>
      <c r="U699" s="507"/>
      <c r="V699" s="510"/>
      <c r="W699" s="510"/>
      <c r="X699" s="510"/>
      <c r="Y699" s="507"/>
    </row>
    <row r="700" spans="1:25">
      <c r="A700" s="507"/>
      <c r="E700" s="507"/>
      <c r="F700" s="510"/>
      <c r="G700" s="510"/>
      <c r="H700" s="507"/>
      <c r="I700" s="507"/>
      <c r="J700" s="507"/>
      <c r="K700" s="507"/>
      <c r="L700" s="507"/>
      <c r="M700" s="507"/>
      <c r="N700" s="507"/>
      <c r="O700" s="507"/>
      <c r="P700" s="507"/>
      <c r="Q700" s="507"/>
      <c r="R700" s="507"/>
      <c r="S700" s="507"/>
      <c r="T700" s="507"/>
      <c r="U700" s="507"/>
      <c r="V700" s="510"/>
      <c r="W700" s="510"/>
      <c r="X700" s="510"/>
      <c r="Y700" s="507"/>
    </row>
    <row r="701" spans="1:25">
      <c r="A701" s="507"/>
      <c r="E701" s="507"/>
      <c r="F701" s="510"/>
      <c r="G701" s="510"/>
      <c r="H701" s="507"/>
      <c r="I701" s="507"/>
      <c r="J701" s="507"/>
      <c r="K701" s="507"/>
      <c r="L701" s="507"/>
      <c r="M701" s="507"/>
      <c r="N701" s="507"/>
      <c r="O701" s="507"/>
      <c r="P701" s="507"/>
      <c r="Q701" s="507"/>
      <c r="R701" s="507"/>
      <c r="S701" s="507"/>
      <c r="T701" s="507"/>
      <c r="U701" s="507"/>
      <c r="V701" s="510"/>
      <c r="W701" s="510"/>
      <c r="X701" s="510"/>
      <c r="Y701" s="507"/>
    </row>
    <row r="702" spans="1:25">
      <c r="A702" s="507"/>
      <c r="E702" s="507"/>
      <c r="F702" s="510"/>
      <c r="G702" s="510"/>
      <c r="H702" s="507"/>
      <c r="I702" s="507"/>
      <c r="J702" s="507"/>
      <c r="K702" s="507"/>
      <c r="L702" s="507"/>
      <c r="M702" s="507"/>
      <c r="N702" s="507"/>
      <c r="O702" s="507"/>
      <c r="P702" s="507"/>
      <c r="Q702" s="507"/>
      <c r="R702" s="507"/>
      <c r="S702" s="507"/>
      <c r="T702" s="507"/>
      <c r="U702" s="507"/>
      <c r="V702" s="510"/>
      <c r="W702" s="510"/>
      <c r="X702" s="510"/>
      <c r="Y702" s="507"/>
    </row>
    <row r="703" spans="1:25">
      <c r="A703" s="507"/>
      <c r="E703" s="507"/>
      <c r="F703" s="510"/>
      <c r="G703" s="510"/>
      <c r="H703" s="507"/>
      <c r="I703" s="507"/>
      <c r="J703" s="507"/>
      <c r="K703" s="507"/>
      <c r="L703" s="507"/>
      <c r="M703" s="507"/>
      <c r="N703" s="507"/>
      <c r="O703" s="507"/>
      <c r="P703" s="507"/>
      <c r="Q703" s="507"/>
      <c r="R703" s="507"/>
      <c r="S703" s="507"/>
      <c r="T703" s="507"/>
      <c r="U703" s="507"/>
      <c r="V703" s="510"/>
      <c r="W703" s="510"/>
      <c r="X703" s="510"/>
      <c r="Y703" s="507"/>
    </row>
    <row r="704" spans="1:25">
      <c r="A704" s="507"/>
      <c r="E704" s="507"/>
      <c r="F704" s="510"/>
      <c r="G704" s="510"/>
      <c r="H704" s="507"/>
      <c r="I704" s="507"/>
      <c r="J704" s="507"/>
      <c r="K704" s="507"/>
      <c r="L704" s="507"/>
      <c r="M704" s="507"/>
      <c r="N704" s="507"/>
      <c r="O704" s="507"/>
      <c r="P704" s="507"/>
      <c r="Q704" s="507"/>
      <c r="R704" s="507"/>
      <c r="S704" s="507"/>
      <c r="T704" s="507"/>
      <c r="U704" s="507"/>
      <c r="V704" s="510"/>
      <c r="W704" s="510"/>
      <c r="X704" s="510"/>
      <c r="Y704" s="507"/>
    </row>
    <row r="705" spans="1:25">
      <c r="A705" s="507"/>
      <c r="E705" s="507"/>
      <c r="F705" s="510"/>
      <c r="G705" s="510"/>
      <c r="H705" s="507"/>
      <c r="I705" s="507"/>
      <c r="J705" s="507"/>
      <c r="K705" s="507"/>
      <c r="L705" s="507"/>
      <c r="M705" s="507"/>
      <c r="N705" s="507"/>
      <c r="O705" s="507"/>
      <c r="P705" s="507"/>
      <c r="Q705" s="507"/>
      <c r="R705" s="507"/>
      <c r="S705" s="507"/>
      <c r="T705" s="507"/>
      <c r="U705" s="507"/>
      <c r="V705" s="510"/>
      <c r="W705" s="510"/>
      <c r="X705" s="510"/>
      <c r="Y705" s="507"/>
    </row>
    <row r="706" spans="1:25">
      <c r="A706" s="507"/>
      <c r="E706" s="507"/>
      <c r="F706" s="510"/>
      <c r="G706" s="510"/>
      <c r="H706" s="507"/>
      <c r="I706" s="507"/>
      <c r="J706" s="507"/>
      <c r="K706" s="507"/>
      <c r="L706" s="507"/>
      <c r="M706" s="507"/>
      <c r="N706" s="507"/>
      <c r="O706" s="507"/>
      <c r="P706" s="507"/>
      <c r="Q706" s="507"/>
      <c r="R706" s="507"/>
      <c r="S706" s="507"/>
      <c r="T706" s="507"/>
      <c r="U706" s="507"/>
      <c r="V706" s="510"/>
      <c r="W706" s="510"/>
      <c r="X706" s="510"/>
      <c r="Y706" s="507"/>
    </row>
    <row r="707" spans="1:25">
      <c r="A707" s="507"/>
      <c r="E707" s="507"/>
      <c r="F707" s="510"/>
      <c r="G707" s="510"/>
      <c r="H707" s="507"/>
      <c r="I707" s="507"/>
      <c r="J707" s="507"/>
      <c r="K707" s="507"/>
      <c r="L707" s="507"/>
      <c r="M707" s="507"/>
      <c r="N707" s="507"/>
      <c r="O707" s="507"/>
      <c r="P707" s="507"/>
      <c r="Q707" s="507"/>
      <c r="R707" s="507"/>
      <c r="S707" s="507"/>
      <c r="T707" s="507"/>
      <c r="U707" s="507"/>
      <c r="V707" s="510"/>
      <c r="W707" s="510"/>
      <c r="X707" s="510"/>
      <c r="Y707" s="507"/>
    </row>
    <row r="708" spans="1:25">
      <c r="A708" s="507"/>
      <c r="E708" s="507"/>
      <c r="F708" s="510"/>
      <c r="G708" s="510"/>
      <c r="H708" s="507"/>
      <c r="I708" s="507"/>
      <c r="J708" s="507"/>
      <c r="K708" s="507"/>
      <c r="L708" s="507"/>
      <c r="M708" s="507"/>
      <c r="N708" s="507"/>
      <c r="O708" s="507"/>
      <c r="P708" s="507"/>
      <c r="Q708" s="507"/>
      <c r="R708" s="507"/>
      <c r="S708" s="507"/>
      <c r="T708" s="507"/>
      <c r="U708" s="507"/>
      <c r="V708" s="510"/>
      <c r="W708" s="510"/>
      <c r="X708" s="510"/>
      <c r="Y708" s="507"/>
    </row>
    <row r="709" spans="1:25">
      <c r="A709" s="507"/>
      <c r="E709" s="507"/>
      <c r="F709" s="510"/>
      <c r="G709" s="510"/>
      <c r="H709" s="507"/>
      <c r="I709" s="507"/>
      <c r="J709" s="507"/>
      <c r="K709" s="507"/>
      <c r="L709" s="507"/>
      <c r="M709" s="507"/>
      <c r="N709" s="507"/>
      <c r="O709" s="507"/>
      <c r="P709" s="507"/>
      <c r="Q709" s="507"/>
      <c r="R709" s="507"/>
      <c r="S709" s="507"/>
      <c r="T709" s="507"/>
      <c r="U709" s="507"/>
      <c r="V709" s="510"/>
      <c r="W709" s="510"/>
      <c r="X709" s="510"/>
      <c r="Y709" s="507"/>
    </row>
    <row r="710" spans="1:25">
      <c r="A710" s="507"/>
      <c r="E710" s="507"/>
      <c r="F710" s="510"/>
      <c r="G710" s="510"/>
      <c r="H710" s="507"/>
      <c r="I710" s="507"/>
      <c r="J710" s="507"/>
      <c r="K710" s="507"/>
      <c r="L710" s="507"/>
      <c r="M710" s="507"/>
      <c r="N710" s="507"/>
      <c r="O710" s="507"/>
      <c r="P710" s="507"/>
      <c r="Q710" s="507"/>
      <c r="R710" s="507"/>
      <c r="S710" s="507"/>
      <c r="T710" s="507"/>
      <c r="U710" s="507"/>
      <c r="V710" s="510"/>
      <c r="W710" s="510"/>
      <c r="X710" s="510"/>
      <c r="Y710" s="507"/>
    </row>
    <row r="711" spans="1:25">
      <c r="A711" s="507"/>
      <c r="E711" s="507"/>
      <c r="F711" s="510"/>
      <c r="G711" s="510"/>
      <c r="H711" s="507"/>
      <c r="I711" s="507"/>
      <c r="J711" s="507"/>
      <c r="K711" s="507"/>
      <c r="L711" s="507"/>
      <c r="M711" s="507"/>
      <c r="N711" s="507"/>
      <c r="O711" s="507"/>
      <c r="P711" s="507"/>
      <c r="Q711" s="507"/>
      <c r="R711" s="507"/>
      <c r="S711" s="507"/>
      <c r="T711" s="507"/>
      <c r="U711" s="507"/>
      <c r="V711" s="510"/>
      <c r="W711" s="510"/>
      <c r="X711" s="510"/>
      <c r="Y711" s="507"/>
    </row>
    <row r="712" spans="1:25">
      <c r="A712" s="507"/>
      <c r="E712" s="507"/>
      <c r="F712" s="510"/>
      <c r="G712" s="510"/>
      <c r="H712" s="507"/>
      <c r="I712" s="507"/>
      <c r="J712" s="507"/>
      <c r="K712" s="507"/>
      <c r="L712" s="507"/>
      <c r="M712" s="507"/>
      <c r="N712" s="507"/>
      <c r="O712" s="507"/>
      <c r="P712" s="507"/>
      <c r="Q712" s="507"/>
      <c r="R712" s="507"/>
      <c r="S712" s="507"/>
      <c r="T712" s="507"/>
      <c r="U712" s="507"/>
      <c r="V712" s="510"/>
      <c r="W712" s="510"/>
      <c r="X712" s="510"/>
      <c r="Y712" s="507"/>
    </row>
    <row r="713" spans="1:25">
      <c r="A713" s="507"/>
      <c r="E713" s="507"/>
      <c r="F713" s="510"/>
      <c r="G713" s="510"/>
      <c r="H713" s="507"/>
      <c r="I713" s="507"/>
      <c r="J713" s="507"/>
      <c r="K713" s="507"/>
      <c r="L713" s="507"/>
      <c r="M713" s="507"/>
      <c r="N713" s="507"/>
      <c r="O713" s="507"/>
      <c r="P713" s="507"/>
      <c r="Q713" s="507"/>
      <c r="R713" s="507"/>
      <c r="S713" s="507"/>
      <c r="T713" s="507"/>
      <c r="U713" s="507"/>
      <c r="V713" s="510"/>
      <c r="W713" s="510"/>
      <c r="X713" s="510"/>
      <c r="Y713" s="507"/>
    </row>
    <row r="714" spans="1:25">
      <c r="A714" s="507"/>
      <c r="E714" s="507"/>
      <c r="F714" s="510"/>
      <c r="G714" s="510"/>
      <c r="H714" s="507"/>
      <c r="I714" s="507"/>
      <c r="J714" s="507"/>
      <c r="K714" s="507"/>
      <c r="L714" s="507"/>
      <c r="M714" s="507"/>
      <c r="N714" s="507"/>
      <c r="O714" s="507"/>
      <c r="P714" s="507"/>
      <c r="Q714" s="507"/>
      <c r="R714" s="507"/>
      <c r="S714" s="507"/>
      <c r="T714" s="507"/>
      <c r="U714" s="507"/>
      <c r="V714" s="510"/>
      <c r="W714" s="510"/>
      <c r="X714" s="510"/>
      <c r="Y714" s="507"/>
    </row>
    <row r="715" spans="1:25">
      <c r="A715" s="507"/>
      <c r="E715" s="507"/>
      <c r="F715" s="510"/>
      <c r="G715" s="510"/>
      <c r="H715" s="507"/>
      <c r="I715" s="507"/>
      <c r="J715" s="507"/>
      <c r="K715" s="507"/>
      <c r="L715" s="507"/>
      <c r="M715" s="507"/>
      <c r="N715" s="507"/>
      <c r="O715" s="507"/>
      <c r="P715" s="507"/>
      <c r="Q715" s="507"/>
      <c r="R715" s="507"/>
      <c r="S715" s="507"/>
      <c r="T715" s="507"/>
      <c r="U715" s="507"/>
      <c r="V715" s="510"/>
      <c r="W715" s="510"/>
      <c r="X715" s="510"/>
      <c r="Y715" s="507"/>
    </row>
    <row r="716" spans="1:25">
      <c r="A716" s="507"/>
      <c r="E716" s="507"/>
      <c r="F716" s="510"/>
      <c r="G716" s="510"/>
      <c r="H716" s="507"/>
      <c r="I716" s="507"/>
      <c r="J716" s="507"/>
      <c r="K716" s="507"/>
      <c r="L716" s="507"/>
      <c r="M716" s="507"/>
      <c r="N716" s="507"/>
      <c r="O716" s="507"/>
      <c r="P716" s="507"/>
      <c r="Q716" s="507"/>
      <c r="R716" s="507"/>
      <c r="S716" s="507"/>
      <c r="T716" s="507"/>
      <c r="U716" s="507"/>
      <c r="V716" s="510"/>
      <c r="W716" s="510"/>
      <c r="X716" s="510"/>
      <c r="Y716" s="507"/>
    </row>
    <row r="717" spans="1:25">
      <c r="A717" s="507"/>
      <c r="E717" s="507"/>
      <c r="F717" s="510"/>
      <c r="G717" s="510"/>
      <c r="H717" s="507"/>
      <c r="I717" s="507"/>
      <c r="J717" s="507"/>
      <c r="K717" s="507"/>
      <c r="L717" s="507"/>
      <c r="M717" s="507"/>
      <c r="N717" s="507"/>
      <c r="O717" s="507"/>
      <c r="P717" s="507"/>
      <c r="Q717" s="507"/>
      <c r="R717" s="507"/>
      <c r="S717" s="507"/>
      <c r="T717" s="507"/>
      <c r="U717" s="507"/>
      <c r="V717" s="510"/>
      <c r="W717" s="510"/>
      <c r="X717" s="510"/>
      <c r="Y717" s="507"/>
    </row>
    <row r="718" spans="1:25">
      <c r="A718" s="507"/>
      <c r="E718" s="507"/>
      <c r="F718" s="510"/>
      <c r="G718" s="510"/>
      <c r="H718" s="507"/>
      <c r="I718" s="507"/>
      <c r="J718" s="507"/>
      <c r="K718" s="507"/>
      <c r="L718" s="507"/>
      <c r="M718" s="507"/>
      <c r="N718" s="507"/>
      <c r="O718" s="507"/>
      <c r="P718" s="507"/>
      <c r="Q718" s="507"/>
      <c r="R718" s="507"/>
      <c r="S718" s="507"/>
      <c r="T718" s="507"/>
      <c r="U718" s="507"/>
      <c r="V718" s="510"/>
      <c r="W718" s="510"/>
      <c r="X718" s="510"/>
      <c r="Y718" s="507"/>
    </row>
    <row r="719" spans="1:25">
      <c r="A719" s="507"/>
      <c r="E719" s="507"/>
      <c r="F719" s="510"/>
      <c r="G719" s="510"/>
      <c r="H719" s="507"/>
      <c r="I719" s="507"/>
      <c r="J719" s="507"/>
      <c r="K719" s="507"/>
      <c r="L719" s="507"/>
      <c r="M719" s="507"/>
      <c r="N719" s="507"/>
      <c r="O719" s="507"/>
      <c r="P719" s="507"/>
      <c r="Q719" s="507"/>
      <c r="R719" s="507"/>
      <c r="S719" s="507"/>
      <c r="T719" s="507"/>
      <c r="U719" s="507"/>
      <c r="V719" s="510"/>
      <c r="W719" s="510"/>
      <c r="X719" s="510"/>
      <c r="Y719" s="507"/>
    </row>
    <row r="720" spans="1:25">
      <c r="A720" s="507"/>
      <c r="E720" s="507"/>
      <c r="F720" s="510"/>
      <c r="G720" s="510"/>
      <c r="H720" s="507"/>
      <c r="I720" s="507"/>
      <c r="J720" s="507"/>
      <c r="K720" s="507"/>
      <c r="L720" s="507"/>
      <c r="M720" s="507"/>
      <c r="N720" s="507"/>
      <c r="O720" s="507"/>
      <c r="P720" s="507"/>
      <c r="Q720" s="507"/>
      <c r="R720" s="507"/>
      <c r="S720" s="507"/>
      <c r="T720" s="507"/>
      <c r="U720" s="507"/>
      <c r="V720" s="510"/>
      <c r="W720" s="510"/>
      <c r="X720" s="510"/>
      <c r="Y720" s="507"/>
    </row>
    <row r="721" spans="1:25">
      <c r="A721" s="507"/>
      <c r="E721" s="507"/>
      <c r="F721" s="510"/>
      <c r="G721" s="510"/>
      <c r="H721" s="507"/>
      <c r="I721" s="507"/>
      <c r="J721" s="507"/>
      <c r="K721" s="507"/>
      <c r="L721" s="507"/>
      <c r="M721" s="507"/>
      <c r="N721" s="507"/>
      <c r="O721" s="507"/>
      <c r="P721" s="507"/>
      <c r="Q721" s="507"/>
      <c r="R721" s="507"/>
      <c r="S721" s="507"/>
      <c r="T721" s="507"/>
      <c r="U721" s="507"/>
      <c r="V721" s="510"/>
      <c r="W721" s="510"/>
      <c r="X721" s="510"/>
      <c r="Y721" s="507"/>
    </row>
    <row r="722" spans="1:25">
      <c r="A722" s="507"/>
      <c r="E722" s="507"/>
      <c r="F722" s="510"/>
      <c r="G722" s="510"/>
      <c r="H722" s="507"/>
      <c r="I722" s="507"/>
      <c r="J722" s="507"/>
      <c r="K722" s="507"/>
      <c r="L722" s="507"/>
      <c r="M722" s="507"/>
      <c r="N722" s="507"/>
      <c r="O722" s="507"/>
      <c r="P722" s="507"/>
      <c r="Q722" s="507"/>
      <c r="R722" s="507"/>
      <c r="S722" s="507"/>
      <c r="T722" s="507"/>
      <c r="U722" s="507"/>
      <c r="V722" s="510"/>
      <c r="W722" s="510"/>
      <c r="X722" s="510"/>
      <c r="Y722" s="507"/>
    </row>
    <row r="723" spans="1:25">
      <c r="A723" s="507"/>
      <c r="E723" s="507"/>
      <c r="F723" s="510"/>
      <c r="G723" s="510"/>
      <c r="H723" s="507"/>
      <c r="I723" s="507"/>
      <c r="J723" s="507"/>
      <c r="K723" s="507"/>
      <c r="L723" s="507"/>
      <c r="M723" s="507"/>
      <c r="N723" s="507"/>
      <c r="O723" s="507"/>
      <c r="P723" s="507"/>
      <c r="Q723" s="507"/>
      <c r="R723" s="507"/>
      <c r="S723" s="507"/>
      <c r="T723" s="507"/>
      <c r="U723" s="507"/>
      <c r="V723" s="510"/>
      <c r="W723" s="510"/>
      <c r="X723" s="510"/>
      <c r="Y723" s="507"/>
    </row>
    <row r="724" spans="1:25">
      <c r="A724" s="507"/>
      <c r="E724" s="507"/>
      <c r="F724" s="510"/>
      <c r="G724" s="510"/>
      <c r="H724" s="507"/>
      <c r="I724" s="507"/>
      <c r="J724" s="507"/>
      <c r="K724" s="507"/>
      <c r="L724" s="507"/>
      <c r="M724" s="507"/>
      <c r="N724" s="507"/>
      <c r="O724" s="507"/>
      <c r="P724" s="507"/>
      <c r="Q724" s="507"/>
      <c r="R724" s="507"/>
      <c r="S724" s="507"/>
      <c r="T724" s="507"/>
      <c r="U724" s="507"/>
      <c r="V724" s="510"/>
      <c r="W724" s="510"/>
      <c r="X724" s="510"/>
      <c r="Y724" s="507"/>
    </row>
    <row r="725" spans="1:25">
      <c r="A725" s="507"/>
      <c r="E725" s="507"/>
      <c r="F725" s="510"/>
      <c r="G725" s="510"/>
      <c r="H725" s="507"/>
      <c r="I725" s="507"/>
      <c r="J725" s="507"/>
      <c r="K725" s="507"/>
      <c r="L725" s="507"/>
      <c r="M725" s="507"/>
      <c r="N725" s="507"/>
      <c r="O725" s="507"/>
      <c r="P725" s="507"/>
      <c r="Q725" s="507"/>
      <c r="R725" s="507"/>
      <c r="S725" s="507"/>
      <c r="T725" s="507"/>
      <c r="U725" s="507"/>
      <c r="V725" s="510"/>
      <c r="W725" s="510"/>
      <c r="X725" s="510"/>
      <c r="Y725" s="507"/>
    </row>
    <row r="726" spans="1:25">
      <c r="A726" s="507"/>
      <c r="E726" s="507"/>
      <c r="F726" s="510"/>
      <c r="G726" s="510"/>
      <c r="H726" s="507"/>
      <c r="I726" s="507"/>
      <c r="J726" s="507"/>
      <c r="K726" s="507"/>
      <c r="L726" s="507"/>
      <c r="M726" s="507"/>
      <c r="N726" s="507"/>
      <c r="O726" s="507"/>
      <c r="P726" s="507"/>
      <c r="Q726" s="507"/>
      <c r="R726" s="507"/>
      <c r="S726" s="507"/>
      <c r="T726" s="507"/>
      <c r="U726" s="507"/>
      <c r="V726" s="510"/>
      <c r="W726" s="510"/>
      <c r="X726" s="510"/>
      <c r="Y726" s="507"/>
    </row>
    <row r="727" spans="1:25">
      <c r="A727" s="507"/>
      <c r="E727" s="507"/>
      <c r="F727" s="510"/>
      <c r="G727" s="510"/>
      <c r="H727" s="507"/>
      <c r="I727" s="507"/>
      <c r="J727" s="507"/>
      <c r="K727" s="507"/>
      <c r="L727" s="507"/>
      <c r="M727" s="507"/>
      <c r="N727" s="507"/>
      <c r="O727" s="507"/>
      <c r="P727" s="507"/>
      <c r="Q727" s="507"/>
      <c r="R727" s="507"/>
      <c r="S727" s="507"/>
      <c r="T727" s="507"/>
      <c r="U727" s="507"/>
      <c r="V727" s="510"/>
      <c r="W727" s="510"/>
      <c r="X727" s="510"/>
      <c r="Y727" s="507"/>
    </row>
    <row r="728" spans="1:25">
      <c r="A728" s="507"/>
      <c r="E728" s="507"/>
      <c r="F728" s="510"/>
      <c r="G728" s="510"/>
      <c r="H728" s="507"/>
      <c r="I728" s="507"/>
      <c r="J728" s="507"/>
      <c r="K728" s="507"/>
      <c r="L728" s="507"/>
      <c r="M728" s="507"/>
      <c r="N728" s="507"/>
      <c r="O728" s="507"/>
      <c r="P728" s="507"/>
      <c r="Q728" s="507"/>
      <c r="R728" s="507"/>
      <c r="S728" s="507"/>
      <c r="T728" s="507"/>
      <c r="U728" s="507"/>
      <c r="V728" s="510"/>
      <c r="W728" s="510"/>
      <c r="X728" s="510"/>
      <c r="Y728" s="507"/>
    </row>
    <row r="729" spans="1:25">
      <c r="A729" s="507"/>
      <c r="E729" s="507"/>
      <c r="F729" s="510"/>
      <c r="G729" s="510"/>
      <c r="H729" s="507"/>
      <c r="I729" s="507"/>
      <c r="J729" s="507"/>
      <c r="K729" s="507"/>
      <c r="L729" s="507"/>
      <c r="M729" s="507"/>
      <c r="N729" s="507"/>
      <c r="O729" s="507"/>
      <c r="P729" s="507"/>
      <c r="Q729" s="507"/>
      <c r="R729" s="507"/>
      <c r="S729" s="507"/>
      <c r="T729" s="507"/>
      <c r="U729" s="507"/>
      <c r="V729" s="510"/>
      <c r="W729" s="510"/>
      <c r="X729" s="510"/>
      <c r="Y729" s="507"/>
    </row>
    <row r="730" spans="1:25">
      <c r="A730" s="507"/>
      <c r="E730" s="507"/>
      <c r="F730" s="510"/>
      <c r="G730" s="510"/>
      <c r="H730" s="507"/>
      <c r="I730" s="507"/>
      <c r="J730" s="507"/>
      <c r="K730" s="507"/>
      <c r="L730" s="507"/>
      <c r="M730" s="507"/>
      <c r="N730" s="507"/>
      <c r="O730" s="507"/>
      <c r="P730" s="507"/>
      <c r="Q730" s="507"/>
      <c r="R730" s="507"/>
      <c r="S730" s="507"/>
      <c r="T730" s="507"/>
      <c r="U730" s="507"/>
      <c r="V730" s="510"/>
      <c r="W730" s="510"/>
      <c r="X730" s="510"/>
      <c r="Y730" s="507"/>
    </row>
    <row r="731" spans="1:25">
      <c r="A731" s="507"/>
      <c r="E731" s="507"/>
      <c r="F731" s="510"/>
      <c r="G731" s="510"/>
      <c r="H731" s="507"/>
      <c r="I731" s="507"/>
      <c r="J731" s="507"/>
      <c r="K731" s="507"/>
      <c r="L731" s="507"/>
      <c r="M731" s="507"/>
      <c r="N731" s="507"/>
      <c r="O731" s="507"/>
      <c r="P731" s="507"/>
      <c r="Q731" s="507"/>
      <c r="R731" s="507"/>
      <c r="S731" s="507"/>
      <c r="T731" s="507"/>
      <c r="U731" s="507"/>
      <c r="V731" s="510"/>
      <c r="W731" s="510"/>
      <c r="X731" s="510"/>
      <c r="Y731" s="507"/>
    </row>
    <row r="732" spans="1:25">
      <c r="A732" s="507"/>
      <c r="E732" s="507"/>
      <c r="F732" s="510"/>
      <c r="G732" s="510"/>
      <c r="H732" s="507"/>
      <c r="I732" s="507"/>
      <c r="J732" s="507"/>
      <c r="K732" s="507"/>
      <c r="L732" s="507"/>
      <c r="M732" s="507"/>
      <c r="N732" s="507"/>
      <c r="O732" s="507"/>
      <c r="P732" s="507"/>
      <c r="Q732" s="507"/>
      <c r="R732" s="507"/>
      <c r="S732" s="507"/>
      <c r="T732" s="507"/>
      <c r="U732" s="507"/>
      <c r="V732" s="510"/>
      <c r="W732" s="510"/>
      <c r="X732" s="510"/>
      <c r="Y732" s="507"/>
    </row>
    <row r="733" spans="1:25">
      <c r="A733" s="507"/>
      <c r="E733" s="507"/>
      <c r="F733" s="510"/>
      <c r="G733" s="510"/>
      <c r="H733" s="507"/>
      <c r="I733" s="507"/>
      <c r="J733" s="507"/>
      <c r="K733" s="507"/>
      <c r="L733" s="507"/>
      <c r="M733" s="507"/>
      <c r="N733" s="507"/>
      <c r="O733" s="507"/>
      <c r="P733" s="507"/>
      <c r="Q733" s="507"/>
      <c r="R733" s="507"/>
      <c r="S733" s="507"/>
      <c r="T733" s="507"/>
      <c r="U733" s="507"/>
      <c r="V733" s="510"/>
      <c r="W733" s="510"/>
      <c r="X733" s="510"/>
      <c r="Y733" s="507"/>
    </row>
    <row r="734" spans="1:25">
      <c r="A734" s="507"/>
      <c r="E734" s="507"/>
      <c r="F734" s="510"/>
      <c r="G734" s="510"/>
      <c r="H734" s="507"/>
      <c r="I734" s="507"/>
      <c r="J734" s="507"/>
      <c r="K734" s="507"/>
      <c r="L734" s="507"/>
      <c r="M734" s="507"/>
      <c r="N734" s="507"/>
      <c r="O734" s="507"/>
      <c r="P734" s="507"/>
      <c r="Q734" s="507"/>
      <c r="R734" s="507"/>
      <c r="S734" s="507"/>
      <c r="T734" s="507"/>
      <c r="U734" s="507"/>
      <c r="V734" s="510"/>
      <c r="W734" s="510"/>
      <c r="X734" s="510"/>
      <c r="Y734" s="507"/>
    </row>
    <row r="735" spans="1:25">
      <c r="A735" s="507"/>
      <c r="E735" s="507"/>
      <c r="F735" s="510"/>
      <c r="G735" s="510"/>
      <c r="H735" s="507"/>
      <c r="I735" s="507"/>
      <c r="J735" s="507"/>
      <c r="K735" s="507"/>
      <c r="L735" s="507"/>
      <c r="M735" s="507"/>
      <c r="N735" s="507"/>
      <c r="O735" s="507"/>
      <c r="P735" s="507"/>
      <c r="Q735" s="507"/>
      <c r="R735" s="507"/>
      <c r="S735" s="507"/>
      <c r="T735" s="507"/>
      <c r="U735" s="507"/>
      <c r="V735" s="510"/>
      <c r="W735" s="510"/>
      <c r="X735" s="510"/>
      <c r="Y735" s="507"/>
    </row>
    <row r="736" spans="1:25">
      <c r="A736" s="507"/>
      <c r="E736" s="507"/>
      <c r="F736" s="510"/>
      <c r="G736" s="510"/>
      <c r="H736" s="507"/>
      <c r="I736" s="507"/>
      <c r="J736" s="507"/>
      <c r="K736" s="507"/>
      <c r="L736" s="507"/>
      <c r="M736" s="507"/>
      <c r="N736" s="507"/>
      <c r="O736" s="507"/>
      <c r="P736" s="507"/>
      <c r="Q736" s="507"/>
      <c r="R736" s="507"/>
      <c r="S736" s="507"/>
      <c r="T736" s="507"/>
      <c r="U736" s="507"/>
      <c r="V736" s="510"/>
      <c r="W736" s="510"/>
      <c r="X736" s="510"/>
      <c r="Y736" s="507"/>
    </row>
    <row r="737" spans="1:25">
      <c r="A737" s="507"/>
      <c r="E737" s="507"/>
      <c r="F737" s="510"/>
      <c r="G737" s="510"/>
      <c r="H737" s="507"/>
      <c r="I737" s="507"/>
      <c r="J737" s="507"/>
      <c r="K737" s="507"/>
      <c r="L737" s="507"/>
      <c r="M737" s="507"/>
      <c r="N737" s="507"/>
      <c r="O737" s="507"/>
      <c r="P737" s="507"/>
      <c r="Q737" s="507"/>
      <c r="R737" s="507"/>
      <c r="S737" s="507"/>
      <c r="T737" s="507"/>
      <c r="U737" s="507"/>
      <c r="V737" s="510"/>
      <c r="W737" s="510"/>
      <c r="X737" s="510"/>
      <c r="Y737" s="507"/>
    </row>
    <row r="738" spans="1:25">
      <c r="A738" s="507"/>
      <c r="E738" s="507"/>
      <c r="F738" s="510"/>
      <c r="G738" s="510"/>
      <c r="H738" s="507"/>
      <c r="I738" s="507"/>
      <c r="J738" s="507"/>
      <c r="K738" s="507"/>
      <c r="L738" s="507"/>
      <c r="M738" s="507"/>
      <c r="N738" s="507"/>
      <c r="O738" s="507"/>
      <c r="P738" s="507"/>
      <c r="Q738" s="507"/>
      <c r="R738" s="507"/>
      <c r="S738" s="507"/>
      <c r="T738" s="507"/>
      <c r="U738" s="507"/>
      <c r="V738" s="510"/>
      <c r="W738" s="510"/>
      <c r="X738" s="510"/>
      <c r="Y738" s="507"/>
    </row>
    <row r="739" spans="1:25">
      <c r="A739" s="507"/>
      <c r="E739" s="507"/>
      <c r="F739" s="510"/>
      <c r="G739" s="510"/>
      <c r="H739" s="507"/>
      <c r="I739" s="507"/>
      <c r="J739" s="507"/>
      <c r="K739" s="507"/>
      <c r="L739" s="507"/>
      <c r="M739" s="507"/>
      <c r="N739" s="507"/>
      <c r="O739" s="507"/>
      <c r="P739" s="507"/>
      <c r="Q739" s="507"/>
      <c r="R739" s="507"/>
      <c r="S739" s="507"/>
      <c r="T739" s="507"/>
      <c r="U739" s="507"/>
      <c r="V739" s="510"/>
      <c r="W739" s="510"/>
      <c r="X739" s="510"/>
      <c r="Y739" s="507"/>
    </row>
    <row r="740" spans="1:25">
      <c r="A740" s="507"/>
      <c r="E740" s="507"/>
      <c r="F740" s="510"/>
      <c r="G740" s="510"/>
      <c r="H740" s="507"/>
      <c r="I740" s="507"/>
      <c r="J740" s="507"/>
      <c r="K740" s="507"/>
      <c r="L740" s="507"/>
      <c r="M740" s="507"/>
      <c r="N740" s="507"/>
      <c r="O740" s="507"/>
      <c r="P740" s="507"/>
      <c r="Q740" s="507"/>
      <c r="R740" s="507"/>
      <c r="S740" s="507"/>
      <c r="T740" s="507"/>
      <c r="U740" s="507"/>
      <c r="V740" s="510"/>
      <c r="W740" s="510"/>
      <c r="X740" s="510"/>
      <c r="Y740" s="507"/>
    </row>
    <row r="741" spans="1:25">
      <c r="A741" s="507"/>
      <c r="E741" s="507"/>
      <c r="F741" s="510"/>
      <c r="G741" s="510"/>
      <c r="H741" s="507"/>
      <c r="I741" s="507"/>
      <c r="J741" s="507"/>
      <c r="K741" s="507"/>
      <c r="L741" s="507"/>
      <c r="M741" s="507"/>
      <c r="N741" s="507"/>
      <c r="O741" s="507"/>
      <c r="P741" s="507"/>
      <c r="Q741" s="507"/>
      <c r="R741" s="507"/>
      <c r="S741" s="507"/>
      <c r="T741" s="507"/>
      <c r="U741" s="507"/>
      <c r="V741" s="510"/>
      <c r="W741" s="510"/>
      <c r="X741" s="510"/>
      <c r="Y741" s="507"/>
    </row>
    <row r="742" spans="1:25">
      <c r="A742" s="507"/>
      <c r="E742" s="507"/>
      <c r="F742" s="510"/>
      <c r="G742" s="510"/>
      <c r="H742" s="507"/>
      <c r="I742" s="507"/>
      <c r="J742" s="507"/>
      <c r="K742" s="507"/>
      <c r="L742" s="507"/>
      <c r="M742" s="507"/>
      <c r="N742" s="507"/>
      <c r="O742" s="507"/>
      <c r="P742" s="507"/>
      <c r="Q742" s="507"/>
      <c r="R742" s="507"/>
      <c r="S742" s="507"/>
      <c r="T742" s="507"/>
      <c r="U742" s="507"/>
      <c r="V742" s="510"/>
      <c r="W742" s="510"/>
      <c r="X742" s="510"/>
      <c r="Y742" s="507"/>
    </row>
    <row r="743" spans="1:25">
      <c r="A743" s="507"/>
      <c r="E743" s="507"/>
      <c r="F743" s="510"/>
      <c r="G743" s="510"/>
      <c r="H743" s="507"/>
      <c r="I743" s="507"/>
      <c r="J743" s="507"/>
      <c r="K743" s="507"/>
      <c r="L743" s="507"/>
      <c r="M743" s="507"/>
      <c r="N743" s="507"/>
      <c r="O743" s="507"/>
      <c r="P743" s="507"/>
      <c r="Q743" s="507"/>
      <c r="R743" s="507"/>
      <c r="S743" s="507"/>
      <c r="T743" s="507"/>
      <c r="U743" s="507"/>
      <c r="V743" s="510"/>
      <c r="W743" s="510"/>
      <c r="X743" s="510"/>
      <c r="Y743" s="507"/>
    </row>
    <row r="744" spans="1:25">
      <c r="A744" s="507"/>
      <c r="E744" s="507"/>
      <c r="F744" s="510"/>
      <c r="G744" s="510"/>
      <c r="H744" s="507"/>
      <c r="I744" s="507"/>
      <c r="J744" s="507"/>
      <c r="K744" s="507"/>
      <c r="L744" s="507"/>
      <c r="M744" s="507"/>
      <c r="N744" s="507"/>
      <c r="O744" s="507"/>
      <c r="P744" s="507"/>
      <c r="Q744" s="507"/>
      <c r="R744" s="507"/>
      <c r="S744" s="507"/>
      <c r="T744" s="507"/>
      <c r="U744" s="507"/>
      <c r="V744" s="510"/>
      <c r="W744" s="510"/>
      <c r="X744" s="510"/>
      <c r="Y744" s="507"/>
    </row>
    <row r="745" spans="1:25">
      <c r="A745" s="507"/>
      <c r="E745" s="507"/>
      <c r="F745" s="510"/>
      <c r="G745" s="510"/>
      <c r="H745" s="507"/>
      <c r="I745" s="507"/>
      <c r="J745" s="507"/>
      <c r="K745" s="507"/>
      <c r="L745" s="507"/>
      <c r="M745" s="507"/>
      <c r="N745" s="507"/>
      <c r="O745" s="507"/>
      <c r="P745" s="507"/>
      <c r="Q745" s="507"/>
      <c r="R745" s="507"/>
      <c r="S745" s="507"/>
      <c r="T745" s="507"/>
      <c r="U745" s="507"/>
      <c r="V745" s="510"/>
      <c r="W745" s="510"/>
      <c r="X745" s="510"/>
      <c r="Y745" s="507"/>
    </row>
    <row r="746" spans="1:25">
      <c r="A746" s="507"/>
      <c r="E746" s="507"/>
      <c r="F746" s="510"/>
      <c r="G746" s="510"/>
      <c r="H746" s="507"/>
      <c r="I746" s="507"/>
      <c r="J746" s="507"/>
      <c r="K746" s="507"/>
      <c r="L746" s="507"/>
      <c r="M746" s="507"/>
      <c r="N746" s="507"/>
      <c r="O746" s="507"/>
      <c r="P746" s="507"/>
      <c r="Q746" s="507"/>
      <c r="R746" s="507"/>
      <c r="S746" s="507"/>
      <c r="T746" s="507"/>
      <c r="U746" s="507"/>
      <c r="V746" s="510"/>
      <c r="W746" s="510"/>
      <c r="X746" s="510"/>
      <c r="Y746" s="507"/>
    </row>
    <row r="747" spans="1:25">
      <c r="A747" s="507"/>
      <c r="E747" s="507"/>
      <c r="F747" s="510"/>
      <c r="G747" s="510"/>
      <c r="H747" s="507"/>
      <c r="I747" s="507"/>
      <c r="J747" s="507"/>
      <c r="K747" s="507"/>
      <c r="L747" s="507"/>
      <c r="M747" s="507"/>
      <c r="N747" s="507"/>
      <c r="O747" s="507"/>
      <c r="P747" s="507"/>
      <c r="Q747" s="507"/>
      <c r="R747" s="507"/>
      <c r="S747" s="507"/>
      <c r="T747" s="507"/>
      <c r="U747" s="507"/>
      <c r="V747" s="510"/>
      <c r="W747" s="510"/>
      <c r="X747" s="510"/>
      <c r="Y747" s="507"/>
    </row>
    <row r="748" spans="1:25">
      <c r="A748" s="507"/>
      <c r="E748" s="507"/>
      <c r="F748" s="510"/>
      <c r="G748" s="510"/>
      <c r="H748" s="507"/>
      <c r="I748" s="507"/>
      <c r="J748" s="507"/>
      <c r="K748" s="507"/>
      <c r="L748" s="507"/>
      <c r="M748" s="507"/>
      <c r="N748" s="507"/>
      <c r="O748" s="507"/>
      <c r="P748" s="507"/>
      <c r="Q748" s="507"/>
      <c r="R748" s="507"/>
      <c r="S748" s="507"/>
      <c r="T748" s="507"/>
      <c r="U748" s="507"/>
      <c r="V748" s="510"/>
      <c r="W748" s="510"/>
      <c r="X748" s="510"/>
      <c r="Y748" s="507"/>
    </row>
    <row r="749" spans="1:25">
      <c r="A749" s="507"/>
      <c r="E749" s="507"/>
      <c r="F749" s="510"/>
      <c r="G749" s="510"/>
      <c r="H749" s="507"/>
      <c r="I749" s="507"/>
      <c r="J749" s="507"/>
      <c r="K749" s="507"/>
      <c r="L749" s="507"/>
      <c r="M749" s="507"/>
      <c r="N749" s="507"/>
      <c r="O749" s="507"/>
      <c r="P749" s="507"/>
      <c r="Q749" s="507"/>
      <c r="R749" s="507"/>
      <c r="S749" s="507"/>
      <c r="T749" s="507"/>
      <c r="U749" s="507"/>
      <c r="V749" s="510"/>
      <c r="W749" s="510"/>
      <c r="X749" s="510"/>
      <c r="Y749" s="507"/>
    </row>
    <row r="750" spans="1:25">
      <c r="A750" s="507"/>
      <c r="E750" s="507"/>
      <c r="F750" s="510"/>
      <c r="G750" s="510"/>
      <c r="H750" s="507"/>
      <c r="I750" s="507"/>
      <c r="J750" s="507"/>
      <c r="K750" s="507"/>
      <c r="L750" s="507"/>
      <c r="M750" s="507"/>
      <c r="N750" s="507"/>
      <c r="O750" s="507"/>
      <c r="P750" s="507"/>
      <c r="Q750" s="507"/>
      <c r="R750" s="507"/>
      <c r="S750" s="507"/>
      <c r="T750" s="507"/>
      <c r="U750" s="507"/>
      <c r="V750" s="510"/>
      <c r="W750" s="510"/>
      <c r="X750" s="510"/>
      <c r="Y750" s="507"/>
    </row>
    <row r="751" spans="1:25">
      <c r="A751" s="507"/>
      <c r="E751" s="507"/>
      <c r="F751" s="510"/>
      <c r="G751" s="510"/>
      <c r="H751" s="507"/>
      <c r="I751" s="507"/>
      <c r="J751" s="507"/>
      <c r="K751" s="507"/>
      <c r="L751" s="507"/>
      <c r="M751" s="507"/>
      <c r="N751" s="507"/>
      <c r="O751" s="507"/>
      <c r="P751" s="507"/>
      <c r="Q751" s="507"/>
      <c r="R751" s="507"/>
      <c r="S751" s="507"/>
      <c r="T751" s="507"/>
      <c r="U751" s="507"/>
      <c r="V751" s="510"/>
      <c r="W751" s="510"/>
      <c r="X751" s="510"/>
      <c r="Y751" s="507"/>
    </row>
    <row r="752" spans="1:25">
      <c r="A752" s="507"/>
      <c r="E752" s="507"/>
      <c r="F752" s="510"/>
      <c r="G752" s="510"/>
      <c r="H752" s="507"/>
      <c r="I752" s="507"/>
      <c r="J752" s="507"/>
      <c r="K752" s="507"/>
      <c r="L752" s="507"/>
      <c r="M752" s="507"/>
      <c r="N752" s="507"/>
      <c r="O752" s="507"/>
      <c r="P752" s="507"/>
      <c r="Q752" s="507"/>
      <c r="R752" s="507"/>
      <c r="S752" s="507"/>
      <c r="T752" s="507"/>
      <c r="U752" s="507"/>
      <c r="V752" s="510"/>
      <c r="W752" s="510"/>
      <c r="X752" s="510"/>
      <c r="Y752" s="507"/>
    </row>
    <row r="753" spans="1:25">
      <c r="A753" s="507"/>
      <c r="E753" s="507"/>
      <c r="F753" s="510"/>
      <c r="G753" s="510"/>
      <c r="H753" s="507"/>
      <c r="I753" s="507"/>
      <c r="J753" s="507"/>
      <c r="K753" s="507"/>
      <c r="L753" s="507"/>
      <c r="M753" s="507"/>
      <c r="N753" s="507"/>
      <c r="O753" s="507"/>
      <c r="P753" s="507"/>
      <c r="Q753" s="507"/>
      <c r="R753" s="507"/>
      <c r="S753" s="507"/>
      <c r="T753" s="507"/>
      <c r="U753" s="507"/>
      <c r="V753" s="510"/>
      <c r="W753" s="510"/>
      <c r="X753" s="510"/>
      <c r="Y753" s="507"/>
    </row>
    <row r="754" spans="1:25">
      <c r="A754" s="507"/>
      <c r="E754" s="507"/>
      <c r="F754" s="510"/>
      <c r="G754" s="510"/>
      <c r="H754" s="507"/>
      <c r="I754" s="507"/>
      <c r="J754" s="507"/>
      <c r="K754" s="507"/>
      <c r="L754" s="507"/>
      <c r="M754" s="507"/>
      <c r="N754" s="507"/>
      <c r="O754" s="507"/>
      <c r="P754" s="507"/>
      <c r="Q754" s="507"/>
      <c r="R754" s="507"/>
      <c r="S754" s="507"/>
      <c r="T754" s="507"/>
      <c r="U754" s="507"/>
      <c r="V754" s="510"/>
      <c r="W754" s="510"/>
      <c r="X754" s="510"/>
      <c r="Y754" s="507"/>
    </row>
    <row r="755" spans="1:25">
      <c r="A755" s="507"/>
      <c r="E755" s="507"/>
      <c r="F755" s="510"/>
      <c r="G755" s="510"/>
      <c r="H755" s="507"/>
      <c r="I755" s="507"/>
      <c r="J755" s="507"/>
      <c r="K755" s="507"/>
      <c r="L755" s="507"/>
      <c r="M755" s="507"/>
      <c r="N755" s="507"/>
      <c r="O755" s="507"/>
      <c r="P755" s="507"/>
      <c r="Q755" s="507"/>
      <c r="R755" s="507"/>
      <c r="S755" s="507"/>
      <c r="T755" s="507"/>
      <c r="U755" s="507"/>
      <c r="V755" s="510"/>
      <c r="W755" s="510"/>
      <c r="X755" s="510"/>
      <c r="Y755" s="507"/>
    </row>
    <row r="756" spans="1:25">
      <c r="A756" s="507"/>
      <c r="E756" s="507"/>
      <c r="F756" s="510"/>
      <c r="G756" s="510"/>
      <c r="H756" s="507"/>
      <c r="I756" s="507"/>
      <c r="J756" s="507"/>
      <c r="K756" s="507"/>
      <c r="L756" s="507"/>
      <c r="M756" s="507"/>
      <c r="N756" s="507"/>
      <c r="O756" s="507"/>
      <c r="P756" s="507"/>
      <c r="Q756" s="507"/>
      <c r="R756" s="507"/>
      <c r="S756" s="507"/>
      <c r="T756" s="507"/>
      <c r="U756" s="507"/>
      <c r="V756" s="510"/>
      <c r="W756" s="510"/>
      <c r="X756" s="510"/>
      <c r="Y756" s="507"/>
    </row>
    <row r="757" spans="1:25">
      <c r="A757" s="507"/>
      <c r="E757" s="507"/>
      <c r="F757" s="510"/>
      <c r="G757" s="510"/>
      <c r="H757" s="507"/>
      <c r="I757" s="507"/>
      <c r="J757" s="507"/>
      <c r="K757" s="507"/>
      <c r="L757" s="507"/>
      <c r="M757" s="507"/>
      <c r="N757" s="507"/>
      <c r="O757" s="507"/>
      <c r="P757" s="507"/>
      <c r="Q757" s="507"/>
      <c r="R757" s="507"/>
      <c r="S757" s="507"/>
      <c r="T757" s="507"/>
      <c r="U757" s="507"/>
      <c r="V757" s="510"/>
      <c r="W757" s="510"/>
      <c r="X757" s="510"/>
      <c r="Y757" s="507"/>
    </row>
    <row r="758" spans="1:25">
      <c r="A758" s="507"/>
      <c r="E758" s="507"/>
      <c r="F758" s="510"/>
      <c r="G758" s="510"/>
      <c r="H758" s="507"/>
      <c r="I758" s="507"/>
      <c r="J758" s="507"/>
      <c r="K758" s="507"/>
      <c r="L758" s="507"/>
      <c r="M758" s="507"/>
      <c r="N758" s="507"/>
      <c r="O758" s="507"/>
      <c r="P758" s="507"/>
      <c r="Q758" s="507"/>
      <c r="R758" s="507"/>
      <c r="S758" s="507"/>
      <c r="T758" s="507"/>
      <c r="U758" s="507"/>
      <c r="V758" s="510"/>
      <c r="W758" s="510"/>
      <c r="X758" s="510"/>
      <c r="Y758" s="507"/>
    </row>
    <row r="759" spans="1:25">
      <c r="A759" s="507"/>
      <c r="E759" s="507"/>
      <c r="F759" s="510"/>
      <c r="G759" s="510"/>
      <c r="H759" s="507"/>
      <c r="I759" s="507"/>
      <c r="J759" s="507"/>
      <c r="K759" s="507"/>
      <c r="L759" s="507"/>
      <c r="M759" s="507"/>
      <c r="N759" s="507"/>
      <c r="O759" s="507"/>
      <c r="P759" s="507"/>
      <c r="Q759" s="507"/>
      <c r="R759" s="507"/>
      <c r="S759" s="507"/>
      <c r="T759" s="507"/>
      <c r="U759" s="507"/>
      <c r="V759" s="510"/>
      <c r="W759" s="510"/>
      <c r="X759" s="510"/>
      <c r="Y759" s="507"/>
    </row>
    <row r="760" spans="1:25">
      <c r="A760" s="507"/>
      <c r="E760" s="507"/>
      <c r="F760" s="510"/>
      <c r="G760" s="510"/>
      <c r="H760" s="507"/>
      <c r="I760" s="507"/>
      <c r="J760" s="507"/>
      <c r="K760" s="507"/>
      <c r="L760" s="507"/>
      <c r="M760" s="507"/>
      <c r="N760" s="507"/>
      <c r="O760" s="507"/>
      <c r="P760" s="507"/>
      <c r="Q760" s="507"/>
      <c r="R760" s="507"/>
      <c r="S760" s="507"/>
      <c r="T760" s="507"/>
      <c r="U760" s="507"/>
      <c r="V760" s="510"/>
      <c r="W760" s="510"/>
      <c r="X760" s="510"/>
      <c r="Y760" s="507"/>
    </row>
    <row r="761" spans="1:25">
      <c r="A761" s="507"/>
      <c r="E761" s="507"/>
      <c r="F761" s="510"/>
      <c r="G761" s="510"/>
      <c r="H761" s="507"/>
      <c r="I761" s="507"/>
      <c r="J761" s="507"/>
      <c r="K761" s="507"/>
      <c r="L761" s="507"/>
      <c r="M761" s="507"/>
      <c r="N761" s="507"/>
      <c r="O761" s="507"/>
      <c r="P761" s="507"/>
      <c r="Q761" s="507"/>
      <c r="R761" s="507"/>
      <c r="S761" s="507"/>
      <c r="T761" s="507"/>
      <c r="U761" s="507"/>
      <c r="V761" s="510"/>
      <c r="W761" s="510"/>
      <c r="X761" s="510"/>
      <c r="Y761" s="507"/>
    </row>
    <row r="762" spans="1:25">
      <c r="A762" s="507"/>
      <c r="E762" s="507"/>
      <c r="F762" s="510"/>
      <c r="G762" s="510"/>
      <c r="H762" s="507"/>
      <c r="I762" s="507"/>
      <c r="J762" s="507"/>
      <c r="K762" s="507"/>
      <c r="L762" s="507"/>
      <c r="M762" s="507"/>
      <c r="N762" s="507"/>
      <c r="O762" s="507"/>
      <c r="P762" s="507"/>
      <c r="Q762" s="507"/>
      <c r="R762" s="507"/>
      <c r="S762" s="507"/>
      <c r="T762" s="507"/>
      <c r="U762" s="507"/>
      <c r="V762" s="510"/>
      <c r="W762" s="510"/>
      <c r="X762" s="510"/>
      <c r="Y762" s="507"/>
    </row>
    <row r="763" spans="1:25">
      <c r="A763" s="507"/>
      <c r="E763" s="507"/>
      <c r="F763" s="510"/>
      <c r="G763" s="510"/>
      <c r="H763" s="507"/>
      <c r="I763" s="507"/>
      <c r="J763" s="507"/>
      <c r="K763" s="507"/>
      <c r="L763" s="507"/>
      <c r="M763" s="507"/>
      <c r="N763" s="507"/>
      <c r="O763" s="507"/>
      <c r="P763" s="507"/>
      <c r="Q763" s="507"/>
      <c r="R763" s="507"/>
      <c r="S763" s="507"/>
      <c r="T763" s="507"/>
      <c r="U763" s="507"/>
      <c r="V763" s="510"/>
      <c r="W763" s="510"/>
      <c r="X763" s="510"/>
      <c r="Y763" s="507"/>
    </row>
    <row r="764" spans="1:25">
      <c r="A764" s="507"/>
      <c r="E764" s="507"/>
      <c r="F764" s="510"/>
      <c r="G764" s="510"/>
      <c r="H764" s="507"/>
      <c r="I764" s="507"/>
      <c r="J764" s="507"/>
      <c r="K764" s="507"/>
      <c r="L764" s="507"/>
      <c r="M764" s="507"/>
      <c r="N764" s="507"/>
      <c r="O764" s="507"/>
      <c r="P764" s="507"/>
      <c r="Q764" s="507"/>
      <c r="R764" s="507"/>
      <c r="S764" s="507"/>
      <c r="T764" s="507"/>
      <c r="U764" s="507"/>
      <c r="V764" s="510"/>
      <c r="W764" s="510"/>
      <c r="X764" s="510"/>
      <c r="Y764" s="507"/>
    </row>
    <row r="765" spans="1:25">
      <c r="A765" s="507"/>
      <c r="E765" s="507"/>
      <c r="F765" s="510"/>
      <c r="G765" s="510"/>
      <c r="H765" s="507"/>
      <c r="I765" s="507"/>
      <c r="J765" s="507"/>
      <c r="K765" s="507"/>
      <c r="L765" s="507"/>
      <c r="M765" s="507"/>
      <c r="N765" s="507"/>
      <c r="O765" s="507"/>
      <c r="P765" s="507"/>
      <c r="Q765" s="507"/>
      <c r="R765" s="507"/>
      <c r="S765" s="507"/>
      <c r="T765" s="507"/>
      <c r="U765" s="507"/>
      <c r="V765" s="510"/>
      <c r="W765" s="510"/>
      <c r="X765" s="510"/>
      <c r="Y765" s="507"/>
    </row>
    <row r="766" spans="1:25">
      <c r="A766" s="507"/>
      <c r="E766" s="507"/>
      <c r="F766" s="510"/>
      <c r="G766" s="510"/>
      <c r="H766" s="507"/>
      <c r="I766" s="507"/>
      <c r="J766" s="507"/>
      <c r="K766" s="507"/>
      <c r="L766" s="507"/>
      <c r="M766" s="507"/>
      <c r="N766" s="507"/>
      <c r="O766" s="507"/>
      <c r="P766" s="507"/>
      <c r="Q766" s="507"/>
      <c r="R766" s="507"/>
      <c r="S766" s="507"/>
      <c r="T766" s="507"/>
      <c r="U766" s="507"/>
      <c r="V766" s="510"/>
      <c r="W766" s="510"/>
      <c r="X766" s="510"/>
      <c r="Y766" s="507"/>
    </row>
    <row r="767" spans="1:25">
      <c r="A767" s="507"/>
      <c r="E767" s="507"/>
      <c r="F767" s="510"/>
      <c r="G767" s="510"/>
      <c r="H767" s="507"/>
      <c r="I767" s="507"/>
      <c r="J767" s="507"/>
      <c r="K767" s="507"/>
      <c r="L767" s="507"/>
      <c r="M767" s="507"/>
      <c r="N767" s="507"/>
      <c r="O767" s="507"/>
      <c r="P767" s="507"/>
      <c r="Q767" s="507"/>
      <c r="R767" s="507"/>
      <c r="S767" s="507"/>
      <c r="T767" s="507"/>
      <c r="U767" s="507"/>
      <c r="V767" s="510"/>
      <c r="W767" s="510"/>
      <c r="X767" s="510"/>
      <c r="Y767" s="507"/>
    </row>
    <row r="768" spans="1:25">
      <c r="A768" s="507"/>
      <c r="E768" s="507"/>
      <c r="F768" s="510"/>
      <c r="G768" s="510"/>
      <c r="H768" s="507"/>
      <c r="I768" s="507"/>
      <c r="J768" s="507"/>
      <c r="K768" s="507"/>
      <c r="L768" s="507"/>
      <c r="M768" s="507"/>
      <c r="N768" s="507"/>
      <c r="O768" s="507"/>
      <c r="P768" s="507"/>
      <c r="Q768" s="507"/>
      <c r="R768" s="507"/>
      <c r="S768" s="507"/>
      <c r="T768" s="507"/>
      <c r="U768" s="507"/>
      <c r="V768" s="510"/>
      <c r="W768" s="510"/>
      <c r="X768" s="510"/>
      <c r="Y768" s="507"/>
    </row>
    <row r="769" spans="1:25">
      <c r="A769" s="507"/>
      <c r="E769" s="507"/>
      <c r="F769" s="510"/>
      <c r="G769" s="510"/>
      <c r="H769" s="507"/>
      <c r="I769" s="507"/>
      <c r="J769" s="507"/>
      <c r="K769" s="507"/>
      <c r="L769" s="507"/>
      <c r="M769" s="507"/>
      <c r="N769" s="507"/>
      <c r="O769" s="507"/>
      <c r="P769" s="507"/>
      <c r="Q769" s="507"/>
      <c r="R769" s="507"/>
      <c r="S769" s="507"/>
      <c r="T769" s="507"/>
      <c r="U769" s="507"/>
      <c r="V769" s="510"/>
      <c r="W769" s="510"/>
      <c r="X769" s="510"/>
      <c r="Y769" s="507"/>
    </row>
    <row r="770" spans="1:25">
      <c r="A770" s="507"/>
      <c r="E770" s="507"/>
      <c r="F770" s="510"/>
      <c r="G770" s="510"/>
      <c r="H770" s="507"/>
      <c r="I770" s="507"/>
      <c r="J770" s="507"/>
      <c r="K770" s="507"/>
      <c r="L770" s="507"/>
      <c r="M770" s="507"/>
      <c r="N770" s="507"/>
      <c r="O770" s="507"/>
      <c r="P770" s="507"/>
      <c r="Q770" s="507"/>
      <c r="R770" s="507"/>
      <c r="S770" s="507"/>
      <c r="T770" s="507"/>
      <c r="U770" s="507"/>
      <c r="V770" s="510"/>
      <c r="W770" s="510"/>
      <c r="X770" s="510"/>
      <c r="Y770" s="507"/>
    </row>
    <row r="771" spans="1:25">
      <c r="A771" s="507"/>
      <c r="E771" s="507"/>
      <c r="F771" s="510"/>
      <c r="G771" s="510"/>
      <c r="H771" s="507"/>
      <c r="I771" s="507"/>
      <c r="J771" s="507"/>
      <c r="K771" s="507"/>
      <c r="L771" s="507"/>
      <c r="M771" s="507"/>
      <c r="N771" s="507"/>
      <c r="O771" s="507"/>
      <c r="P771" s="507"/>
      <c r="Q771" s="507"/>
      <c r="R771" s="507"/>
      <c r="S771" s="507"/>
      <c r="T771" s="507"/>
      <c r="U771" s="507"/>
      <c r="V771" s="510"/>
      <c r="W771" s="510"/>
      <c r="X771" s="510"/>
      <c r="Y771" s="507"/>
    </row>
    <row r="772" spans="1:25">
      <c r="A772" s="507"/>
      <c r="E772" s="507"/>
      <c r="F772" s="510"/>
      <c r="G772" s="510"/>
      <c r="H772" s="507"/>
      <c r="I772" s="507"/>
      <c r="J772" s="507"/>
      <c r="K772" s="507"/>
      <c r="L772" s="507"/>
      <c r="M772" s="507"/>
      <c r="N772" s="507"/>
      <c r="O772" s="507"/>
      <c r="P772" s="507"/>
      <c r="Q772" s="507"/>
      <c r="R772" s="507"/>
      <c r="S772" s="507"/>
      <c r="T772" s="507"/>
      <c r="U772" s="507"/>
      <c r="V772" s="510"/>
      <c r="W772" s="510"/>
      <c r="X772" s="510"/>
      <c r="Y772" s="507"/>
    </row>
    <row r="773" spans="1:25">
      <c r="A773" s="507"/>
      <c r="E773" s="507"/>
      <c r="F773" s="510"/>
      <c r="G773" s="510"/>
      <c r="H773" s="507"/>
      <c r="I773" s="507"/>
      <c r="J773" s="507"/>
      <c r="K773" s="507"/>
      <c r="L773" s="507"/>
      <c r="M773" s="507"/>
      <c r="N773" s="507"/>
      <c r="O773" s="507"/>
      <c r="P773" s="507"/>
      <c r="Q773" s="507"/>
      <c r="R773" s="507"/>
      <c r="S773" s="507"/>
      <c r="T773" s="507"/>
      <c r="U773" s="507"/>
      <c r="V773" s="510"/>
      <c r="W773" s="510"/>
      <c r="X773" s="510"/>
      <c r="Y773" s="507"/>
    </row>
    <row r="774" spans="1:25">
      <c r="A774" s="507"/>
      <c r="E774" s="507"/>
      <c r="F774" s="510"/>
      <c r="G774" s="510"/>
      <c r="H774" s="507"/>
      <c r="I774" s="507"/>
      <c r="J774" s="507"/>
      <c r="K774" s="507"/>
      <c r="L774" s="507"/>
      <c r="M774" s="507"/>
      <c r="N774" s="507"/>
      <c r="O774" s="507"/>
      <c r="P774" s="507"/>
      <c r="Q774" s="507"/>
      <c r="R774" s="507"/>
      <c r="S774" s="507"/>
      <c r="T774" s="507"/>
      <c r="U774" s="507"/>
      <c r="V774" s="510"/>
      <c r="W774" s="510"/>
      <c r="X774" s="510"/>
      <c r="Y774" s="507"/>
    </row>
    <row r="775" spans="1:25">
      <c r="A775" s="507"/>
      <c r="E775" s="507"/>
      <c r="F775" s="510"/>
      <c r="G775" s="510"/>
      <c r="H775" s="507"/>
      <c r="I775" s="507"/>
      <c r="J775" s="507"/>
      <c r="K775" s="507"/>
      <c r="L775" s="507"/>
      <c r="M775" s="507"/>
      <c r="N775" s="507"/>
      <c r="O775" s="507"/>
      <c r="P775" s="507"/>
      <c r="Q775" s="507"/>
      <c r="R775" s="507"/>
      <c r="S775" s="507"/>
      <c r="T775" s="507"/>
      <c r="U775" s="507"/>
      <c r="V775" s="510"/>
      <c r="W775" s="510"/>
      <c r="X775" s="510"/>
      <c r="Y775" s="507"/>
    </row>
    <row r="776" spans="1:25">
      <c r="A776" s="507"/>
      <c r="E776" s="507"/>
      <c r="F776" s="510"/>
      <c r="G776" s="510"/>
      <c r="H776" s="507"/>
      <c r="I776" s="507"/>
      <c r="J776" s="507"/>
      <c r="K776" s="507"/>
      <c r="L776" s="507"/>
      <c r="M776" s="507"/>
      <c r="N776" s="507"/>
      <c r="O776" s="507"/>
      <c r="P776" s="507"/>
      <c r="Q776" s="507"/>
      <c r="R776" s="507"/>
      <c r="S776" s="507"/>
      <c r="T776" s="507"/>
      <c r="U776" s="507"/>
      <c r="V776" s="510"/>
      <c r="W776" s="510"/>
      <c r="X776" s="510"/>
      <c r="Y776" s="507"/>
    </row>
    <row r="777" spans="1:25">
      <c r="A777" s="507"/>
      <c r="E777" s="507"/>
      <c r="F777" s="510"/>
      <c r="G777" s="510"/>
      <c r="H777" s="507"/>
      <c r="I777" s="507"/>
      <c r="J777" s="507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  <c r="V777" s="510"/>
      <c r="W777" s="510"/>
      <c r="X777" s="510"/>
      <c r="Y777" s="507"/>
    </row>
    <row r="778" spans="1:25">
      <c r="A778" s="507"/>
      <c r="E778" s="507"/>
      <c r="F778" s="510"/>
      <c r="G778" s="510"/>
      <c r="H778" s="507"/>
      <c r="I778" s="507"/>
      <c r="J778" s="507"/>
      <c r="K778" s="507"/>
      <c r="L778" s="507"/>
      <c r="M778" s="507"/>
      <c r="N778" s="507"/>
      <c r="O778" s="507"/>
      <c r="P778" s="507"/>
      <c r="Q778" s="507"/>
      <c r="R778" s="507"/>
      <c r="S778" s="507"/>
      <c r="T778" s="507"/>
      <c r="U778" s="507"/>
      <c r="V778" s="510"/>
      <c r="W778" s="510"/>
      <c r="X778" s="510"/>
      <c r="Y778" s="507"/>
    </row>
    <row r="779" spans="1:25">
      <c r="A779" s="507"/>
      <c r="E779" s="507"/>
      <c r="F779" s="510"/>
      <c r="G779" s="510"/>
      <c r="H779" s="507"/>
      <c r="I779" s="507"/>
      <c r="J779" s="507"/>
      <c r="K779" s="507"/>
      <c r="L779" s="507"/>
      <c r="M779" s="507"/>
      <c r="N779" s="507"/>
      <c r="O779" s="507"/>
      <c r="P779" s="507"/>
      <c r="Q779" s="507"/>
      <c r="R779" s="507"/>
      <c r="S779" s="507"/>
      <c r="T779" s="507"/>
      <c r="U779" s="507"/>
      <c r="V779" s="510"/>
      <c r="W779" s="510"/>
      <c r="X779" s="510"/>
      <c r="Y779" s="507"/>
    </row>
    <row r="780" spans="1:25">
      <c r="A780" s="507"/>
      <c r="E780" s="507"/>
      <c r="F780" s="510"/>
      <c r="G780" s="510"/>
      <c r="H780" s="507"/>
      <c r="I780" s="507"/>
      <c r="J780" s="507"/>
      <c r="K780" s="507"/>
      <c r="L780" s="507"/>
      <c r="M780" s="507"/>
      <c r="N780" s="507"/>
      <c r="O780" s="507"/>
      <c r="P780" s="507"/>
      <c r="Q780" s="507"/>
      <c r="R780" s="507"/>
      <c r="S780" s="507"/>
      <c r="T780" s="507"/>
      <c r="U780" s="507"/>
      <c r="V780" s="510"/>
      <c r="W780" s="510"/>
      <c r="X780" s="510"/>
      <c r="Y780" s="507"/>
    </row>
    <row r="781" spans="1:25">
      <c r="A781" s="507"/>
      <c r="E781" s="507"/>
      <c r="F781" s="510"/>
      <c r="G781" s="510"/>
      <c r="H781" s="507"/>
      <c r="I781" s="507"/>
      <c r="J781" s="507"/>
      <c r="K781" s="507"/>
      <c r="L781" s="507"/>
      <c r="M781" s="507"/>
      <c r="N781" s="507"/>
      <c r="O781" s="507"/>
      <c r="P781" s="507"/>
      <c r="Q781" s="507"/>
      <c r="R781" s="507"/>
      <c r="S781" s="507"/>
      <c r="T781" s="507"/>
      <c r="U781" s="507"/>
      <c r="V781" s="510"/>
      <c r="W781" s="510"/>
      <c r="X781" s="510"/>
      <c r="Y781" s="507"/>
    </row>
    <row r="782" spans="1:25">
      <c r="A782" s="507"/>
      <c r="E782" s="507"/>
      <c r="F782" s="510"/>
      <c r="G782" s="510"/>
      <c r="H782" s="507"/>
      <c r="I782" s="507"/>
      <c r="J782" s="507"/>
      <c r="K782" s="507"/>
      <c r="L782" s="507"/>
      <c r="M782" s="507"/>
      <c r="N782" s="507"/>
      <c r="O782" s="507"/>
      <c r="P782" s="507"/>
      <c r="Q782" s="507"/>
      <c r="R782" s="507"/>
      <c r="S782" s="507"/>
      <c r="T782" s="507"/>
      <c r="U782" s="507"/>
      <c r="V782" s="510"/>
      <c r="W782" s="510"/>
      <c r="X782" s="510"/>
      <c r="Y782" s="507"/>
    </row>
    <row r="783" spans="1:25">
      <c r="A783" s="507"/>
      <c r="E783" s="507"/>
      <c r="F783" s="510"/>
      <c r="G783" s="510"/>
      <c r="H783" s="507"/>
      <c r="I783" s="507"/>
      <c r="J783" s="507"/>
      <c r="K783" s="507"/>
      <c r="L783" s="507"/>
      <c r="M783" s="507"/>
      <c r="N783" s="507"/>
      <c r="O783" s="507"/>
      <c r="P783" s="507"/>
      <c r="Q783" s="507"/>
      <c r="R783" s="507"/>
      <c r="S783" s="507"/>
      <c r="T783" s="507"/>
      <c r="U783" s="507"/>
      <c r="V783" s="510"/>
      <c r="W783" s="510"/>
      <c r="X783" s="510"/>
      <c r="Y783" s="507"/>
    </row>
    <row r="784" spans="1:25">
      <c r="A784" s="507"/>
      <c r="E784" s="507"/>
      <c r="F784" s="510"/>
      <c r="G784" s="510"/>
      <c r="H784" s="507"/>
      <c r="I784" s="507"/>
      <c r="J784" s="507"/>
      <c r="K784" s="507"/>
      <c r="L784" s="507"/>
      <c r="M784" s="507"/>
      <c r="N784" s="507"/>
      <c r="O784" s="507"/>
      <c r="P784" s="507"/>
      <c r="Q784" s="507"/>
      <c r="R784" s="507"/>
      <c r="S784" s="507"/>
      <c r="T784" s="507"/>
      <c r="U784" s="507"/>
      <c r="V784" s="510"/>
      <c r="W784" s="510"/>
      <c r="X784" s="510"/>
      <c r="Y784" s="507"/>
    </row>
    <row r="785" spans="1:25">
      <c r="A785" s="507"/>
      <c r="E785" s="507"/>
      <c r="F785" s="510"/>
      <c r="G785" s="510"/>
      <c r="H785" s="507"/>
      <c r="I785" s="507"/>
      <c r="J785" s="507"/>
      <c r="K785" s="507"/>
      <c r="L785" s="507"/>
      <c r="M785" s="507"/>
      <c r="N785" s="507"/>
      <c r="O785" s="507"/>
      <c r="P785" s="507"/>
      <c r="Q785" s="507"/>
      <c r="R785" s="507"/>
      <c r="S785" s="507"/>
      <c r="T785" s="507"/>
      <c r="U785" s="507"/>
      <c r="V785" s="510"/>
      <c r="W785" s="510"/>
      <c r="X785" s="510"/>
      <c r="Y785" s="507"/>
    </row>
    <row r="786" spans="1:25">
      <c r="A786" s="507"/>
      <c r="E786" s="507"/>
      <c r="F786" s="510"/>
      <c r="G786" s="510"/>
      <c r="H786" s="507"/>
      <c r="I786" s="507"/>
      <c r="J786" s="507"/>
      <c r="K786" s="507"/>
      <c r="L786" s="507"/>
      <c r="M786" s="507"/>
      <c r="N786" s="507"/>
      <c r="O786" s="507"/>
      <c r="P786" s="507"/>
      <c r="Q786" s="507"/>
      <c r="R786" s="507"/>
      <c r="S786" s="507"/>
      <c r="T786" s="507"/>
      <c r="U786" s="507"/>
      <c r="V786" s="510"/>
      <c r="W786" s="510"/>
      <c r="X786" s="510"/>
      <c r="Y786" s="507"/>
    </row>
    <row r="787" spans="1:25">
      <c r="A787" s="507"/>
      <c r="E787" s="507"/>
      <c r="F787" s="510"/>
      <c r="G787" s="510"/>
      <c r="H787" s="507"/>
      <c r="I787" s="507"/>
      <c r="J787" s="507"/>
      <c r="K787" s="507"/>
      <c r="L787" s="507"/>
      <c r="M787" s="507"/>
      <c r="N787" s="507"/>
      <c r="O787" s="507"/>
      <c r="P787" s="507"/>
      <c r="Q787" s="507"/>
      <c r="R787" s="507"/>
      <c r="S787" s="507"/>
      <c r="T787" s="507"/>
      <c r="U787" s="507"/>
      <c r="V787" s="510"/>
      <c r="W787" s="510"/>
      <c r="X787" s="510"/>
      <c r="Y787" s="507"/>
    </row>
    <row r="788" spans="1:25">
      <c r="A788" s="507"/>
      <c r="E788" s="507"/>
      <c r="F788" s="510"/>
      <c r="G788" s="510"/>
      <c r="H788" s="507"/>
      <c r="I788" s="507"/>
      <c r="J788" s="507"/>
      <c r="K788" s="507"/>
      <c r="L788" s="507"/>
      <c r="M788" s="507"/>
      <c r="N788" s="507"/>
      <c r="O788" s="507"/>
      <c r="P788" s="507"/>
      <c r="Q788" s="507"/>
      <c r="R788" s="507"/>
      <c r="S788" s="507"/>
      <c r="T788" s="507"/>
      <c r="U788" s="507"/>
      <c r="V788" s="510"/>
      <c r="W788" s="510"/>
      <c r="X788" s="510"/>
      <c r="Y788" s="507"/>
    </row>
    <row r="789" spans="1:25">
      <c r="A789" s="507"/>
      <c r="E789" s="507"/>
      <c r="F789" s="510"/>
      <c r="G789" s="510"/>
      <c r="H789" s="507"/>
      <c r="I789" s="507"/>
      <c r="J789" s="507"/>
      <c r="K789" s="507"/>
      <c r="L789" s="507"/>
      <c r="M789" s="507"/>
      <c r="N789" s="507"/>
      <c r="O789" s="507"/>
      <c r="P789" s="507"/>
      <c r="Q789" s="507"/>
      <c r="R789" s="507"/>
      <c r="S789" s="507"/>
      <c r="T789" s="507"/>
      <c r="U789" s="507"/>
      <c r="V789" s="510"/>
      <c r="W789" s="510"/>
      <c r="X789" s="510"/>
      <c r="Y789" s="507"/>
    </row>
    <row r="790" spans="1:25">
      <c r="A790" s="507"/>
      <c r="E790" s="507"/>
      <c r="F790" s="510"/>
      <c r="G790" s="510"/>
      <c r="H790" s="507"/>
      <c r="I790" s="507"/>
      <c r="J790" s="507"/>
      <c r="K790" s="507"/>
      <c r="L790" s="507"/>
      <c r="M790" s="507"/>
      <c r="N790" s="507"/>
      <c r="O790" s="507"/>
      <c r="P790" s="507"/>
      <c r="Q790" s="507"/>
      <c r="R790" s="507"/>
      <c r="S790" s="507"/>
      <c r="T790" s="507"/>
      <c r="U790" s="507"/>
      <c r="V790" s="510"/>
      <c r="W790" s="510"/>
      <c r="X790" s="510"/>
      <c r="Y790" s="507"/>
    </row>
    <row r="791" spans="1:25">
      <c r="A791" s="507"/>
      <c r="E791" s="507"/>
      <c r="F791" s="510"/>
      <c r="G791" s="510"/>
      <c r="H791" s="507"/>
      <c r="I791" s="507"/>
      <c r="J791" s="507"/>
      <c r="K791" s="507"/>
      <c r="L791" s="507"/>
      <c r="M791" s="507"/>
      <c r="N791" s="507"/>
      <c r="O791" s="507"/>
      <c r="P791" s="507"/>
      <c r="Q791" s="507"/>
      <c r="R791" s="507"/>
      <c r="S791" s="507"/>
      <c r="T791" s="507"/>
      <c r="U791" s="507"/>
      <c r="V791" s="510"/>
      <c r="W791" s="510"/>
      <c r="X791" s="510"/>
      <c r="Y791" s="507"/>
    </row>
    <row r="792" spans="1:25">
      <c r="A792" s="507"/>
      <c r="E792" s="507"/>
      <c r="F792" s="510"/>
      <c r="G792" s="510"/>
      <c r="H792" s="507"/>
      <c r="I792" s="507"/>
      <c r="J792" s="507"/>
      <c r="K792" s="507"/>
      <c r="L792" s="507"/>
      <c r="M792" s="507"/>
      <c r="N792" s="507"/>
      <c r="O792" s="507"/>
      <c r="P792" s="507"/>
      <c r="Q792" s="507"/>
      <c r="R792" s="507"/>
      <c r="S792" s="507"/>
      <c r="T792" s="507"/>
      <c r="U792" s="507"/>
      <c r="V792" s="510"/>
      <c r="W792" s="510"/>
      <c r="X792" s="510"/>
      <c r="Y792" s="507"/>
    </row>
    <row r="793" spans="1:25">
      <c r="A793" s="507"/>
      <c r="E793" s="507"/>
      <c r="F793" s="510"/>
      <c r="G793" s="510"/>
      <c r="H793" s="507"/>
      <c r="I793" s="507"/>
      <c r="J793" s="507"/>
      <c r="K793" s="507"/>
      <c r="L793" s="507"/>
      <c r="M793" s="507"/>
      <c r="N793" s="507"/>
      <c r="O793" s="507"/>
      <c r="P793" s="507"/>
      <c r="Q793" s="507"/>
      <c r="R793" s="507"/>
      <c r="S793" s="507"/>
      <c r="T793" s="507"/>
      <c r="U793" s="507"/>
      <c r="V793" s="510"/>
      <c r="W793" s="510"/>
      <c r="X793" s="510"/>
      <c r="Y793" s="507"/>
    </row>
    <row r="794" spans="1:25">
      <c r="A794" s="507"/>
      <c r="E794" s="507"/>
      <c r="F794" s="510"/>
      <c r="G794" s="510"/>
      <c r="H794" s="507"/>
      <c r="I794" s="507"/>
      <c r="J794" s="507"/>
      <c r="K794" s="507"/>
      <c r="L794" s="507"/>
      <c r="M794" s="507"/>
      <c r="N794" s="507"/>
      <c r="O794" s="507"/>
      <c r="P794" s="507"/>
      <c r="Q794" s="507"/>
      <c r="R794" s="507"/>
      <c r="S794" s="507"/>
      <c r="T794" s="507"/>
      <c r="U794" s="507"/>
      <c r="V794" s="510"/>
      <c r="W794" s="510"/>
      <c r="X794" s="510"/>
      <c r="Y794" s="507"/>
    </row>
    <row r="795" spans="1:25">
      <c r="A795" s="507"/>
      <c r="E795" s="507"/>
      <c r="F795" s="510"/>
      <c r="G795" s="510"/>
      <c r="H795" s="507"/>
      <c r="I795" s="507"/>
      <c r="J795" s="507"/>
      <c r="K795" s="507"/>
      <c r="L795" s="507"/>
      <c r="M795" s="507"/>
      <c r="N795" s="507"/>
      <c r="O795" s="507"/>
      <c r="P795" s="507"/>
      <c r="Q795" s="507"/>
      <c r="R795" s="507"/>
      <c r="S795" s="507"/>
      <c r="T795" s="507"/>
      <c r="U795" s="507"/>
      <c r="V795" s="510"/>
      <c r="W795" s="510"/>
      <c r="X795" s="510"/>
      <c r="Y795" s="507"/>
    </row>
    <row r="796" spans="1:25">
      <c r="A796" s="507"/>
      <c r="E796" s="507"/>
      <c r="F796" s="510"/>
      <c r="G796" s="510"/>
      <c r="H796" s="507"/>
      <c r="I796" s="507"/>
      <c r="J796" s="507"/>
      <c r="K796" s="507"/>
      <c r="L796" s="507"/>
      <c r="M796" s="507"/>
      <c r="N796" s="507"/>
      <c r="O796" s="507"/>
      <c r="P796" s="507"/>
      <c r="Q796" s="507"/>
      <c r="R796" s="507"/>
      <c r="S796" s="507"/>
      <c r="T796" s="507"/>
      <c r="U796" s="507"/>
      <c r="V796" s="510"/>
      <c r="W796" s="510"/>
      <c r="X796" s="510"/>
      <c r="Y796" s="507"/>
    </row>
    <row r="797" spans="1:25">
      <c r="A797" s="507"/>
      <c r="E797" s="507"/>
      <c r="F797" s="510"/>
      <c r="G797" s="510"/>
      <c r="H797" s="507"/>
      <c r="I797" s="507"/>
      <c r="J797" s="507"/>
      <c r="K797" s="507"/>
      <c r="L797" s="507"/>
      <c r="M797" s="507"/>
      <c r="N797" s="507"/>
      <c r="O797" s="507"/>
      <c r="P797" s="507"/>
      <c r="Q797" s="507"/>
      <c r="R797" s="507"/>
      <c r="S797" s="507"/>
      <c r="T797" s="507"/>
      <c r="U797" s="507"/>
      <c r="V797" s="510"/>
      <c r="W797" s="510"/>
      <c r="X797" s="510"/>
      <c r="Y797" s="507"/>
    </row>
    <row r="798" spans="1:25">
      <c r="A798" s="507"/>
      <c r="E798" s="507"/>
      <c r="F798" s="510"/>
      <c r="G798" s="510"/>
      <c r="H798" s="507"/>
      <c r="I798" s="507"/>
      <c r="J798" s="507"/>
      <c r="K798" s="507"/>
      <c r="L798" s="507"/>
      <c r="M798" s="507"/>
      <c r="N798" s="507"/>
      <c r="O798" s="507"/>
      <c r="P798" s="507"/>
      <c r="Q798" s="507"/>
      <c r="R798" s="507"/>
      <c r="S798" s="507"/>
      <c r="T798" s="507"/>
      <c r="U798" s="507"/>
      <c r="V798" s="510"/>
      <c r="W798" s="510"/>
      <c r="X798" s="510"/>
      <c r="Y798" s="507"/>
    </row>
    <row r="799" spans="1:25">
      <c r="A799" s="507"/>
      <c r="E799" s="507"/>
      <c r="F799" s="510"/>
      <c r="G799" s="510"/>
      <c r="H799" s="507"/>
      <c r="I799" s="507"/>
      <c r="J799" s="507"/>
      <c r="K799" s="507"/>
      <c r="L799" s="507"/>
      <c r="M799" s="507"/>
      <c r="N799" s="507"/>
      <c r="O799" s="507"/>
      <c r="P799" s="507"/>
      <c r="Q799" s="507"/>
      <c r="R799" s="507"/>
      <c r="S799" s="507"/>
      <c r="T799" s="507"/>
      <c r="U799" s="507"/>
      <c r="V799" s="510"/>
      <c r="W799" s="510"/>
      <c r="X799" s="510"/>
      <c r="Y799" s="507"/>
    </row>
    <row r="800" spans="1:25">
      <c r="A800" s="507"/>
      <c r="E800" s="507"/>
      <c r="F800" s="510"/>
      <c r="G800" s="510"/>
      <c r="H800" s="507"/>
      <c r="I800" s="507"/>
      <c r="J800" s="507"/>
      <c r="K800" s="507"/>
      <c r="L800" s="507"/>
      <c r="M800" s="507"/>
      <c r="N800" s="507"/>
      <c r="O800" s="507"/>
      <c r="P800" s="507"/>
      <c r="Q800" s="507"/>
      <c r="R800" s="507"/>
      <c r="S800" s="507"/>
      <c r="T800" s="507"/>
      <c r="U800" s="507"/>
      <c r="V800" s="510"/>
      <c r="W800" s="510"/>
      <c r="X800" s="510"/>
      <c r="Y800" s="507"/>
    </row>
    <row r="801" spans="1:25">
      <c r="A801" s="507"/>
      <c r="E801" s="507"/>
      <c r="F801" s="510"/>
      <c r="G801" s="510"/>
      <c r="H801" s="507"/>
      <c r="I801" s="507"/>
      <c r="J801" s="507"/>
      <c r="K801" s="507"/>
      <c r="L801" s="507"/>
      <c r="M801" s="507"/>
      <c r="N801" s="507"/>
      <c r="O801" s="507"/>
      <c r="P801" s="507"/>
      <c r="Q801" s="507"/>
      <c r="R801" s="507"/>
      <c r="S801" s="507"/>
      <c r="T801" s="507"/>
      <c r="U801" s="507"/>
      <c r="V801" s="510"/>
      <c r="W801" s="510"/>
      <c r="X801" s="510"/>
      <c r="Y801" s="507"/>
    </row>
    <row r="802" spans="1:25">
      <c r="A802" s="507"/>
      <c r="E802" s="507"/>
      <c r="F802" s="510"/>
      <c r="G802" s="510"/>
      <c r="H802" s="507"/>
      <c r="I802" s="507"/>
      <c r="J802" s="507"/>
      <c r="K802" s="507"/>
      <c r="L802" s="507"/>
      <c r="M802" s="507"/>
      <c r="N802" s="507"/>
      <c r="O802" s="507"/>
      <c r="P802" s="507"/>
      <c r="Q802" s="507"/>
      <c r="R802" s="507"/>
      <c r="S802" s="507"/>
      <c r="T802" s="507"/>
      <c r="U802" s="507"/>
      <c r="V802" s="510"/>
      <c r="W802" s="510"/>
      <c r="X802" s="510"/>
      <c r="Y802" s="507"/>
    </row>
    <row r="803" spans="1:25">
      <c r="A803" s="507"/>
      <c r="E803" s="507"/>
      <c r="F803" s="510"/>
      <c r="G803" s="510"/>
      <c r="H803" s="507"/>
      <c r="I803" s="507"/>
      <c r="J803" s="507"/>
      <c r="K803" s="507"/>
      <c r="L803" s="507"/>
      <c r="M803" s="507"/>
      <c r="N803" s="507"/>
      <c r="O803" s="507"/>
      <c r="P803" s="507"/>
      <c r="Q803" s="507"/>
      <c r="R803" s="507"/>
      <c r="S803" s="507"/>
      <c r="T803" s="507"/>
      <c r="U803" s="507"/>
      <c r="V803" s="510"/>
      <c r="W803" s="510"/>
      <c r="X803" s="510"/>
      <c r="Y803" s="507"/>
    </row>
    <row r="804" spans="1:25">
      <c r="A804" s="507"/>
      <c r="E804" s="507"/>
      <c r="F804" s="510"/>
      <c r="G804" s="510"/>
      <c r="H804" s="507"/>
      <c r="I804" s="507"/>
      <c r="J804" s="507"/>
      <c r="K804" s="507"/>
      <c r="L804" s="507"/>
      <c r="M804" s="507"/>
      <c r="N804" s="507"/>
      <c r="O804" s="507"/>
      <c r="P804" s="507"/>
      <c r="Q804" s="507"/>
      <c r="R804" s="507"/>
      <c r="S804" s="507"/>
      <c r="T804" s="507"/>
      <c r="U804" s="507"/>
      <c r="V804" s="510"/>
      <c r="W804" s="510"/>
      <c r="X804" s="510"/>
      <c r="Y804" s="507"/>
    </row>
    <row r="805" spans="1:25">
      <c r="A805" s="507"/>
      <c r="E805" s="507"/>
      <c r="F805" s="510"/>
      <c r="G805" s="510"/>
      <c r="H805" s="507"/>
      <c r="I805" s="507"/>
      <c r="J805" s="507"/>
      <c r="K805" s="507"/>
      <c r="L805" s="507"/>
      <c r="M805" s="507"/>
      <c r="N805" s="507"/>
      <c r="O805" s="507"/>
      <c r="P805" s="507"/>
      <c r="Q805" s="507"/>
      <c r="R805" s="507"/>
      <c r="S805" s="507"/>
      <c r="T805" s="507"/>
      <c r="U805" s="507"/>
      <c r="V805" s="510"/>
      <c r="W805" s="510"/>
      <c r="X805" s="510"/>
      <c r="Y805" s="507"/>
    </row>
    <row r="806" spans="1:25">
      <c r="A806" s="507"/>
      <c r="E806" s="507"/>
      <c r="F806" s="510"/>
      <c r="G806" s="510"/>
      <c r="H806" s="507"/>
      <c r="I806" s="507"/>
      <c r="J806" s="507"/>
      <c r="K806" s="507"/>
      <c r="L806" s="507"/>
      <c r="M806" s="507"/>
      <c r="N806" s="507"/>
      <c r="O806" s="507"/>
      <c r="P806" s="507"/>
      <c r="Q806" s="507"/>
      <c r="R806" s="507"/>
      <c r="S806" s="507"/>
      <c r="T806" s="507"/>
      <c r="U806" s="507"/>
      <c r="V806" s="510"/>
      <c r="W806" s="510"/>
      <c r="X806" s="510"/>
      <c r="Y806" s="507"/>
    </row>
    <row r="807" spans="1:25">
      <c r="A807" s="507"/>
      <c r="E807" s="507"/>
      <c r="F807" s="510"/>
      <c r="G807" s="510"/>
      <c r="H807" s="507"/>
      <c r="I807" s="507"/>
      <c r="J807" s="507"/>
      <c r="K807" s="507"/>
      <c r="L807" s="507"/>
      <c r="M807" s="507"/>
      <c r="N807" s="507"/>
      <c r="O807" s="507"/>
      <c r="P807" s="507"/>
      <c r="Q807" s="507"/>
      <c r="R807" s="507"/>
      <c r="S807" s="507"/>
      <c r="T807" s="507"/>
      <c r="U807" s="507"/>
      <c r="V807" s="510"/>
      <c r="W807" s="510"/>
      <c r="X807" s="510"/>
      <c r="Y807" s="507"/>
    </row>
    <row r="808" spans="1:25">
      <c r="A808" s="507"/>
      <c r="E808" s="507"/>
      <c r="F808" s="510"/>
      <c r="G808" s="510"/>
      <c r="H808" s="507"/>
      <c r="I808" s="507"/>
      <c r="J808" s="507"/>
      <c r="K808" s="507"/>
      <c r="L808" s="507"/>
      <c r="M808" s="507"/>
      <c r="N808" s="507"/>
      <c r="O808" s="507"/>
      <c r="P808" s="507"/>
      <c r="Q808" s="507"/>
      <c r="R808" s="507"/>
      <c r="S808" s="507"/>
      <c r="T808" s="507"/>
      <c r="U808" s="507"/>
      <c r="V808" s="510"/>
      <c r="W808" s="510"/>
      <c r="X808" s="510"/>
      <c r="Y808" s="507"/>
    </row>
    <row r="809" spans="1:25">
      <c r="A809" s="507"/>
      <c r="E809" s="507"/>
      <c r="F809" s="510"/>
      <c r="G809" s="510"/>
      <c r="H809" s="507"/>
      <c r="I809" s="507"/>
      <c r="J809" s="507"/>
      <c r="K809" s="507"/>
      <c r="L809" s="507"/>
      <c r="M809" s="507"/>
      <c r="N809" s="507"/>
      <c r="O809" s="507"/>
      <c r="P809" s="507"/>
      <c r="Q809" s="507"/>
      <c r="R809" s="507"/>
      <c r="S809" s="507"/>
      <c r="T809" s="507"/>
      <c r="U809" s="507"/>
      <c r="V809" s="510"/>
      <c r="W809" s="510"/>
      <c r="X809" s="510"/>
      <c r="Y809" s="507"/>
    </row>
    <row r="810" spans="1:25">
      <c r="A810" s="507"/>
      <c r="E810" s="507"/>
      <c r="F810" s="510"/>
      <c r="G810" s="510"/>
      <c r="H810" s="507"/>
      <c r="I810" s="507"/>
      <c r="J810" s="507"/>
      <c r="K810" s="507"/>
      <c r="L810" s="507"/>
      <c r="M810" s="507"/>
      <c r="N810" s="507"/>
      <c r="O810" s="507"/>
      <c r="P810" s="507"/>
      <c r="Q810" s="507"/>
      <c r="R810" s="507"/>
      <c r="S810" s="507"/>
      <c r="T810" s="507"/>
      <c r="U810" s="507"/>
      <c r="V810" s="510"/>
      <c r="W810" s="510"/>
      <c r="X810" s="510"/>
      <c r="Y810" s="507"/>
    </row>
    <row r="811" spans="1:25">
      <c r="A811" s="507"/>
      <c r="E811" s="507"/>
      <c r="F811" s="510"/>
      <c r="G811" s="510"/>
      <c r="H811" s="507"/>
      <c r="I811" s="507"/>
      <c r="J811" s="507"/>
      <c r="K811" s="507"/>
      <c r="L811" s="507"/>
      <c r="M811" s="507"/>
      <c r="N811" s="507"/>
      <c r="O811" s="507"/>
      <c r="P811" s="507"/>
      <c r="Q811" s="507"/>
      <c r="R811" s="507"/>
      <c r="S811" s="507"/>
      <c r="T811" s="507"/>
      <c r="U811" s="507"/>
      <c r="V811" s="510"/>
      <c r="W811" s="510"/>
      <c r="X811" s="510"/>
      <c r="Y811" s="507"/>
    </row>
    <row r="812" spans="1:25">
      <c r="A812" s="507"/>
      <c r="E812" s="507"/>
      <c r="F812" s="510"/>
      <c r="G812" s="510"/>
      <c r="H812" s="507"/>
      <c r="I812" s="507"/>
      <c r="J812" s="507"/>
      <c r="K812" s="507"/>
      <c r="L812" s="507"/>
      <c r="M812" s="507"/>
      <c r="N812" s="507"/>
      <c r="O812" s="507"/>
      <c r="P812" s="507"/>
      <c r="Q812" s="507"/>
      <c r="R812" s="507"/>
      <c r="S812" s="507"/>
      <c r="T812" s="507"/>
      <c r="U812" s="507"/>
      <c r="V812" s="510"/>
      <c r="W812" s="510"/>
      <c r="X812" s="510"/>
      <c r="Y812" s="507"/>
    </row>
    <row r="813" spans="1:25">
      <c r="A813" s="507"/>
      <c r="E813" s="507"/>
      <c r="F813" s="510"/>
      <c r="G813" s="510"/>
      <c r="H813" s="507"/>
      <c r="I813" s="507"/>
      <c r="J813" s="507"/>
      <c r="K813" s="507"/>
      <c r="L813" s="507"/>
      <c r="M813" s="507"/>
      <c r="N813" s="507"/>
      <c r="O813" s="507"/>
      <c r="P813" s="507"/>
      <c r="Q813" s="507"/>
      <c r="R813" s="507"/>
      <c r="S813" s="507"/>
      <c r="T813" s="507"/>
      <c r="U813" s="507"/>
      <c r="V813" s="510"/>
      <c r="W813" s="510"/>
      <c r="X813" s="510"/>
      <c r="Y813" s="507"/>
    </row>
    <row r="814" spans="1:25">
      <c r="A814" s="507"/>
      <c r="E814" s="507"/>
      <c r="F814" s="510"/>
      <c r="G814" s="510"/>
      <c r="H814" s="507"/>
      <c r="I814" s="507"/>
      <c r="J814" s="507"/>
      <c r="K814" s="507"/>
      <c r="L814" s="507"/>
      <c r="M814" s="507"/>
      <c r="N814" s="507"/>
      <c r="O814" s="507"/>
      <c r="P814" s="507"/>
      <c r="Q814" s="507"/>
      <c r="R814" s="507"/>
      <c r="S814" s="507"/>
      <c r="T814" s="507"/>
      <c r="U814" s="507"/>
      <c r="V814" s="510"/>
      <c r="W814" s="510"/>
      <c r="X814" s="510"/>
      <c r="Y814" s="507"/>
    </row>
    <row r="815" spans="1:25">
      <c r="A815" s="507"/>
      <c r="E815" s="507"/>
      <c r="F815" s="510"/>
      <c r="G815" s="510"/>
      <c r="H815" s="507"/>
      <c r="I815" s="507"/>
      <c r="J815" s="507"/>
      <c r="K815" s="507"/>
      <c r="L815" s="507"/>
      <c r="M815" s="507"/>
      <c r="N815" s="507"/>
      <c r="O815" s="507"/>
      <c r="P815" s="507"/>
      <c r="Q815" s="507"/>
      <c r="R815" s="507"/>
      <c r="S815" s="507"/>
      <c r="T815" s="507"/>
      <c r="U815" s="507"/>
      <c r="V815" s="510"/>
      <c r="W815" s="510"/>
      <c r="X815" s="510"/>
      <c r="Y815" s="507"/>
    </row>
    <row r="816" spans="1:25">
      <c r="A816" s="507"/>
      <c r="E816" s="507"/>
      <c r="F816" s="510"/>
      <c r="G816" s="510"/>
      <c r="H816" s="507"/>
      <c r="I816" s="507"/>
      <c r="J816" s="507"/>
      <c r="K816" s="507"/>
      <c r="L816" s="507"/>
      <c r="M816" s="507"/>
      <c r="N816" s="507"/>
      <c r="O816" s="507"/>
      <c r="P816" s="507"/>
      <c r="Q816" s="507"/>
      <c r="R816" s="507"/>
      <c r="S816" s="507"/>
      <c r="T816" s="507"/>
      <c r="U816" s="507"/>
      <c r="V816" s="510"/>
      <c r="W816" s="510"/>
      <c r="X816" s="510"/>
      <c r="Y816" s="507"/>
    </row>
    <row r="817" spans="1:25">
      <c r="A817" s="507"/>
      <c r="E817" s="507"/>
      <c r="F817" s="510"/>
      <c r="G817" s="510"/>
      <c r="H817" s="507"/>
      <c r="I817" s="507"/>
      <c r="J817" s="507"/>
      <c r="K817" s="507"/>
      <c r="L817" s="507"/>
      <c r="M817" s="507"/>
      <c r="N817" s="507"/>
      <c r="O817" s="507"/>
      <c r="P817" s="507"/>
      <c r="Q817" s="507"/>
      <c r="R817" s="507"/>
      <c r="S817" s="507"/>
      <c r="T817" s="507"/>
      <c r="U817" s="507"/>
      <c r="V817" s="510"/>
      <c r="W817" s="510"/>
      <c r="X817" s="510"/>
      <c r="Y817" s="507"/>
    </row>
    <row r="818" spans="1:25">
      <c r="A818" s="507"/>
      <c r="E818" s="507"/>
      <c r="F818" s="510"/>
      <c r="G818" s="510"/>
      <c r="H818" s="507"/>
      <c r="I818" s="507"/>
      <c r="J818" s="507"/>
      <c r="K818" s="507"/>
      <c r="L818" s="507"/>
      <c r="M818" s="507"/>
      <c r="N818" s="507"/>
      <c r="O818" s="507"/>
      <c r="P818" s="507"/>
      <c r="Q818" s="507"/>
      <c r="R818" s="507"/>
      <c r="S818" s="507"/>
      <c r="T818" s="507"/>
      <c r="U818" s="507"/>
      <c r="V818" s="510"/>
      <c r="W818" s="510"/>
      <c r="X818" s="510"/>
      <c r="Y818" s="507"/>
    </row>
    <row r="819" spans="1:25">
      <c r="A819" s="507"/>
      <c r="E819" s="507"/>
      <c r="F819" s="510"/>
      <c r="G819" s="510"/>
      <c r="H819" s="507"/>
      <c r="I819" s="507"/>
      <c r="J819" s="507"/>
      <c r="K819" s="507"/>
      <c r="L819" s="507"/>
      <c r="M819" s="507"/>
      <c r="N819" s="507"/>
      <c r="O819" s="507"/>
      <c r="P819" s="507"/>
      <c r="Q819" s="507"/>
      <c r="R819" s="507"/>
      <c r="S819" s="507"/>
      <c r="T819" s="507"/>
      <c r="U819" s="507"/>
      <c r="V819" s="510"/>
      <c r="W819" s="510"/>
      <c r="X819" s="510"/>
      <c r="Y819" s="507"/>
    </row>
    <row r="820" spans="1:25">
      <c r="A820" s="507"/>
      <c r="E820" s="507"/>
      <c r="F820" s="510"/>
      <c r="G820" s="510"/>
      <c r="H820" s="507"/>
      <c r="I820" s="507"/>
      <c r="J820" s="507"/>
      <c r="K820" s="507"/>
      <c r="L820" s="507"/>
      <c r="M820" s="507"/>
      <c r="N820" s="507"/>
      <c r="O820" s="507"/>
      <c r="P820" s="507"/>
      <c r="Q820" s="507"/>
      <c r="R820" s="507"/>
      <c r="S820" s="507"/>
      <c r="T820" s="507"/>
      <c r="U820" s="507"/>
      <c r="V820" s="510"/>
      <c r="W820" s="510"/>
      <c r="X820" s="510"/>
      <c r="Y820" s="507"/>
    </row>
    <row r="821" spans="1:25">
      <c r="A821" s="507"/>
      <c r="E821" s="507"/>
      <c r="F821" s="510"/>
      <c r="G821" s="510"/>
      <c r="H821" s="507"/>
      <c r="I821" s="507"/>
      <c r="J821" s="507"/>
      <c r="K821" s="507"/>
      <c r="L821" s="507"/>
      <c r="M821" s="507"/>
      <c r="N821" s="507"/>
      <c r="O821" s="507"/>
      <c r="P821" s="507"/>
      <c r="Q821" s="507"/>
      <c r="R821" s="507"/>
      <c r="S821" s="507"/>
      <c r="T821" s="507"/>
      <c r="U821" s="507"/>
      <c r="V821" s="510"/>
      <c r="W821" s="510"/>
      <c r="X821" s="510"/>
      <c r="Y821" s="507"/>
    </row>
    <row r="822" spans="1:25">
      <c r="A822" s="507"/>
      <c r="E822" s="507"/>
      <c r="F822" s="510"/>
      <c r="G822" s="510"/>
      <c r="H822" s="507"/>
      <c r="I822" s="507"/>
      <c r="J822" s="507"/>
      <c r="K822" s="507"/>
      <c r="L822" s="507"/>
      <c r="M822" s="507"/>
      <c r="N822" s="507"/>
      <c r="O822" s="507"/>
      <c r="P822" s="507"/>
      <c r="Q822" s="507"/>
      <c r="R822" s="507"/>
      <c r="S822" s="507"/>
      <c r="T822" s="507"/>
      <c r="U822" s="507"/>
      <c r="V822" s="510"/>
      <c r="W822" s="510"/>
      <c r="X822" s="510"/>
      <c r="Y822" s="507"/>
    </row>
    <row r="823" spans="1:25">
      <c r="A823" s="507"/>
      <c r="E823" s="507"/>
      <c r="F823" s="510"/>
      <c r="G823" s="510"/>
      <c r="H823" s="507"/>
      <c r="I823" s="507"/>
      <c r="J823" s="507"/>
      <c r="K823" s="507"/>
      <c r="L823" s="507"/>
      <c r="M823" s="507"/>
      <c r="N823" s="507"/>
      <c r="O823" s="507"/>
      <c r="P823" s="507"/>
      <c r="Q823" s="507"/>
      <c r="R823" s="507"/>
      <c r="S823" s="507"/>
      <c r="T823" s="507"/>
      <c r="U823" s="507"/>
      <c r="V823" s="510"/>
      <c r="W823" s="510"/>
      <c r="X823" s="510"/>
      <c r="Y823" s="507"/>
    </row>
    <row r="824" spans="1:25">
      <c r="A824" s="507"/>
      <c r="E824" s="507"/>
      <c r="F824" s="510"/>
      <c r="G824" s="510"/>
      <c r="H824" s="507"/>
      <c r="I824" s="507"/>
      <c r="J824" s="507"/>
      <c r="K824" s="507"/>
      <c r="L824" s="507"/>
      <c r="M824" s="507"/>
      <c r="N824" s="507"/>
      <c r="O824" s="507"/>
      <c r="P824" s="507"/>
      <c r="Q824" s="507"/>
      <c r="R824" s="507"/>
      <c r="S824" s="507"/>
      <c r="T824" s="507"/>
      <c r="U824" s="507"/>
      <c r="V824" s="510"/>
      <c r="W824" s="510"/>
      <c r="X824" s="510"/>
      <c r="Y824" s="507"/>
    </row>
    <row r="825" spans="1:25">
      <c r="A825" s="507"/>
      <c r="E825" s="507"/>
      <c r="F825" s="510"/>
      <c r="G825" s="510"/>
      <c r="H825" s="507"/>
      <c r="I825" s="507"/>
      <c r="J825" s="507"/>
      <c r="K825" s="507"/>
      <c r="L825" s="507"/>
      <c r="M825" s="507"/>
      <c r="N825" s="507"/>
      <c r="O825" s="507"/>
      <c r="P825" s="507"/>
      <c r="Q825" s="507"/>
      <c r="R825" s="507"/>
      <c r="S825" s="507"/>
      <c r="T825" s="507"/>
      <c r="U825" s="507"/>
      <c r="V825" s="510"/>
      <c r="W825" s="510"/>
      <c r="X825" s="510"/>
      <c r="Y825" s="507"/>
    </row>
    <row r="826" spans="1:25">
      <c r="A826" s="507"/>
      <c r="E826" s="507"/>
      <c r="F826" s="510"/>
      <c r="G826" s="510"/>
      <c r="H826" s="507"/>
      <c r="I826" s="507"/>
      <c r="J826" s="507"/>
      <c r="K826" s="507"/>
      <c r="L826" s="507"/>
      <c r="M826" s="507"/>
      <c r="N826" s="507"/>
      <c r="O826" s="507"/>
      <c r="P826" s="507"/>
      <c r="Q826" s="507"/>
      <c r="R826" s="507"/>
      <c r="S826" s="507"/>
      <c r="T826" s="507"/>
      <c r="U826" s="507"/>
      <c r="V826" s="510"/>
      <c r="W826" s="510"/>
      <c r="X826" s="510"/>
      <c r="Y826" s="507"/>
    </row>
    <row r="827" spans="1:25">
      <c r="A827" s="507"/>
      <c r="E827" s="507"/>
      <c r="F827" s="510"/>
      <c r="G827" s="510"/>
      <c r="H827" s="507"/>
      <c r="I827" s="507"/>
      <c r="J827" s="507"/>
      <c r="K827" s="507"/>
      <c r="L827" s="507"/>
      <c r="M827" s="507"/>
      <c r="N827" s="507"/>
      <c r="O827" s="507"/>
      <c r="P827" s="507"/>
      <c r="Q827" s="507"/>
      <c r="R827" s="507"/>
      <c r="S827" s="507"/>
      <c r="T827" s="507"/>
      <c r="U827" s="507"/>
      <c r="V827" s="510"/>
      <c r="W827" s="510"/>
      <c r="X827" s="510"/>
      <c r="Y827" s="507"/>
    </row>
    <row r="828" spans="1:25">
      <c r="A828" s="507"/>
      <c r="E828" s="507"/>
      <c r="F828" s="510"/>
      <c r="G828" s="510"/>
      <c r="H828" s="507"/>
      <c r="I828" s="507"/>
      <c r="J828" s="507"/>
      <c r="K828" s="507"/>
      <c r="L828" s="507"/>
      <c r="M828" s="507"/>
      <c r="N828" s="507"/>
      <c r="O828" s="507"/>
      <c r="P828" s="507"/>
      <c r="Q828" s="507"/>
      <c r="R828" s="507"/>
      <c r="S828" s="507"/>
      <c r="T828" s="507"/>
      <c r="U828" s="507"/>
      <c r="V828" s="510"/>
      <c r="W828" s="510"/>
      <c r="X828" s="510"/>
      <c r="Y828" s="507"/>
    </row>
    <row r="829" spans="1:25">
      <c r="A829" s="507"/>
      <c r="E829" s="507"/>
      <c r="F829" s="510"/>
      <c r="G829" s="510"/>
      <c r="H829" s="507"/>
      <c r="I829" s="507"/>
      <c r="J829" s="507"/>
      <c r="K829" s="507"/>
      <c r="L829" s="507"/>
      <c r="M829" s="507"/>
      <c r="N829" s="507"/>
      <c r="O829" s="507"/>
      <c r="P829" s="507"/>
      <c r="Q829" s="507"/>
      <c r="R829" s="507"/>
      <c r="S829" s="507"/>
      <c r="T829" s="507"/>
      <c r="U829" s="507"/>
      <c r="V829" s="510"/>
      <c r="W829" s="510"/>
      <c r="X829" s="510"/>
      <c r="Y829" s="507"/>
    </row>
    <row r="830" spans="1:25">
      <c r="A830" s="507"/>
      <c r="E830" s="507"/>
      <c r="F830" s="510"/>
      <c r="G830" s="510"/>
      <c r="H830" s="507"/>
      <c r="I830" s="507"/>
      <c r="J830" s="507"/>
      <c r="K830" s="507"/>
      <c r="L830" s="507"/>
      <c r="M830" s="507"/>
      <c r="N830" s="507"/>
      <c r="O830" s="507"/>
      <c r="P830" s="507"/>
      <c r="Q830" s="507"/>
      <c r="R830" s="507"/>
      <c r="S830" s="507"/>
      <c r="T830" s="507"/>
      <c r="U830" s="507"/>
      <c r="V830" s="510"/>
      <c r="W830" s="510"/>
      <c r="X830" s="510"/>
      <c r="Y830" s="507"/>
    </row>
    <row r="831" spans="1:25">
      <c r="A831" s="507"/>
      <c r="E831" s="507"/>
      <c r="F831" s="510"/>
      <c r="G831" s="510"/>
      <c r="H831" s="507"/>
      <c r="I831" s="507"/>
      <c r="J831" s="507"/>
      <c r="K831" s="507"/>
      <c r="L831" s="507"/>
      <c r="M831" s="507"/>
      <c r="N831" s="507"/>
      <c r="O831" s="507"/>
      <c r="P831" s="507"/>
      <c r="Q831" s="507"/>
      <c r="R831" s="507"/>
      <c r="S831" s="507"/>
      <c r="T831" s="507"/>
      <c r="U831" s="507"/>
      <c r="V831" s="510"/>
      <c r="W831" s="510"/>
      <c r="X831" s="510"/>
      <c r="Y831" s="507"/>
    </row>
    <row r="832" spans="1:25">
      <c r="A832" s="507"/>
      <c r="E832" s="507"/>
      <c r="F832" s="510"/>
      <c r="G832" s="510"/>
      <c r="H832" s="507"/>
      <c r="I832" s="507"/>
      <c r="J832" s="507"/>
      <c r="K832" s="507"/>
      <c r="L832" s="507"/>
      <c r="M832" s="507"/>
      <c r="N832" s="507"/>
      <c r="O832" s="507"/>
      <c r="P832" s="507"/>
      <c r="Q832" s="507"/>
      <c r="R832" s="507"/>
      <c r="S832" s="507"/>
      <c r="T832" s="507"/>
      <c r="U832" s="507"/>
      <c r="V832" s="510"/>
      <c r="W832" s="510"/>
      <c r="X832" s="510"/>
      <c r="Y832" s="507"/>
    </row>
    <row r="833" spans="1:25">
      <c r="A833" s="507"/>
      <c r="E833" s="507"/>
      <c r="F833" s="510"/>
      <c r="G833" s="510"/>
      <c r="H833" s="507"/>
      <c r="I833" s="507"/>
      <c r="J833" s="507"/>
      <c r="K833" s="507"/>
      <c r="L833" s="507"/>
      <c r="M833" s="507"/>
      <c r="N833" s="507"/>
      <c r="O833" s="507"/>
      <c r="P833" s="507"/>
      <c r="Q833" s="507"/>
      <c r="R833" s="507"/>
      <c r="S833" s="507"/>
      <c r="T833" s="507"/>
      <c r="U833" s="507"/>
      <c r="V833" s="510"/>
      <c r="W833" s="510"/>
      <c r="X833" s="510"/>
      <c r="Y833" s="507"/>
    </row>
    <row r="834" spans="1:25">
      <c r="A834" s="507"/>
      <c r="E834" s="507"/>
      <c r="F834" s="510"/>
      <c r="G834" s="510"/>
      <c r="H834" s="507"/>
      <c r="I834" s="507"/>
      <c r="J834" s="507"/>
      <c r="K834" s="507"/>
      <c r="L834" s="507"/>
      <c r="M834" s="507"/>
      <c r="N834" s="507"/>
      <c r="O834" s="507"/>
      <c r="P834" s="507"/>
      <c r="Q834" s="507"/>
      <c r="R834" s="507"/>
      <c r="S834" s="507"/>
      <c r="T834" s="507"/>
      <c r="U834" s="507"/>
      <c r="V834" s="510"/>
      <c r="W834" s="510"/>
      <c r="X834" s="510"/>
      <c r="Y834" s="507"/>
    </row>
    <row r="835" spans="1:25">
      <c r="A835" s="507"/>
      <c r="E835" s="507"/>
      <c r="F835" s="510"/>
      <c r="G835" s="510"/>
      <c r="H835" s="507"/>
      <c r="I835" s="507"/>
      <c r="J835" s="507"/>
      <c r="K835" s="507"/>
      <c r="L835" s="507"/>
      <c r="M835" s="507"/>
      <c r="N835" s="507"/>
      <c r="O835" s="507"/>
      <c r="P835" s="507"/>
      <c r="Q835" s="507"/>
      <c r="R835" s="507"/>
      <c r="S835" s="507"/>
      <c r="T835" s="507"/>
      <c r="U835" s="507"/>
      <c r="V835" s="510"/>
      <c r="W835" s="510"/>
      <c r="X835" s="510"/>
      <c r="Y835" s="507"/>
    </row>
    <row r="836" spans="1:25">
      <c r="A836" s="507"/>
      <c r="E836" s="507"/>
      <c r="F836" s="510"/>
      <c r="G836" s="510"/>
      <c r="H836" s="507"/>
      <c r="I836" s="507"/>
      <c r="J836" s="507"/>
      <c r="K836" s="507"/>
      <c r="L836" s="507"/>
      <c r="M836" s="507"/>
      <c r="N836" s="507"/>
      <c r="O836" s="507"/>
      <c r="P836" s="507"/>
      <c r="Q836" s="507"/>
      <c r="R836" s="507"/>
      <c r="S836" s="507"/>
      <c r="T836" s="507"/>
      <c r="U836" s="507"/>
      <c r="V836" s="510"/>
      <c r="W836" s="510"/>
      <c r="X836" s="510"/>
      <c r="Y836" s="507"/>
    </row>
    <row r="837" spans="1:25">
      <c r="A837" s="507"/>
      <c r="E837" s="507"/>
      <c r="F837" s="510"/>
      <c r="G837" s="510"/>
      <c r="H837" s="507"/>
      <c r="I837" s="507"/>
      <c r="J837" s="507"/>
      <c r="K837" s="507"/>
      <c r="L837" s="507"/>
      <c r="M837" s="507"/>
      <c r="N837" s="507"/>
      <c r="O837" s="507"/>
      <c r="P837" s="507"/>
      <c r="Q837" s="507"/>
      <c r="R837" s="507"/>
      <c r="S837" s="507"/>
      <c r="T837" s="507"/>
      <c r="U837" s="507"/>
      <c r="V837" s="510"/>
      <c r="W837" s="510"/>
      <c r="X837" s="510"/>
      <c r="Y837" s="507"/>
    </row>
    <row r="838" spans="1:25">
      <c r="A838" s="507"/>
      <c r="E838" s="507"/>
      <c r="F838" s="510"/>
      <c r="G838" s="510"/>
      <c r="H838" s="507"/>
      <c r="I838" s="507"/>
      <c r="J838" s="507"/>
      <c r="K838" s="507"/>
      <c r="L838" s="507"/>
      <c r="M838" s="507"/>
      <c r="N838" s="507"/>
      <c r="O838" s="507"/>
      <c r="P838" s="507"/>
      <c r="Q838" s="507"/>
      <c r="R838" s="507"/>
      <c r="S838" s="507"/>
      <c r="T838" s="507"/>
      <c r="U838" s="507"/>
      <c r="V838" s="510"/>
      <c r="W838" s="510"/>
      <c r="X838" s="510"/>
      <c r="Y838" s="507"/>
    </row>
    <row r="839" spans="1:25">
      <c r="A839" s="507"/>
      <c r="E839" s="507"/>
      <c r="F839" s="510"/>
      <c r="G839" s="510"/>
      <c r="H839" s="507"/>
      <c r="I839" s="507"/>
      <c r="J839" s="507"/>
      <c r="K839" s="507"/>
      <c r="L839" s="507"/>
      <c r="M839" s="507"/>
      <c r="N839" s="507"/>
      <c r="O839" s="507"/>
      <c r="P839" s="507"/>
      <c r="Q839" s="507"/>
      <c r="R839" s="507"/>
      <c r="S839" s="507"/>
      <c r="T839" s="507"/>
      <c r="U839" s="507"/>
      <c r="V839" s="510"/>
      <c r="W839" s="510"/>
      <c r="X839" s="510"/>
      <c r="Y839" s="507"/>
    </row>
    <row r="840" spans="1:25">
      <c r="A840" s="507"/>
      <c r="E840" s="507"/>
      <c r="F840" s="510"/>
      <c r="G840" s="510"/>
      <c r="H840" s="507"/>
      <c r="I840" s="507"/>
      <c r="J840" s="507"/>
      <c r="K840" s="507"/>
      <c r="L840" s="507"/>
      <c r="M840" s="507"/>
      <c r="N840" s="507"/>
      <c r="O840" s="507"/>
      <c r="P840" s="507"/>
      <c r="Q840" s="507"/>
      <c r="R840" s="507"/>
      <c r="S840" s="507"/>
      <c r="T840" s="507"/>
      <c r="U840" s="507"/>
      <c r="V840" s="510"/>
      <c r="W840" s="510"/>
      <c r="X840" s="510"/>
      <c r="Y840" s="507"/>
    </row>
    <row r="841" spans="1:25">
      <c r="A841" s="507"/>
      <c r="E841" s="507"/>
      <c r="F841" s="510"/>
      <c r="G841" s="510"/>
      <c r="H841" s="507"/>
      <c r="I841" s="507"/>
      <c r="J841" s="507"/>
      <c r="K841" s="507"/>
      <c r="L841" s="507"/>
      <c r="M841" s="507"/>
      <c r="N841" s="507"/>
      <c r="O841" s="507"/>
      <c r="P841" s="507"/>
      <c r="Q841" s="507"/>
      <c r="R841" s="507"/>
      <c r="S841" s="507"/>
      <c r="T841" s="507"/>
      <c r="U841" s="507"/>
      <c r="V841" s="510"/>
      <c r="W841" s="510"/>
      <c r="X841" s="510"/>
      <c r="Y841" s="507"/>
    </row>
    <row r="842" spans="1:25">
      <c r="A842" s="507"/>
      <c r="E842" s="507"/>
      <c r="F842" s="510"/>
      <c r="G842" s="510"/>
      <c r="H842" s="507"/>
      <c r="I842" s="507"/>
      <c r="J842" s="507"/>
      <c r="K842" s="507"/>
      <c r="L842" s="507"/>
      <c r="M842" s="507"/>
      <c r="N842" s="507"/>
      <c r="O842" s="507"/>
      <c r="P842" s="507"/>
      <c r="Q842" s="507"/>
      <c r="R842" s="507"/>
      <c r="S842" s="507"/>
      <c r="T842" s="507"/>
      <c r="U842" s="507"/>
      <c r="V842" s="510"/>
      <c r="W842" s="510"/>
      <c r="X842" s="510"/>
      <c r="Y842" s="507"/>
    </row>
    <row r="843" spans="1:25">
      <c r="A843" s="507"/>
      <c r="E843" s="507"/>
      <c r="F843" s="510"/>
      <c r="G843" s="510"/>
      <c r="H843" s="507"/>
      <c r="I843" s="507"/>
      <c r="J843" s="507"/>
      <c r="K843" s="507"/>
      <c r="L843" s="507"/>
      <c r="M843" s="507"/>
      <c r="N843" s="507"/>
      <c r="O843" s="507"/>
      <c r="P843" s="507"/>
      <c r="Q843" s="507"/>
      <c r="R843" s="507"/>
      <c r="S843" s="507"/>
      <c r="T843" s="507"/>
      <c r="U843" s="507"/>
      <c r="V843" s="510"/>
      <c r="W843" s="510"/>
      <c r="X843" s="510"/>
      <c r="Y843" s="507"/>
    </row>
    <row r="844" spans="1:25">
      <c r="A844" s="507"/>
      <c r="E844" s="507"/>
      <c r="F844" s="510"/>
      <c r="G844" s="510"/>
      <c r="H844" s="507"/>
      <c r="I844" s="507"/>
      <c r="J844" s="507"/>
      <c r="K844" s="507"/>
      <c r="L844" s="507"/>
      <c r="M844" s="507"/>
      <c r="N844" s="507"/>
      <c r="O844" s="507"/>
      <c r="P844" s="507"/>
      <c r="Q844" s="507"/>
      <c r="R844" s="507"/>
      <c r="S844" s="507"/>
      <c r="T844" s="507"/>
      <c r="U844" s="507"/>
      <c r="V844" s="510"/>
      <c r="W844" s="510"/>
      <c r="X844" s="510"/>
      <c r="Y844" s="507"/>
    </row>
    <row r="845" spans="1:25">
      <c r="A845" s="507"/>
      <c r="E845" s="507"/>
      <c r="F845" s="510"/>
      <c r="G845" s="510"/>
      <c r="H845" s="507"/>
      <c r="I845" s="507"/>
      <c r="J845" s="507"/>
      <c r="K845" s="507"/>
      <c r="L845" s="507"/>
      <c r="M845" s="507"/>
      <c r="N845" s="507"/>
      <c r="O845" s="507"/>
      <c r="P845" s="507"/>
      <c r="Q845" s="507"/>
      <c r="R845" s="507"/>
      <c r="S845" s="507"/>
      <c r="T845" s="507"/>
      <c r="U845" s="507"/>
      <c r="V845" s="510"/>
      <c r="W845" s="510"/>
      <c r="X845" s="510"/>
      <c r="Y845" s="507"/>
    </row>
    <row r="846" spans="1:25">
      <c r="A846" s="507"/>
      <c r="E846" s="507"/>
      <c r="F846" s="510"/>
      <c r="G846" s="510"/>
      <c r="H846" s="507"/>
      <c r="I846" s="507"/>
      <c r="J846" s="507"/>
      <c r="K846" s="507"/>
      <c r="L846" s="507"/>
      <c r="M846" s="507"/>
      <c r="N846" s="507"/>
      <c r="O846" s="507"/>
      <c r="P846" s="507"/>
      <c r="Q846" s="507"/>
      <c r="R846" s="507"/>
      <c r="S846" s="507"/>
      <c r="T846" s="507"/>
      <c r="U846" s="507"/>
      <c r="V846" s="510"/>
      <c r="W846" s="510"/>
      <c r="X846" s="510"/>
      <c r="Y846" s="507"/>
    </row>
    <row r="847" spans="1:25">
      <c r="A847" s="507"/>
      <c r="E847" s="507"/>
      <c r="F847" s="510"/>
      <c r="G847" s="510"/>
      <c r="H847" s="507"/>
      <c r="I847" s="507"/>
      <c r="J847" s="507"/>
      <c r="K847" s="507"/>
      <c r="L847" s="507"/>
      <c r="M847" s="507"/>
      <c r="N847" s="507"/>
      <c r="O847" s="507"/>
      <c r="P847" s="507"/>
      <c r="Q847" s="507"/>
      <c r="R847" s="507"/>
      <c r="S847" s="507"/>
      <c r="T847" s="507"/>
      <c r="U847" s="507"/>
      <c r="V847" s="510"/>
      <c r="W847" s="510"/>
      <c r="X847" s="510"/>
      <c r="Y847" s="507"/>
    </row>
    <row r="848" spans="1:25">
      <c r="A848" s="507"/>
      <c r="E848" s="507"/>
      <c r="F848" s="510"/>
      <c r="G848" s="510"/>
      <c r="H848" s="507"/>
      <c r="I848" s="507"/>
      <c r="J848" s="507"/>
      <c r="K848" s="507"/>
      <c r="L848" s="507"/>
      <c r="M848" s="507"/>
      <c r="N848" s="507"/>
      <c r="O848" s="507"/>
      <c r="P848" s="507"/>
      <c r="Q848" s="507"/>
      <c r="R848" s="507"/>
      <c r="S848" s="507"/>
      <c r="T848" s="507"/>
      <c r="U848" s="507"/>
      <c r="V848" s="510"/>
      <c r="W848" s="510"/>
      <c r="X848" s="510"/>
      <c r="Y848" s="507"/>
    </row>
    <row r="849" spans="1:25">
      <c r="A849" s="507"/>
      <c r="E849" s="507"/>
      <c r="F849" s="510"/>
      <c r="G849" s="510"/>
      <c r="H849" s="507"/>
      <c r="I849" s="507"/>
      <c r="J849" s="507"/>
      <c r="K849" s="507"/>
      <c r="L849" s="507"/>
      <c r="M849" s="507"/>
      <c r="N849" s="507"/>
      <c r="O849" s="507"/>
      <c r="P849" s="507"/>
      <c r="Q849" s="507"/>
      <c r="R849" s="507"/>
      <c r="S849" s="507"/>
      <c r="T849" s="507"/>
      <c r="U849" s="507"/>
      <c r="V849" s="510"/>
      <c r="W849" s="510"/>
      <c r="X849" s="510"/>
      <c r="Y849" s="507"/>
    </row>
    <row r="850" spans="1:25">
      <c r="A850" s="507"/>
      <c r="E850" s="507"/>
      <c r="F850" s="510"/>
      <c r="G850" s="510"/>
      <c r="H850" s="507"/>
      <c r="I850" s="507"/>
      <c r="J850" s="507"/>
      <c r="K850" s="507"/>
      <c r="L850" s="507"/>
      <c r="M850" s="507"/>
      <c r="N850" s="507"/>
      <c r="O850" s="507"/>
      <c r="P850" s="507"/>
      <c r="Q850" s="507"/>
      <c r="R850" s="507"/>
      <c r="S850" s="507"/>
      <c r="T850" s="507"/>
      <c r="U850" s="507"/>
      <c r="V850" s="510"/>
      <c r="W850" s="510"/>
      <c r="X850" s="510"/>
      <c r="Y850" s="507"/>
    </row>
    <row r="851" spans="1:25">
      <c r="A851" s="507"/>
      <c r="E851" s="507"/>
      <c r="F851" s="510"/>
      <c r="G851" s="510"/>
      <c r="H851" s="507"/>
      <c r="I851" s="507"/>
      <c r="J851" s="507"/>
      <c r="K851" s="507"/>
      <c r="L851" s="507"/>
      <c r="M851" s="507"/>
      <c r="N851" s="507"/>
      <c r="O851" s="507"/>
      <c r="P851" s="507"/>
      <c r="Q851" s="507"/>
      <c r="R851" s="507"/>
      <c r="S851" s="507"/>
      <c r="T851" s="507"/>
      <c r="U851" s="507"/>
      <c r="V851" s="510"/>
      <c r="W851" s="510"/>
      <c r="X851" s="510"/>
      <c r="Y851" s="507"/>
    </row>
    <row r="852" spans="1:25">
      <c r="A852" s="507"/>
      <c r="E852" s="507"/>
      <c r="F852" s="510"/>
      <c r="G852" s="510"/>
      <c r="H852" s="507"/>
      <c r="I852" s="507"/>
      <c r="J852" s="507"/>
      <c r="K852" s="507"/>
      <c r="L852" s="507"/>
      <c r="M852" s="507"/>
      <c r="N852" s="507"/>
      <c r="O852" s="507"/>
      <c r="P852" s="507"/>
      <c r="Q852" s="507"/>
      <c r="R852" s="507"/>
      <c r="S852" s="507"/>
      <c r="T852" s="507"/>
      <c r="U852" s="507"/>
      <c r="V852" s="510"/>
      <c r="W852" s="510"/>
      <c r="X852" s="510"/>
      <c r="Y852" s="507"/>
    </row>
    <row r="853" spans="1:25">
      <c r="A853" s="507"/>
      <c r="E853" s="507"/>
      <c r="F853" s="510"/>
      <c r="G853" s="510"/>
      <c r="H853" s="507"/>
      <c r="I853" s="507"/>
      <c r="J853" s="507"/>
      <c r="K853" s="507"/>
      <c r="L853" s="507"/>
      <c r="M853" s="507"/>
      <c r="N853" s="507"/>
      <c r="O853" s="507"/>
      <c r="P853" s="507"/>
      <c r="Q853" s="507"/>
      <c r="R853" s="507"/>
      <c r="S853" s="507"/>
      <c r="T853" s="507"/>
      <c r="U853" s="507"/>
      <c r="V853" s="510"/>
      <c r="W853" s="510"/>
      <c r="X853" s="510"/>
      <c r="Y853" s="507"/>
    </row>
    <row r="854" spans="1:25">
      <c r="A854" s="507"/>
      <c r="E854" s="507"/>
      <c r="F854" s="510"/>
      <c r="G854" s="510"/>
      <c r="H854" s="507"/>
      <c r="I854" s="507"/>
      <c r="J854" s="507"/>
      <c r="K854" s="507"/>
      <c r="L854" s="507"/>
      <c r="M854" s="507"/>
      <c r="N854" s="507"/>
      <c r="O854" s="507"/>
      <c r="P854" s="507"/>
      <c r="Q854" s="507"/>
      <c r="R854" s="507"/>
      <c r="S854" s="507"/>
      <c r="T854" s="507"/>
      <c r="U854" s="507"/>
      <c r="V854" s="510"/>
      <c r="W854" s="510"/>
      <c r="X854" s="510"/>
      <c r="Y854" s="507"/>
    </row>
    <row r="855" spans="1:25">
      <c r="A855" s="507"/>
      <c r="E855" s="507"/>
      <c r="F855" s="510"/>
      <c r="G855" s="510"/>
      <c r="H855" s="507"/>
      <c r="I855" s="507"/>
      <c r="J855" s="507"/>
      <c r="K855" s="507"/>
      <c r="L855" s="507"/>
      <c r="M855" s="507"/>
      <c r="N855" s="507"/>
      <c r="O855" s="507"/>
      <c r="P855" s="507"/>
      <c r="Q855" s="507"/>
      <c r="R855" s="507"/>
      <c r="S855" s="507"/>
      <c r="T855" s="507"/>
      <c r="U855" s="507"/>
      <c r="V855" s="510"/>
      <c r="W855" s="510"/>
      <c r="X855" s="510"/>
      <c r="Y855" s="507"/>
    </row>
    <row r="856" spans="1:25">
      <c r="A856" s="507"/>
      <c r="E856" s="507"/>
      <c r="F856" s="510"/>
      <c r="G856" s="510"/>
      <c r="H856" s="507"/>
      <c r="I856" s="507"/>
      <c r="J856" s="507"/>
      <c r="K856" s="507"/>
      <c r="L856" s="507"/>
      <c r="M856" s="507"/>
      <c r="N856" s="507"/>
      <c r="O856" s="507"/>
      <c r="P856" s="507"/>
      <c r="Q856" s="507"/>
      <c r="R856" s="507"/>
      <c r="S856" s="507"/>
      <c r="T856" s="507"/>
      <c r="U856" s="507"/>
      <c r="V856" s="510"/>
      <c r="W856" s="510"/>
      <c r="X856" s="510"/>
      <c r="Y856" s="507"/>
    </row>
    <row r="857" spans="1:25">
      <c r="A857" s="507"/>
      <c r="E857" s="507"/>
      <c r="F857" s="510"/>
      <c r="G857" s="510"/>
      <c r="H857" s="507"/>
      <c r="I857" s="507"/>
      <c r="J857" s="507"/>
      <c r="K857" s="507"/>
      <c r="L857" s="507"/>
      <c r="M857" s="507"/>
      <c r="N857" s="507"/>
      <c r="O857" s="507"/>
      <c r="P857" s="507"/>
      <c r="Q857" s="507"/>
      <c r="R857" s="507"/>
      <c r="S857" s="507"/>
      <c r="T857" s="507"/>
      <c r="U857" s="507"/>
      <c r="V857" s="510"/>
      <c r="W857" s="510"/>
      <c r="X857" s="510"/>
      <c r="Y857" s="507"/>
    </row>
    <row r="858" spans="1:25">
      <c r="A858" s="507"/>
      <c r="E858" s="507"/>
      <c r="F858" s="510"/>
      <c r="G858" s="510"/>
      <c r="H858" s="507"/>
      <c r="I858" s="507"/>
      <c r="J858" s="507"/>
      <c r="K858" s="507"/>
      <c r="L858" s="507"/>
      <c r="M858" s="507"/>
      <c r="N858" s="507"/>
      <c r="O858" s="507"/>
      <c r="P858" s="507"/>
      <c r="Q858" s="507"/>
      <c r="R858" s="507"/>
      <c r="S858" s="507"/>
      <c r="T858" s="507"/>
      <c r="U858" s="507"/>
      <c r="V858" s="510"/>
      <c r="W858" s="510"/>
      <c r="X858" s="510"/>
      <c r="Y858" s="507"/>
    </row>
    <row r="859" spans="1:25">
      <c r="A859" s="507"/>
      <c r="E859" s="507"/>
      <c r="F859" s="510"/>
      <c r="G859" s="510"/>
      <c r="H859" s="507"/>
      <c r="I859" s="507"/>
      <c r="J859" s="507"/>
      <c r="K859" s="507"/>
      <c r="L859" s="507"/>
      <c r="M859" s="507"/>
      <c r="N859" s="507"/>
      <c r="O859" s="507"/>
      <c r="P859" s="507"/>
      <c r="Q859" s="507"/>
      <c r="R859" s="507"/>
      <c r="S859" s="507"/>
      <c r="T859" s="507"/>
      <c r="U859" s="507"/>
      <c r="V859" s="510"/>
      <c r="W859" s="510"/>
      <c r="X859" s="510"/>
      <c r="Y859" s="507"/>
    </row>
    <row r="860" spans="1:25">
      <c r="A860" s="507"/>
      <c r="E860" s="507"/>
      <c r="F860" s="510"/>
      <c r="G860" s="510"/>
      <c r="H860" s="507"/>
      <c r="I860" s="507"/>
      <c r="J860" s="507"/>
      <c r="K860" s="507"/>
      <c r="L860" s="507"/>
      <c r="M860" s="507"/>
      <c r="N860" s="507"/>
      <c r="O860" s="507"/>
      <c r="P860" s="507"/>
      <c r="Q860" s="507"/>
      <c r="R860" s="507"/>
      <c r="S860" s="507"/>
      <c r="T860" s="507"/>
      <c r="U860" s="507"/>
      <c r="V860" s="510"/>
      <c r="W860" s="510"/>
      <c r="X860" s="510"/>
      <c r="Y860" s="507"/>
    </row>
    <row r="861" spans="1:25">
      <c r="A861" s="507"/>
      <c r="E861" s="507"/>
      <c r="F861" s="510"/>
      <c r="G861" s="510"/>
      <c r="H861" s="507"/>
      <c r="I861" s="507"/>
      <c r="J861" s="507"/>
      <c r="K861" s="507"/>
      <c r="L861" s="507"/>
      <c r="M861" s="507"/>
      <c r="N861" s="507"/>
      <c r="O861" s="507"/>
      <c r="P861" s="507"/>
      <c r="Q861" s="507"/>
      <c r="R861" s="507"/>
      <c r="S861" s="507"/>
      <c r="T861" s="507"/>
      <c r="U861" s="507"/>
      <c r="V861" s="510"/>
      <c r="W861" s="510"/>
      <c r="X861" s="510"/>
      <c r="Y861" s="507"/>
    </row>
    <row r="862" spans="1:25">
      <c r="A862" s="507"/>
      <c r="E862" s="507"/>
      <c r="F862" s="510"/>
      <c r="G862" s="510"/>
      <c r="H862" s="507"/>
      <c r="I862" s="507"/>
      <c r="J862" s="507"/>
      <c r="K862" s="507"/>
      <c r="L862" s="507"/>
      <c r="M862" s="507"/>
      <c r="N862" s="507"/>
      <c r="O862" s="507"/>
      <c r="P862" s="507"/>
      <c r="Q862" s="507"/>
      <c r="R862" s="507"/>
      <c r="S862" s="507"/>
      <c r="T862" s="507"/>
      <c r="U862" s="507"/>
      <c r="V862" s="510"/>
      <c r="W862" s="510"/>
      <c r="X862" s="510"/>
      <c r="Y862" s="507"/>
    </row>
    <row r="863" spans="1:25">
      <c r="A863" s="507"/>
      <c r="E863" s="507"/>
      <c r="F863" s="510"/>
      <c r="G863" s="510"/>
      <c r="H863" s="507"/>
      <c r="I863" s="507"/>
      <c r="J863" s="507"/>
      <c r="K863" s="507"/>
      <c r="L863" s="507"/>
      <c r="M863" s="507"/>
      <c r="N863" s="507"/>
      <c r="O863" s="507"/>
      <c r="P863" s="507"/>
      <c r="Q863" s="507"/>
      <c r="R863" s="507"/>
      <c r="S863" s="507"/>
      <c r="T863" s="507"/>
      <c r="U863" s="507"/>
      <c r="V863" s="510"/>
      <c r="W863" s="510"/>
      <c r="X863" s="510"/>
      <c r="Y863" s="507"/>
    </row>
    <row r="864" spans="1:25">
      <c r="A864" s="507"/>
      <c r="E864" s="507"/>
      <c r="F864" s="510"/>
      <c r="G864" s="510"/>
      <c r="H864" s="507"/>
      <c r="I864" s="507"/>
      <c r="J864" s="507"/>
      <c r="K864" s="507"/>
      <c r="L864" s="507"/>
      <c r="M864" s="507"/>
      <c r="N864" s="507"/>
      <c r="O864" s="507"/>
      <c r="P864" s="507"/>
      <c r="Q864" s="507"/>
      <c r="R864" s="507"/>
      <c r="S864" s="507"/>
      <c r="T864" s="507"/>
      <c r="U864" s="507"/>
      <c r="V864" s="510"/>
      <c r="W864" s="510"/>
      <c r="X864" s="510"/>
      <c r="Y864" s="507"/>
    </row>
    <row r="865" spans="1:25">
      <c r="A865" s="507"/>
      <c r="E865" s="507"/>
      <c r="F865" s="510"/>
      <c r="G865" s="510"/>
      <c r="H865" s="507"/>
      <c r="I865" s="507"/>
      <c r="J865" s="507"/>
      <c r="K865" s="507"/>
      <c r="L865" s="507"/>
      <c r="M865" s="507"/>
      <c r="N865" s="507"/>
      <c r="O865" s="507"/>
      <c r="P865" s="507"/>
      <c r="Q865" s="507"/>
      <c r="R865" s="507"/>
      <c r="S865" s="507"/>
      <c r="T865" s="507"/>
      <c r="U865" s="507"/>
      <c r="V865" s="510"/>
      <c r="W865" s="510"/>
      <c r="X865" s="510"/>
      <c r="Y865" s="507"/>
    </row>
    <row r="866" spans="1:25">
      <c r="A866" s="507"/>
      <c r="E866" s="507"/>
      <c r="F866" s="510"/>
      <c r="G866" s="510"/>
      <c r="H866" s="507"/>
      <c r="I866" s="507"/>
      <c r="J866" s="507"/>
      <c r="K866" s="507"/>
      <c r="L866" s="507"/>
      <c r="M866" s="507"/>
      <c r="N866" s="507"/>
      <c r="O866" s="507"/>
      <c r="P866" s="507"/>
      <c r="Q866" s="507"/>
      <c r="R866" s="507"/>
      <c r="S866" s="507"/>
      <c r="T866" s="507"/>
      <c r="U866" s="507"/>
      <c r="V866" s="510"/>
      <c r="W866" s="510"/>
      <c r="X866" s="510"/>
      <c r="Y866" s="507"/>
    </row>
    <row r="867" spans="1:25">
      <c r="A867" s="507"/>
      <c r="E867" s="507"/>
      <c r="F867" s="510"/>
      <c r="G867" s="510"/>
      <c r="H867" s="507"/>
      <c r="I867" s="507"/>
      <c r="J867" s="507"/>
      <c r="K867" s="507"/>
      <c r="L867" s="507"/>
      <c r="M867" s="507"/>
      <c r="N867" s="507"/>
      <c r="O867" s="507"/>
      <c r="P867" s="507"/>
      <c r="Q867" s="507"/>
      <c r="R867" s="507"/>
      <c r="S867" s="507"/>
      <c r="T867" s="507"/>
      <c r="U867" s="507"/>
      <c r="V867" s="510"/>
      <c r="W867" s="510"/>
      <c r="X867" s="510"/>
      <c r="Y867" s="507"/>
    </row>
    <row r="868" spans="1:25">
      <c r="A868" s="507"/>
      <c r="E868" s="507"/>
      <c r="F868" s="510"/>
      <c r="G868" s="510"/>
      <c r="H868" s="507"/>
      <c r="I868" s="507"/>
      <c r="J868" s="507"/>
      <c r="K868" s="507"/>
      <c r="L868" s="507"/>
      <c r="M868" s="507"/>
      <c r="N868" s="507"/>
      <c r="O868" s="507"/>
      <c r="P868" s="507"/>
      <c r="Q868" s="507"/>
      <c r="R868" s="507"/>
      <c r="S868" s="507"/>
      <c r="T868" s="507"/>
      <c r="U868" s="507"/>
      <c r="V868" s="510"/>
      <c r="W868" s="510"/>
      <c r="X868" s="510"/>
      <c r="Y868" s="507"/>
    </row>
    <row r="869" spans="1:25">
      <c r="A869" s="507"/>
      <c r="E869" s="507"/>
      <c r="F869" s="510"/>
      <c r="G869" s="510"/>
      <c r="H869" s="507"/>
      <c r="I869" s="507"/>
      <c r="J869" s="507"/>
      <c r="K869" s="507"/>
      <c r="L869" s="507"/>
      <c r="M869" s="507"/>
      <c r="N869" s="507"/>
      <c r="O869" s="507"/>
      <c r="P869" s="507"/>
      <c r="Q869" s="507"/>
      <c r="R869" s="507"/>
      <c r="S869" s="507"/>
      <c r="T869" s="507"/>
      <c r="U869" s="507"/>
      <c r="V869" s="510"/>
      <c r="W869" s="510"/>
      <c r="X869" s="510"/>
      <c r="Y869" s="507"/>
    </row>
    <row r="870" spans="1:25">
      <c r="A870" s="507"/>
      <c r="E870" s="507"/>
      <c r="F870" s="510"/>
      <c r="G870" s="510"/>
      <c r="H870" s="507"/>
      <c r="I870" s="507"/>
      <c r="J870" s="507"/>
      <c r="K870" s="507"/>
      <c r="L870" s="507"/>
      <c r="M870" s="507"/>
      <c r="N870" s="507"/>
      <c r="O870" s="507"/>
      <c r="P870" s="507"/>
      <c r="Q870" s="507"/>
      <c r="R870" s="507"/>
      <c r="S870" s="507"/>
      <c r="T870" s="507"/>
      <c r="U870" s="507"/>
      <c r="V870" s="510"/>
      <c r="W870" s="510"/>
      <c r="X870" s="510"/>
      <c r="Y870" s="507"/>
    </row>
    <row r="871" spans="1:25">
      <c r="A871" s="507"/>
      <c r="E871" s="507"/>
      <c r="F871" s="510"/>
      <c r="G871" s="510"/>
      <c r="H871" s="507"/>
      <c r="I871" s="507"/>
      <c r="J871" s="507"/>
      <c r="K871" s="507"/>
      <c r="L871" s="507"/>
      <c r="M871" s="507"/>
      <c r="N871" s="507"/>
      <c r="O871" s="507"/>
      <c r="P871" s="507"/>
      <c r="Q871" s="507"/>
      <c r="R871" s="507"/>
      <c r="S871" s="507"/>
      <c r="T871" s="507"/>
      <c r="U871" s="507"/>
      <c r="V871" s="510"/>
      <c r="W871" s="510"/>
      <c r="X871" s="510"/>
      <c r="Y871" s="507"/>
    </row>
    <row r="872" spans="1:25">
      <c r="A872" s="507"/>
      <c r="E872" s="507"/>
      <c r="F872" s="510"/>
      <c r="G872" s="510"/>
      <c r="H872" s="507"/>
      <c r="I872" s="507"/>
      <c r="J872" s="507"/>
      <c r="K872" s="507"/>
      <c r="L872" s="507"/>
      <c r="M872" s="507"/>
      <c r="N872" s="507"/>
      <c r="O872" s="507"/>
      <c r="P872" s="507"/>
      <c r="Q872" s="507"/>
      <c r="R872" s="507"/>
      <c r="S872" s="507"/>
      <c r="T872" s="507"/>
      <c r="U872" s="507"/>
      <c r="V872" s="510"/>
      <c r="W872" s="510"/>
      <c r="X872" s="510"/>
      <c r="Y872" s="507"/>
    </row>
    <row r="873" spans="1:25">
      <c r="A873" s="507"/>
      <c r="E873" s="507"/>
      <c r="F873" s="510"/>
      <c r="G873" s="510"/>
      <c r="H873" s="507"/>
      <c r="I873" s="507"/>
      <c r="J873" s="507"/>
      <c r="K873" s="507"/>
      <c r="L873" s="507"/>
      <c r="M873" s="507"/>
      <c r="N873" s="507"/>
      <c r="O873" s="507"/>
      <c r="P873" s="507"/>
      <c r="Q873" s="507"/>
      <c r="R873" s="507"/>
      <c r="S873" s="507"/>
      <c r="T873" s="507"/>
      <c r="U873" s="507"/>
      <c r="V873" s="510"/>
      <c r="W873" s="510"/>
      <c r="X873" s="510"/>
      <c r="Y873" s="507"/>
    </row>
    <row r="874" spans="1:25">
      <c r="A874" s="507"/>
      <c r="E874" s="507"/>
      <c r="F874" s="510"/>
      <c r="G874" s="510"/>
      <c r="H874" s="507"/>
      <c r="I874" s="507"/>
      <c r="J874" s="507"/>
      <c r="K874" s="507"/>
      <c r="L874" s="507"/>
      <c r="M874" s="507"/>
      <c r="N874" s="507"/>
      <c r="O874" s="507"/>
      <c r="P874" s="507"/>
      <c r="Q874" s="507"/>
      <c r="R874" s="507"/>
      <c r="S874" s="507"/>
      <c r="T874" s="507"/>
      <c r="U874" s="507"/>
      <c r="V874" s="510"/>
      <c r="W874" s="510"/>
      <c r="X874" s="510"/>
      <c r="Y874" s="507"/>
    </row>
    <row r="875" spans="1:25">
      <c r="A875" s="507"/>
      <c r="E875" s="507"/>
      <c r="F875" s="510"/>
      <c r="G875" s="510"/>
      <c r="H875" s="507"/>
      <c r="I875" s="507"/>
      <c r="J875" s="507"/>
      <c r="K875" s="507"/>
      <c r="L875" s="507"/>
      <c r="M875" s="507"/>
      <c r="N875" s="507"/>
      <c r="O875" s="507"/>
      <c r="P875" s="507"/>
      <c r="Q875" s="507"/>
      <c r="R875" s="507"/>
      <c r="S875" s="507"/>
      <c r="T875" s="507"/>
      <c r="U875" s="507"/>
      <c r="V875" s="510"/>
      <c r="W875" s="510"/>
      <c r="X875" s="510"/>
      <c r="Y875" s="507"/>
    </row>
    <row r="876" spans="1:25">
      <c r="A876" s="507"/>
      <c r="E876" s="507"/>
      <c r="F876" s="510"/>
      <c r="G876" s="510"/>
      <c r="H876" s="507"/>
      <c r="I876" s="507"/>
      <c r="J876" s="507"/>
      <c r="K876" s="507"/>
      <c r="L876" s="507"/>
      <c r="M876" s="507"/>
      <c r="N876" s="507"/>
      <c r="O876" s="507"/>
      <c r="P876" s="507"/>
      <c r="Q876" s="507"/>
      <c r="R876" s="507"/>
      <c r="S876" s="507"/>
      <c r="T876" s="507"/>
      <c r="U876" s="507"/>
      <c r="V876" s="510"/>
      <c r="W876" s="510"/>
      <c r="X876" s="510"/>
      <c r="Y876" s="507"/>
    </row>
    <row r="877" spans="1:25">
      <c r="A877" s="507"/>
      <c r="E877" s="507"/>
      <c r="F877" s="510"/>
      <c r="G877" s="510"/>
      <c r="H877" s="507"/>
      <c r="I877" s="507"/>
      <c r="J877" s="507"/>
      <c r="K877" s="507"/>
      <c r="L877" s="507"/>
      <c r="M877" s="507"/>
      <c r="N877" s="507"/>
      <c r="O877" s="507"/>
      <c r="P877" s="507"/>
      <c r="Q877" s="507"/>
      <c r="R877" s="507"/>
      <c r="S877" s="507"/>
      <c r="T877" s="507"/>
      <c r="U877" s="507"/>
      <c r="V877" s="510"/>
      <c r="W877" s="510"/>
      <c r="X877" s="510"/>
      <c r="Y877" s="507"/>
    </row>
    <row r="878" spans="1:25">
      <c r="A878" s="507"/>
      <c r="E878" s="507"/>
      <c r="F878" s="510"/>
      <c r="G878" s="510"/>
      <c r="H878" s="507"/>
      <c r="I878" s="507"/>
      <c r="J878" s="507"/>
      <c r="K878" s="507"/>
      <c r="L878" s="507"/>
      <c r="M878" s="507"/>
      <c r="N878" s="507"/>
      <c r="O878" s="507"/>
      <c r="P878" s="507"/>
      <c r="Q878" s="507"/>
      <c r="R878" s="507"/>
      <c r="S878" s="507"/>
      <c r="T878" s="507"/>
      <c r="U878" s="507"/>
      <c r="V878" s="510"/>
      <c r="W878" s="510"/>
      <c r="X878" s="510"/>
      <c r="Y878" s="507"/>
    </row>
    <row r="879" spans="1:25">
      <c r="A879" s="507"/>
      <c r="E879" s="507"/>
      <c r="F879" s="510"/>
      <c r="G879" s="510"/>
      <c r="H879" s="507"/>
      <c r="I879" s="507"/>
      <c r="J879" s="507"/>
      <c r="K879" s="507"/>
      <c r="L879" s="507"/>
      <c r="M879" s="507"/>
      <c r="N879" s="507"/>
      <c r="O879" s="507"/>
      <c r="P879" s="507"/>
      <c r="Q879" s="507"/>
      <c r="R879" s="507"/>
      <c r="S879" s="507"/>
      <c r="T879" s="507"/>
      <c r="U879" s="507"/>
      <c r="V879" s="510"/>
      <c r="W879" s="510"/>
      <c r="X879" s="510"/>
      <c r="Y879" s="507"/>
    </row>
    <row r="880" spans="1:25">
      <c r="A880" s="507"/>
      <c r="E880" s="507"/>
      <c r="F880" s="510"/>
      <c r="G880" s="510"/>
      <c r="H880" s="507"/>
      <c r="I880" s="507"/>
      <c r="J880" s="507"/>
      <c r="K880" s="507"/>
      <c r="L880" s="507"/>
      <c r="M880" s="507"/>
      <c r="N880" s="507"/>
      <c r="O880" s="507"/>
      <c r="P880" s="507"/>
      <c r="Q880" s="507"/>
      <c r="R880" s="507"/>
      <c r="S880" s="507"/>
      <c r="T880" s="507"/>
      <c r="U880" s="507"/>
      <c r="V880" s="510"/>
      <c r="W880" s="510"/>
      <c r="X880" s="510"/>
      <c r="Y880" s="507"/>
    </row>
    <row r="881" spans="1:25">
      <c r="A881" s="507"/>
      <c r="E881" s="507"/>
      <c r="F881" s="510"/>
      <c r="G881" s="510"/>
      <c r="H881" s="507"/>
      <c r="I881" s="507"/>
      <c r="J881" s="507"/>
      <c r="K881" s="507"/>
      <c r="L881" s="507"/>
      <c r="M881" s="507"/>
      <c r="N881" s="507"/>
      <c r="O881" s="507"/>
      <c r="P881" s="507"/>
      <c r="Q881" s="507"/>
      <c r="R881" s="507"/>
      <c r="S881" s="507"/>
      <c r="T881" s="507"/>
      <c r="U881" s="507"/>
      <c r="V881" s="510"/>
      <c r="W881" s="510"/>
      <c r="X881" s="510"/>
      <c r="Y881" s="507"/>
    </row>
    <row r="882" spans="1:25">
      <c r="A882" s="507"/>
      <c r="E882" s="507"/>
      <c r="F882" s="510"/>
      <c r="G882" s="510"/>
      <c r="H882" s="507"/>
      <c r="I882" s="507"/>
      <c r="J882" s="507"/>
      <c r="K882" s="507"/>
      <c r="L882" s="507"/>
      <c r="M882" s="507"/>
      <c r="N882" s="507"/>
      <c r="O882" s="507"/>
      <c r="P882" s="507"/>
      <c r="Q882" s="507"/>
      <c r="R882" s="507"/>
      <c r="S882" s="507"/>
      <c r="T882" s="507"/>
      <c r="U882" s="507"/>
      <c r="V882" s="510"/>
      <c r="W882" s="510"/>
      <c r="X882" s="510"/>
      <c r="Y882" s="507"/>
    </row>
    <row r="883" spans="1:25">
      <c r="A883" s="507"/>
      <c r="E883" s="507"/>
      <c r="F883" s="510"/>
      <c r="G883" s="510"/>
      <c r="H883" s="507"/>
      <c r="I883" s="507"/>
      <c r="J883" s="507"/>
      <c r="K883" s="507"/>
      <c r="L883" s="507"/>
      <c r="M883" s="507"/>
      <c r="N883" s="507"/>
      <c r="O883" s="507"/>
      <c r="P883" s="507"/>
      <c r="Q883" s="507"/>
      <c r="R883" s="507"/>
      <c r="S883" s="507"/>
      <c r="T883" s="507"/>
      <c r="U883" s="507"/>
      <c r="V883" s="510"/>
      <c r="W883" s="510"/>
      <c r="X883" s="510"/>
      <c r="Y883" s="507"/>
    </row>
    <row r="884" spans="1:25">
      <c r="A884" s="507"/>
      <c r="E884" s="507"/>
      <c r="F884" s="510"/>
      <c r="G884" s="510"/>
      <c r="H884" s="507"/>
      <c r="I884" s="507"/>
      <c r="J884" s="507"/>
      <c r="K884" s="507"/>
      <c r="L884" s="507"/>
      <c r="M884" s="507"/>
      <c r="N884" s="507"/>
      <c r="O884" s="507"/>
      <c r="P884" s="507"/>
      <c r="Q884" s="507"/>
      <c r="R884" s="507"/>
      <c r="S884" s="507"/>
      <c r="T884" s="507"/>
      <c r="U884" s="507"/>
      <c r="V884" s="510"/>
      <c r="W884" s="510"/>
      <c r="X884" s="510"/>
      <c r="Y884" s="507"/>
    </row>
    <row r="885" spans="1:25">
      <c r="A885" s="507"/>
      <c r="E885" s="507"/>
      <c r="F885" s="510"/>
      <c r="G885" s="510"/>
      <c r="H885" s="507"/>
      <c r="I885" s="507"/>
      <c r="J885" s="507"/>
      <c r="K885" s="507"/>
      <c r="L885" s="507"/>
      <c r="M885" s="507"/>
      <c r="N885" s="507"/>
      <c r="O885" s="507"/>
      <c r="P885" s="507"/>
      <c r="Q885" s="507"/>
      <c r="R885" s="507"/>
      <c r="S885" s="507"/>
      <c r="T885" s="507"/>
      <c r="U885" s="507"/>
      <c r="V885" s="510"/>
      <c r="W885" s="510"/>
      <c r="X885" s="510"/>
      <c r="Y885" s="507"/>
    </row>
    <row r="886" spans="1:25">
      <c r="A886" s="507"/>
      <c r="E886" s="507"/>
      <c r="F886" s="510"/>
      <c r="G886" s="510"/>
      <c r="H886" s="507"/>
      <c r="I886" s="507"/>
      <c r="J886" s="507"/>
      <c r="K886" s="507"/>
      <c r="L886" s="507"/>
      <c r="M886" s="507"/>
      <c r="N886" s="507"/>
      <c r="O886" s="507"/>
      <c r="P886" s="507"/>
      <c r="Q886" s="507"/>
      <c r="R886" s="507"/>
      <c r="S886" s="507"/>
      <c r="T886" s="507"/>
      <c r="U886" s="507"/>
      <c r="V886" s="510"/>
      <c r="W886" s="510"/>
      <c r="X886" s="510"/>
      <c r="Y886" s="507"/>
    </row>
    <row r="887" spans="1:25">
      <c r="A887" s="507"/>
      <c r="E887" s="507"/>
      <c r="F887" s="510"/>
      <c r="G887" s="510"/>
      <c r="H887" s="507"/>
      <c r="I887" s="507"/>
      <c r="J887" s="507"/>
      <c r="K887" s="507"/>
      <c r="L887" s="507"/>
      <c r="M887" s="507"/>
      <c r="N887" s="507"/>
      <c r="O887" s="507"/>
      <c r="P887" s="507"/>
      <c r="Q887" s="507"/>
      <c r="R887" s="507"/>
      <c r="S887" s="507"/>
      <c r="T887" s="507"/>
      <c r="U887" s="507"/>
      <c r="V887" s="510"/>
      <c r="W887" s="510"/>
      <c r="X887" s="510"/>
      <c r="Y887" s="507"/>
    </row>
    <row r="888" spans="1:25">
      <c r="A888" s="507"/>
      <c r="E888" s="507"/>
      <c r="F888" s="510"/>
      <c r="G888" s="510"/>
      <c r="H888" s="507"/>
      <c r="I888" s="507"/>
      <c r="J888" s="507"/>
      <c r="K888" s="507"/>
      <c r="L888" s="507"/>
      <c r="M888" s="507"/>
      <c r="N888" s="507"/>
      <c r="O888" s="507"/>
      <c r="P888" s="507"/>
      <c r="Q888" s="507"/>
      <c r="R888" s="507"/>
      <c r="S888" s="507"/>
      <c r="T888" s="507"/>
      <c r="U888" s="507"/>
      <c r="V888" s="510"/>
      <c r="W888" s="510"/>
      <c r="X888" s="510"/>
      <c r="Y888" s="507"/>
    </row>
    <row r="889" spans="1:25">
      <c r="A889" s="507"/>
      <c r="E889" s="507"/>
      <c r="F889" s="510"/>
      <c r="G889" s="510"/>
      <c r="H889" s="507"/>
      <c r="I889" s="507"/>
      <c r="J889" s="507"/>
      <c r="K889" s="507"/>
      <c r="L889" s="507"/>
      <c r="M889" s="507"/>
      <c r="N889" s="507"/>
      <c r="O889" s="507"/>
      <c r="P889" s="507"/>
      <c r="Q889" s="507"/>
      <c r="R889" s="507"/>
      <c r="S889" s="507"/>
      <c r="T889" s="507"/>
      <c r="U889" s="507"/>
      <c r="V889" s="510"/>
      <c r="W889" s="510"/>
      <c r="X889" s="510"/>
      <c r="Y889" s="507"/>
    </row>
    <row r="890" spans="1:25">
      <c r="A890" s="507"/>
      <c r="E890" s="507"/>
      <c r="F890" s="510"/>
      <c r="G890" s="510"/>
      <c r="H890" s="507"/>
      <c r="I890" s="507"/>
      <c r="J890" s="507"/>
      <c r="K890" s="507"/>
      <c r="L890" s="507"/>
      <c r="M890" s="507"/>
      <c r="N890" s="507"/>
      <c r="O890" s="507"/>
      <c r="P890" s="507"/>
      <c r="Q890" s="507"/>
      <c r="R890" s="507"/>
      <c r="S890" s="507"/>
      <c r="T890" s="507"/>
      <c r="U890" s="507"/>
      <c r="V890" s="510"/>
      <c r="W890" s="510"/>
      <c r="X890" s="510"/>
      <c r="Y890" s="507"/>
    </row>
    <row r="891" spans="1:25">
      <c r="A891" s="507"/>
      <c r="E891" s="507"/>
      <c r="F891" s="510"/>
      <c r="G891" s="510"/>
      <c r="H891" s="507"/>
      <c r="I891" s="507"/>
      <c r="J891" s="507"/>
      <c r="K891" s="507"/>
      <c r="L891" s="507"/>
      <c r="M891" s="507"/>
      <c r="N891" s="507"/>
      <c r="O891" s="507"/>
      <c r="P891" s="507"/>
      <c r="Q891" s="507"/>
      <c r="R891" s="507"/>
      <c r="S891" s="507"/>
      <c r="T891" s="507"/>
      <c r="U891" s="507"/>
      <c r="V891" s="510"/>
      <c r="W891" s="510"/>
      <c r="X891" s="510"/>
      <c r="Y891" s="507"/>
    </row>
    <row r="892" spans="1:25">
      <c r="A892" s="507"/>
      <c r="E892" s="507"/>
      <c r="F892" s="510"/>
      <c r="G892" s="510"/>
      <c r="H892" s="507"/>
      <c r="I892" s="507"/>
      <c r="J892" s="507"/>
      <c r="K892" s="507"/>
      <c r="L892" s="507"/>
      <c r="M892" s="507"/>
      <c r="N892" s="507"/>
      <c r="O892" s="507"/>
      <c r="P892" s="507"/>
      <c r="Q892" s="507"/>
      <c r="R892" s="507"/>
      <c r="S892" s="507"/>
      <c r="T892" s="507"/>
      <c r="U892" s="507"/>
      <c r="V892" s="510"/>
      <c r="W892" s="510"/>
      <c r="X892" s="510"/>
      <c r="Y892" s="507"/>
    </row>
    <row r="893" spans="1:25">
      <c r="A893" s="507"/>
      <c r="E893" s="507"/>
      <c r="F893" s="510"/>
      <c r="G893" s="510"/>
      <c r="H893" s="507"/>
      <c r="I893" s="507"/>
      <c r="J893" s="507"/>
      <c r="K893" s="507"/>
      <c r="L893" s="507"/>
      <c r="M893" s="507"/>
      <c r="N893" s="507"/>
      <c r="O893" s="507"/>
      <c r="P893" s="507"/>
      <c r="Q893" s="507"/>
      <c r="R893" s="507"/>
      <c r="S893" s="507"/>
      <c r="T893" s="507"/>
      <c r="U893" s="507"/>
      <c r="V893" s="510"/>
      <c r="W893" s="510"/>
      <c r="X893" s="510"/>
      <c r="Y893" s="507"/>
    </row>
    <row r="894" spans="1:25">
      <c r="A894" s="507"/>
      <c r="E894" s="507"/>
      <c r="F894" s="510"/>
      <c r="G894" s="510"/>
      <c r="H894" s="507"/>
      <c r="I894" s="507"/>
      <c r="J894" s="507"/>
      <c r="K894" s="507"/>
      <c r="L894" s="507"/>
      <c r="M894" s="507"/>
      <c r="N894" s="507"/>
      <c r="O894" s="507"/>
      <c r="P894" s="507"/>
      <c r="Q894" s="507"/>
      <c r="R894" s="507"/>
      <c r="S894" s="507"/>
      <c r="T894" s="507"/>
      <c r="U894" s="507"/>
      <c r="V894" s="510"/>
      <c r="W894" s="510"/>
      <c r="X894" s="510"/>
      <c r="Y894" s="507"/>
    </row>
    <row r="895" spans="1:25">
      <c r="A895" s="507"/>
      <c r="E895" s="507"/>
      <c r="F895" s="510"/>
      <c r="G895" s="510"/>
      <c r="H895" s="507"/>
      <c r="I895" s="507"/>
      <c r="J895" s="507"/>
      <c r="K895" s="507"/>
      <c r="L895" s="507"/>
      <c r="M895" s="507"/>
      <c r="N895" s="507"/>
      <c r="O895" s="507"/>
      <c r="P895" s="507"/>
      <c r="Q895" s="507"/>
      <c r="R895" s="507"/>
      <c r="S895" s="507"/>
      <c r="T895" s="507"/>
      <c r="U895" s="507"/>
      <c r="V895" s="510"/>
      <c r="W895" s="510"/>
      <c r="X895" s="510"/>
      <c r="Y895" s="507"/>
    </row>
    <row r="896" spans="1:25">
      <c r="A896" s="507"/>
      <c r="E896" s="507"/>
      <c r="F896" s="510"/>
      <c r="G896" s="510"/>
      <c r="H896" s="507"/>
      <c r="I896" s="507"/>
      <c r="J896" s="507"/>
      <c r="K896" s="507"/>
      <c r="L896" s="507"/>
      <c r="M896" s="507"/>
      <c r="N896" s="507"/>
      <c r="O896" s="507"/>
      <c r="P896" s="507"/>
      <c r="Q896" s="507"/>
      <c r="R896" s="507"/>
      <c r="S896" s="507"/>
      <c r="T896" s="507"/>
      <c r="U896" s="507"/>
      <c r="V896" s="510"/>
      <c r="W896" s="510"/>
      <c r="X896" s="510"/>
      <c r="Y896" s="507"/>
    </row>
    <row r="897" spans="1:25">
      <c r="A897" s="507"/>
      <c r="E897" s="507"/>
      <c r="F897" s="510"/>
      <c r="G897" s="510"/>
      <c r="H897" s="507"/>
      <c r="I897" s="507"/>
      <c r="J897" s="507"/>
      <c r="K897" s="507"/>
      <c r="L897" s="507"/>
      <c r="M897" s="507"/>
      <c r="N897" s="507"/>
      <c r="O897" s="507"/>
      <c r="P897" s="507"/>
      <c r="Q897" s="507"/>
      <c r="R897" s="507"/>
      <c r="S897" s="507"/>
      <c r="T897" s="507"/>
      <c r="U897" s="507"/>
      <c r="V897" s="510"/>
      <c r="W897" s="510"/>
      <c r="X897" s="510"/>
      <c r="Y897" s="507"/>
    </row>
    <row r="898" spans="1:25">
      <c r="A898" s="507"/>
      <c r="E898" s="507"/>
      <c r="F898" s="510"/>
      <c r="G898" s="510"/>
      <c r="H898" s="507"/>
      <c r="I898" s="507"/>
      <c r="J898" s="507"/>
      <c r="K898" s="507"/>
      <c r="L898" s="507"/>
      <c r="M898" s="507"/>
      <c r="N898" s="507"/>
      <c r="O898" s="507"/>
      <c r="P898" s="507"/>
      <c r="Q898" s="507"/>
      <c r="R898" s="507"/>
      <c r="S898" s="507"/>
      <c r="T898" s="507"/>
      <c r="U898" s="507"/>
      <c r="V898" s="510"/>
      <c r="W898" s="510"/>
      <c r="X898" s="510"/>
      <c r="Y898" s="507"/>
    </row>
    <row r="899" spans="1:25">
      <c r="A899" s="507"/>
      <c r="E899" s="507"/>
      <c r="F899" s="510"/>
      <c r="G899" s="510"/>
      <c r="H899" s="507"/>
      <c r="I899" s="507"/>
      <c r="J899" s="507"/>
      <c r="K899" s="507"/>
      <c r="L899" s="507"/>
      <c r="M899" s="507"/>
      <c r="N899" s="507"/>
      <c r="O899" s="507"/>
      <c r="P899" s="507"/>
      <c r="Q899" s="507"/>
      <c r="R899" s="507"/>
      <c r="S899" s="507"/>
      <c r="T899" s="507"/>
      <c r="U899" s="507"/>
      <c r="V899" s="510"/>
      <c r="W899" s="510"/>
      <c r="X899" s="510"/>
      <c r="Y899" s="507"/>
    </row>
    <row r="900" spans="1:25">
      <c r="A900" s="507"/>
      <c r="E900" s="507"/>
      <c r="F900" s="510"/>
      <c r="G900" s="510"/>
      <c r="H900" s="507"/>
      <c r="I900" s="507"/>
      <c r="J900" s="507"/>
      <c r="K900" s="507"/>
      <c r="L900" s="507"/>
      <c r="M900" s="507"/>
      <c r="N900" s="507"/>
      <c r="O900" s="507"/>
      <c r="P900" s="507"/>
      <c r="Q900" s="507"/>
      <c r="R900" s="507"/>
      <c r="S900" s="507"/>
      <c r="T900" s="507"/>
      <c r="U900" s="507"/>
      <c r="V900" s="510"/>
      <c r="W900" s="510"/>
      <c r="X900" s="510"/>
      <c r="Y900" s="507"/>
    </row>
    <row r="901" spans="1:25">
      <c r="A901" s="507"/>
      <c r="E901" s="507"/>
      <c r="F901" s="510"/>
      <c r="G901" s="510"/>
      <c r="H901" s="507"/>
      <c r="I901" s="507"/>
      <c r="J901" s="507"/>
      <c r="K901" s="507"/>
      <c r="L901" s="507"/>
      <c r="M901" s="507"/>
      <c r="N901" s="507"/>
      <c r="O901" s="507"/>
      <c r="P901" s="507"/>
      <c r="Q901" s="507"/>
      <c r="R901" s="507"/>
      <c r="S901" s="507"/>
      <c r="T901" s="507"/>
      <c r="U901" s="507"/>
      <c r="V901" s="510"/>
      <c r="W901" s="510"/>
      <c r="X901" s="510"/>
      <c r="Y901" s="507"/>
    </row>
    <row r="902" spans="1:25">
      <c r="A902" s="507"/>
      <c r="E902" s="507"/>
      <c r="F902" s="510"/>
      <c r="G902" s="510"/>
      <c r="H902" s="507"/>
      <c r="I902" s="507"/>
      <c r="J902" s="507"/>
      <c r="K902" s="507"/>
      <c r="L902" s="507"/>
      <c r="M902" s="507"/>
      <c r="N902" s="507"/>
      <c r="O902" s="507"/>
      <c r="P902" s="507"/>
      <c r="Q902" s="507"/>
      <c r="R902" s="507"/>
      <c r="S902" s="507"/>
      <c r="T902" s="507"/>
      <c r="U902" s="507"/>
      <c r="V902" s="510"/>
      <c r="W902" s="510"/>
      <c r="X902" s="510"/>
      <c r="Y902" s="507"/>
    </row>
    <row r="903" spans="1:25">
      <c r="A903" s="507"/>
      <c r="E903" s="507"/>
      <c r="F903" s="510"/>
      <c r="G903" s="510"/>
      <c r="H903" s="507"/>
      <c r="I903" s="507"/>
      <c r="J903" s="507"/>
      <c r="K903" s="507"/>
      <c r="L903" s="507"/>
      <c r="M903" s="507"/>
      <c r="N903" s="507"/>
      <c r="O903" s="507"/>
      <c r="P903" s="507"/>
      <c r="Q903" s="507"/>
      <c r="R903" s="507"/>
      <c r="S903" s="507"/>
      <c r="T903" s="507"/>
      <c r="U903" s="507"/>
      <c r="V903" s="510"/>
      <c r="W903" s="510"/>
      <c r="X903" s="510"/>
      <c r="Y903" s="507"/>
    </row>
    <row r="904" spans="1:25">
      <c r="A904" s="507"/>
      <c r="E904" s="507"/>
      <c r="F904" s="510"/>
      <c r="G904" s="510"/>
      <c r="H904" s="507"/>
      <c r="I904" s="507"/>
      <c r="J904" s="507"/>
      <c r="K904" s="507"/>
      <c r="L904" s="507"/>
      <c r="M904" s="507"/>
      <c r="N904" s="507"/>
      <c r="O904" s="507"/>
      <c r="P904" s="507"/>
      <c r="Q904" s="507"/>
      <c r="R904" s="507"/>
      <c r="S904" s="507"/>
      <c r="T904" s="507"/>
      <c r="U904" s="507"/>
      <c r="V904" s="510"/>
      <c r="W904" s="510"/>
      <c r="X904" s="510"/>
      <c r="Y904" s="507"/>
    </row>
    <row r="905" spans="1:25">
      <c r="A905" s="507"/>
      <c r="E905" s="507"/>
      <c r="F905" s="510"/>
      <c r="G905" s="510"/>
      <c r="H905" s="507"/>
      <c r="I905" s="507"/>
      <c r="J905" s="507"/>
      <c r="K905" s="507"/>
      <c r="L905" s="507"/>
      <c r="M905" s="507"/>
      <c r="N905" s="507"/>
      <c r="O905" s="507"/>
      <c r="P905" s="507"/>
      <c r="Q905" s="507"/>
      <c r="R905" s="507"/>
      <c r="S905" s="507"/>
      <c r="T905" s="507"/>
      <c r="U905" s="507"/>
      <c r="V905" s="510"/>
      <c r="W905" s="510"/>
      <c r="X905" s="510"/>
      <c r="Y905" s="507"/>
    </row>
    <row r="906" spans="1:25">
      <c r="A906" s="507"/>
      <c r="E906" s="507"/>
      <c r="F906" s="510"/>
      <c r="G906" s="510"/>
      <c r="H906" s="507"/>
      <c r="I906" s="507"/>
      <c r="J906" s="507"/>
      <c r="K906" s="507"/>
      <c r="L906" s="507"/>
      <c r="M906" s="507"/>
      <c r="N906" s="507"/>
      <c r="O906" s="507"/>
      <c r="P906" s="507"/>
      <c r="Q906" s="507"/>
      <c r="R906" s="507"/>
      <c r="S906" s="507"/>
      <c r="T906" s="507"/>
      <c r="U906" s="507"/>
      <c r="V906" s="510"/>
      <c r="W906" s="510"/>
      <c r="X906" s="510"/>
      <c r="Y906" s="507"/>
    </row>
    <row r="907" spans="1:25">
      <c r="A907" s="507"/>
      <c r="E907" s="507"/>
      <c r="F907" s="510"/>
      <c r="G907" s="510"/>
      <c r="H907" s="507"/>
      <c r="I907" s="507"/>
      <c r="J907" s="507"/>
      <c r="K907" s="507"/>
      <c r="L907" s="507"/>
      <c r="M907" s="507"/>
      <c r="N907" s="507"/>
      <c r="O907" s="507"/>
      <c r="P907" s="507"/>
      <c r="Q907" s="507"/>
      <c r="R907" s="507"/>
      <c r="S907" s="507"/>
      <c r="T907" s="507"/>
      <c r="U907" s="507"/>
      <c r="V907" s="510"/>
      <c r="W907" s="510"/>
      <c r="X907" s="510"/>
      <c r="Y907" s="507"/>
    </row>
    <row r="908" spans="1:25">
      <c r="A908" s="507"/>
      <c r="E908" s="507"/>
      <c r="F908" s="510"/>
      <c r="G908" s="510"/>
      <c r="H908" s="507"/>
      <c r="I908" s="507"/>
      <c r="J908" s="507"/>
      <c r="K908" s="507"/>
      <c r="L908" s="507"/>
      <c r="M908" s="507"/>
      <c r="N908" s="507"/>
      <c r="O908" s="507"/>
      <c r="P908" s="507"/>
      <c r="Q908" s="507"/>
      <c r="R908" s="507"/>
      <c r="S908" s="507"/>
      <c r="T908" s="507"/>
      <c r="U908" s="507"/>
      <c r="V908" s="510"/>
      <c r="W908" s="510"/>
      <c r="X908" s="510"/>
      <c r="Y908" s="507"/>
    </row>
    <row r="909" spans="1:25">
      <c r="A909" s="507"/>
      <c r="E909" s="507"/>
      <c r="F909" s="510"/>
      <c r="G909" s="510"/>
      <c r="H909" s="507"/>
      <c r="I909" s="507"/>
      <c r="J909" s="507"/>
      <c r="K909" s="507"/>
      <c r="L909" s="507"/>
      <c r="M909" s="507"/>
      <c r="N909" s="507"/>
      <c r="O909" s="507"/>
      <c r="P909" s="507"/>
      <c r="Q909" s="507"/>
      <c r="R909" s="507"/>
      <c r="S909" s="507"/>
      <c r="T909" s="507"/>
      <c r="U909" s="507"/>
      <c r="V909" s="510"/>
      <c r="W909" s="510"/>
      <c r="X909" s="510"/>
      <c r="Y909" s="507"/>
    </row>
    <row r="910" spans="1:25">
      <c r="A910" s="507"/>
      <c r="E910" s="507"/>
      <c r="F910" s="510"/>
      <c r="G910" s="510"/>
      <c r="H910" s="507"/>
      <c r="I910" s="507"/>
      <c r="J910" s="507"/>
      <c r="K910" s="507"/>
      <c r="L910" s="507"/>
      <c r="M910" s="507"/>
      <c r="N910" s="507"/>
      <c r="O910" s="507"/>
      <c r="P910" s="507"/>
      <c r="Q910" s="507"/>
      <c r="R910" s="507"/>
      <c r="S910" s="507"/>
      <c r="T910" s="507"/>
      <c r="U910" s="507"/>
      <c r="V910" s="510"/>
      <c r="W910" s="510"/>
      <c r="X910" s="510"/>
      <c r="Y910" s="507"/>
    </row>
    <row r="911" spans="1:25">
      <c r="A911" s="507"/>
      <c r="E911" s="507"/>
      <c r="F911" s="510"/>
      <c r="G911" s="510"/>
      <c r="H911" s="507"/>
      <c r="I911" s="507"/>
      <c r="J911" s="507"/>
      <c r="K911" s="507"/>
      <c r="L911" s="507"/>
      <c r="M911" s="507"/>
      <c r="N911" s="507"/>
      <c r="O911" s="507"/>
      <c r="P911" s="507"/>
      <c r="Q911" s="507"/>
      <c r="R911" s="507"/>
      <c r="S911" s="507"/>
      <c r="T911" s="507"/>
      <c r="U911" s="507"/>
      <c r="V911" s="510"/>
      <c r="W911" s="510"/>
      <c r="X911" s="510"/>
      <c r="Y911" s="507"/>
    </row>
    <row r="912" spans="1:25">
      <c r="A912" s="507"/>
      <c r="E912" s="507"/>
      <c r="F912" s="510"/>
      <c r="G912" s="510"/>
      <c r="H912" s="507"/>
      <c r="I912" s="507"/>
      <c r="J912" s="507"/>
      <c r="K912" s="507"/>
      <c r="L912" s="507"/>
      <c r="M912" s="507"/>
      <c r="N912" s="507"/>
      <c r="O912" s="507"/>
      <c r="P912" s="507"/>
      <c r="Q912" s="507"/>
      <c r="R912" s="507"/>
      <c r="S912" s="507"/>
      <c r="T912" s="507"/>
      <c r="U912" s="507"/>
      <c r="V912" s="510"/>
      <c r="W912" s="510"/>
      <c r="X912" s="510"/>
      <c r="Y912" s="507"/>
    </row>
    <row r="913" spans="1:25">
      <c r="A913" s="507"/>
      <c r="E913" s="507"/>
      <c r="F913" s="510"/>
      <c r="G913" s="510"/>
      <c r="H913" s="507"/>
      <c r="I913" s="507"/>
      <c r="J913" s="507"/>
      <c r="K913" s="507"/>
      <c r="L913" s="507"/>
      <c r="M913" s="507"/>
      <c r="N913" s="507"/>
      <c r="O913" s="507"/>
      <c r="P913" s="507"/>
      <c r="Q913" s="507"/>
      <c r="R913" s="507"/>
      <c r="S913" s="507"/>
      <c r="T913" s="507"/>
      <c r="U913" s="507"/>
      <c r="V913" s="510"/>
      <c r="W913" s="510"/>
      <c r="X913" s="510"/>
      <c r="Y913" s="507"/>
    </row>
    <row r="914" spans="1:25">
      <c r="A914" s="507"/>
      <c r="E914" s="507"/>
      <c r="F914" s="510"/>
      <c r="G914" s="510"/>
      <c r="H914" s="507"/>
      <c r="I914" s="507"/>
      <c r="J914" s="507"/>
      <c r="K914" s="507"/>
      <c r="L914" s="507"/>
      <c r="M914" s="507"/>
      <c r="N914" s="507"/>
      <c r="O914" s="507"/>
      <c r="P914" s="507"/>
      <c r="Q914" s="507"/>
      <c r="R914" s="507"/>
      <c r="S914" s="507"/>
      <c r="T914" s="507"/>
      <c r="U914" s="507"/>
      <c r="V914" s="510"/>
      <c r="W914" s="510"/>
      <c r="X914" s="510"/>
      <c r="Y914" s="507"/>
    </row>
    <row r="915" spans="1:25">
      <c r="A915" s="507"/>
      <c r="E915" s="507"/>
      <c r="F915" s="510"/>
      <c r="G915" s="510"/>
      <c r="H915" s="507"/>
      <c r="I915" s="507"/>
      <c r="J915" s="507"/>
      <c r="K915" s="507"/>
      <c r="L915" s="507"/>
      <c r="M915" s="507"/>
      <c r="N915" s="507"/>
      <c r="O915" s="507"/>
      <c r="P915" s="507"/>
      <c r="Q915" s="507"/>
      <c r="R915" s="507"/>
      <c r="S915" s="507"/>
      <c r="T915" s="507"/>
      <c r="U915" s="507"/>
      <c r="V915" s="510"/>
      <c r="W915" s="510"/>
      <c r="X915" s="510"/>
      <c r="Y915" s="507"/>
    </row>
    <row r="916" spans="1:25">
      <c r="A916" s="507"/>
      <c r="E916" s="507"/>
      <c r="F916" s="510"/>
      <c r="G916" s="510"/>
      <c r="H916" s="507"/>
      <c r="I916" s="507"/>
      <c r="J916" s="507"/>
      <c r="K916" s="507"/>
      <c r="L916" s="507"/>
      <c r="M916" s="507"/>
      <c r="N916" s="507"/>
      <c r="O916" s="507"/>
      <c r="P916" s="507"/>
      <c r="Q916" s="507"/>
      <c r="R916" s="507"/>
      <c r="S916" s="507"/>
      <c r="T916" s="507"/>
      <c r="U916" s="507"/>
      <c r="V916" s="510"/>
      <c r="W916" s="510"/>
      <c r="X916" s="510"/>
      <c r="Y916" s="507"/>
    </row>
    <row r="917" spans="1:25">
      <c r="A917" s="507"/>
      <c r="E917" s="507"/>
      <c r="F917" s="510"/>
      <c r="G917" s="510"/>
      <c r="H917" s="507"/>
      <c r="I917" s="507"/>
      <c r="J917" s="507"/>
      <c r="K917" s="507"/>
      <c r="L917" s="507"/>
      <c r="M917" s="507"/>
      <c r="N917" s="507"/>
      <c r="O917" s="507"/>
      <c r="P917" s="507"/>
      <c r="Q917" s="507"/>
      <c r="R917" s="507"/>
      <c r="S917" s="507"/>
      <c r="T917" s="507"/>
      <c r="U917" s="507"/>
      <c r="V917" s="510"/>
      <c r="W917" s="510"/>
      <c r="X917" s="510"/>
      <c r="Y917" s="507"/>
    </row>
    <row r="918" spans="1:25">
      <c r="A918" s="507"/>
      <c r="E918" s="507"/>
      <c r="F918" s="510"/>
      <c r="G918" s="510"/>
      <c r="H918" s="507"/>
      <c r="I918" s="507"/>
      <c r="J918" s="507"/>
      <c r="K918" s="507"/>
      <c r="L918" s="507"/>
      <c r="M918" s="507"/>
      <c r="N918" s="507"/>
      <c r="O918" s="507"/>
      <c r="P918" s="507"/>
      <c r="Q918" s="507"/>
      <c r="R918" s="507"/>
      <c r="S918" s="507"/>
      <c r="T918" s="507"/>
      <c r="U918" s="507"/>
      <c r="V918" s="510"/>
      <c r="W918" s="510"/>
      <c r="X918" s="510"/>
      <c r="Y918" s="507"/>
    </row>
    <row r="919" spans="1:25">
      <c r="A919" s="507"/>
      <c r="E919" s="507"/>
      <c r="F919" s="510"/>
      <c r="G919" s="510"/>
      <c r="H919" s="507"/>
      <c r="I919" s="507"/>
      <c r="J919" s="507"/>
      <c r="K919" s="507"/>
      <c r="L919" s="507"/>
      <c r="M919" s="507"/>
      <c r="N919" s="507"/>
      <c r="O919" s="507"/>
      <c r="P919" s="507"/>
      <c r="Q919" s="507"/>
      <c r="R919" s="507"/>
      <c r="S919" s="507"/>
      <c r="T919" s="507"/>
      <c r="U919" s="507"/>
      <c r="V919" s="510"/>
      <c r="W919" s="510"/>
      <c r="X919" s="510"/>
      <c r="Y919" s="507"/>
    </row>
    <row r="920" spans="1:25">
      <c r="A920" s="507"/>
      <c r="E920" s="507"/>
      <c r="F920" s="510"/>
      <c r="G920" s="510"/>
      <c r="H920" s="507"/>
      <c r="I920" s="507"/>
      <c r="J920" s="507"/>
      <c r="K920" s="507"/>
      <c r="L920" s="507"/>
      <c r="M920" s="507"/>
      <c r="N920" s="507"/>
      <c r="O920" s="507"/>
      <c r="P920" s="507"/>
      <c r="Q920" s="507"/>
      <c r="R920" s="507"/>
      <c r="S920" s="507"/>
      <c r="T920" s="507"/>
      <c r="U920" s="507"/>
      <c r="V920" s="510"/>
      <c r="W920" s="510"/>
      <c r="X920" s="510"/>
      <c r="Y920" s="507"/>
    </row>
    <row r="921" spans="1:25">
      <c r="A921" s="507"/>
      <c r="E921" s="507"/>
      <c r="F921" s="510"/>
      <c r="G921" s="510"/>
      <c r="H921" s="507"/>
      <c r="I921" s="507"/>
      <c r="J921" s="507"/>
      <c r="K921" s="507"/>
      <c r="L921" s="507"/>
      <c r="M921" s="507"/>
      <c r="N921" s="507"/>
      <c r="O921" s="507"/>
      <c r="P921" s="507"/>
      <c r="Q921" s="507"/>
      <c r="R921" s="507"/>
      <c r="S921" s="507"/>
      <c r="T921" s="507"/>
      <c r="U921" s="507"/>
      <c r="V921" s="510"/>
      <c r="W921" s="510"/>
      <c r="X921" s="510"/>
      <c r="Y921" s="507"/>
    </row>
    <row r="922" spans="1:25">
      <c r="A922" s="507"/>
      <c r="E922" s="507"/>
      <c r="F922" s="510"/>
      <c r="G922" s="510"/>
      <c r="H922" s="507"/>
      <c r="I922" s="507"/>
      <c r="J922" s="507"/>
      <c r="K922" s="507"/>
      <c r="L922" s="507"/>
      <c r="M922" s="507"/>
      <c r="N922" s="507"/>
      <c r="O922" s="507"/>
      <c r="P922" s="507"/>
      <c r="Q922" s="507"/>
      <c r="R922" s="507"/>
      <c r="S922" s="507"/>
      <c r="T922" s="507"/>
      <c r="U922" s="507"/>
      <c r="V922" s="510"/>
      <c r="W922" s="510"/>
      <c r="X922" s="510"/>
      <c r="Y922" s="507"/>
    </row>
    <row r="923" spans="1:25">
      <c r="A923" s="507"/>
      <c r="E923" s="507"/>
      <c r="F923" s="510"/>
      <c r="G923" s="510"/>
      <c r="H923" s="507"/>
      <c r="I923" s="507"/>
      <c r="J923" s="507"/>
      <c r="K923" s="507"/>
      <c r="L923" s="507"/>
      <c r="M923" s="507"/>
      <c r="N923" s="507"/>
      <c r="O923" s="507"/>
      <c r="P923" s="507"/>
      <c r="Q923" s="507"/>
      <c r="R923" s="507"/>
      <c r="S923" s="507"/>
      <c r="T923" s="507"/>
      <c r="U923" s="507"/>
      <c r="V923" s="510"/>
      <c r="W923" s="510"/>
      <c r="X923" s="510"/>
      <c r="Y923" s="507"/>
    </row>
    <row r="924" spans="1:25">
      <c r="A924" s="507"/>
      <c r="E924" s="507"/>
      <c r="F924" s="510"/>
      <c r="G924" s="510"/>
      <c r="H924" s="507"/>
      <c r="I924" s="507"/>
      <c r="J924" s="507"/>
      <c r="K924" s="507"/>
      <c r="L924" s="507"/>
      <c r="M924" s="507"/>
      <c r="N924" s="507"/>
      <c r="O924" s="507"/>
      <c r="P924" s="507"/>
      <c r="Q924" s="507"/>
      <c r="R924" s="507"/>
      <c r="S924" s="507"/>
      <c r="T924" s="507"/>
      <c r="U924" s="507"/>
      <c r="V924" s="510"/>
      <c r="W924" s="510"/>
      <c r="X924" s="510"/>
      <c r="Y924" s="507"/>
    </row>
    <row r="925" spans="1:25">
      <c r="A925" s="507"/>
      <c r="E925" s="507"/>
      <c r="F925" s="510"/>
      <c r="G925" s="510"/>
      <c r="H925" s="507"/>
      <c r="I925" s="507"/>
      <c r="J925" s="507"/>
      <c r="K925" s="507"/>
      <c r="L925" s="507"/>
      <c r="M925" s="507"/>
      <c r="N925" s="507"/>
      <c r="O925" s="507"/>
      <c r="P925" s="507"/>
      <c r="Q925" s="507"/>
      <c r="R925" s="507"/>
      <c r="S925" s="507"/>
      <c r="T925" s="507"/>
      <c r="U925" s="507"/>
      <c r="V925" s="510"/>
      <c r="W925" s="510"/>
      <c r="X925" s="510"/>
      <c r="Y925" s="507"/>
    </row>
    <row r="926" spans="1:25">
      <c r="A926" s="507"/>
      <c r="E926" s="507"/>
      <c r="F926" s="510"/>
      <c r="G926" s="510"/>
      <c r="H926" s="507"/>
      <c r="I926" s="507"/>
      <c r="J926" s="507"/>
      <c r="K926" s="507"/>
      <c r="L926" s="507"/>
      <c r="M926" s="507"/>
      <c r="N926" s="507"/>
      <c r="O926" s="507"/>
      <c r="P926" s="507"/>
      <c r="Q926" s="507"/>
      <c r="R926" s="507"/>
      <c r="S926" s="507"/>
      <c r="T926" s="507"/>
      <c r="U926" s="507"/>
      <c r="V926" s="510"/>
      <c r="W926" s="510"/>
      <c r="X926" s="510"/>
      <c r="Y926" s="507"/>
    </row>
    <row r="927" spans="1:25">
      <c r="A927" s="507"/>
      <c r="E927" s="507"/>
      <c r="F927" s="510"/>
      <c r="G927" s="510"/>
      <c r="H927" s="507"/>
      <c r="I927" s="507"/>
      <c r="J927" s="507"/>
      <c r="K927" s="507"/>
      <c r="L927" s="507"/>
      <c r="M927" s="507"/>
      <c r="N927" s="507"/>
      <c r="O927" s="507"/>
      <c r="P927" s="507"/>
      <c r="Q927" s="507"/>
      <c r="R927" s="507"/>
      <c r="S927" s="507"/>
      <c r="T927" s="507"/>
      <c r="U927" s="507"/>
      <c r="V927" s="510"/>
      <c r="W927" s="510"/>
      <c r="X927" s="510"/>
      <c r="Y927" s="507"/>
    </row>
    <row r="928" spans="1:25">
      <c r="A928" s="507"/>
      <c r="E928" s="507"/>
      <c r="F928" s="510"/>
      <c r="G928" s="510"/>
      <c r="H928" s="507"/>
      <c r="I928" s="507"/>
      <c r="J928" s="507"/>
      <c r="K928" s="507"/>
      <c r="L928" s="507"/>
      <c r="M928" s="507"/>
      <c r="N928" s="507"/>
      <c r="O928" s="507"/>
      <c r="P928" s="507"/>
      <c r="Q928" s="507"/>
      <c r="R928" s="507"/>
      <c r="S928" s="507"/>
      <c r="T928" s="507"/>
      <c r="U928" s="507"/>
      <c r="V928" s="510"/>
      <c r="W928" s="510"/>
      <c r="X928" s="510"/>
      <c r="Y928" s="507"/>
    </row>
    <row r="929" spans="1:25">
      <c r="A929" s="507"/>
      <c r="E929" s="507"/>
      <c r="F929" s="510"/>
      <c r="G929" s="510"/>
      <c r="H929" s="507"/>
      <c r="I929" s="507"/>
      <c r="J929" s="507"/>
      <c r="K929" s="507"/>
      <c r="L929" s="507"/>
      <c r="M929" s="507"/>
      <c r="N929" s="507"/>
      <c r="O929" s="507"/>
      <c r="P929" s="507"/>
      <c r="Q929" s="507"/>
      <c r="R929" s="507"/>
      <c r="S929" s="507"/>
      <c r="T929" s="507"/>
      <c r="U929" s="507"/>
      <c r="V929" s="510"/>
      <c r="W929" s="510"/>
      <c r="X929" s="510"/>
      <c r="Y929" s="507"/>
    </row>
    <row r="930" spans="1:25">
      <c r="A930" s="507"/>
      <c r="E930" s="507"/>
      <c r="F930" s="510"/>
      <c r="G930" s="510"/>
      <c r="H930" s="507"/>
      <c r="I930" s="507"/>
      <c r="J930" s="507"/>
      <c r="K930" s="507"/>
      <c r="L930" s="507"/>
      <c r="M930" s="507"/>
      <c r="N930" s="507"/>
      <c r="O930" s="507"/>
      <c r="P930" s="507"/>
      <c r="Q930" s="507"/>
      <c r="R930" s="507"/>
      <c r="S930" s="507"/>
      <c r="T930" s="507"/>
      <c r="U930" s="507"/>
      <c r="V930" s="510"/>
      <c r="W930" s="510"/>
      <c r="X930" s="510"/>
      <c r="Y930" s="507"/>
    </row>
    <row r="931" spans="1:25">
      <c r="A931" s="507"/>
      <c r="E931" s="507"/>
      <c r="F931" s="510"/>
      <c r="G931" s="510"/>
      <c r="H931" s="507"/>
      <c r="I931" s="507"/>
      <c r="J931" s="507"/>
      <c r="K931" s="507"/>
      <c r="L931" s="507"/>
      <c r="M931" s="507"/>
      <c r="N931" s="507"/>
      <c r="O931" s="507"/>
      <c r="P931" s="507"/>
      <c r="Q931" s="507"/>
      <c r="R931" s="507"/>
      <c r="S931" s="507"/>
      <c r="T931" s="507"/>
      <c r="U931" s="507"/>
      <c r="V931" s="510"/>
      <c r="W931" s="510"/>
      <c r="X931" s="510"/>
      <c r="Y931" s="507"/>
    </row>
    <row r="932" spans="1:25">
      <c r="A932" s="507"/>
      <c r="E932" s="507"/>
      <c r="F932" s="510"/>
      <c r="G932" s="510"/>
      <c r="H932" s="507"/>
      <c r="I932" s="507"/>
      <c r="J932" s="507"/>
      <c r="K932" s="507"/>
      <c r="L932" s="507"/>
      <c r="M932" s="507"/>
      <c r="N932" s="507"/>
      <c r="O932" s="507"/>
      <c r="P932" s="507"/>
      <c r="Q932" s="507"/>
      <c r="R932" s="507"/>
      <c r="S932" s="507"/>
      <c r="T932" s="507"/>
      <c r="U932" s="507"/>
      <c r="V932" s="510"/>
      <c r="W932" s="510"/>
      <c r="X932" s="510"/>
      <c r="Y932" s="507"/>
    </row>
    <row r="933" spans="1:25">
      <c r="A933" s="507"/>
      <c r="E933" s="507"/>
      <c r="F933" s="510"/>
      <c r="G933" s="510"/>
      <c r="H933" s="507"/>
      <c r="I933" s="507"/>
      <c r="J933" s="507"/>
      <c r="K933" s="507"/>
      <c r="L933" s="507"/>
      <c r="M933" s="507"/>
      <c r="N933" s="507"/>
      <c r="O933" s="507"/>
      <c r="P933" s="507"/>
      <c r="Q933" s="507"/>
      <c r="R933" s="507"/>
      <c r="S933" s="507"/>
      <c r="T933" s="507"/>
      <c r="U933" s="507"/>
      <c r="V933" s="510"/>
      <c r="W933" s="510"/>
      <c r="X933" s="510"/>
      <c r="Y933" s="507"/>
    </row>
    <row r="934" spans="1:25">
      <c r="A934" s="507"/>
      <c r="E934" s="507"/>
      <c r="F934" s="510"/>
      <c r="G934" s="510"/>
      <c r="H934" s="507"/>
      <c r="I934" s="507"/>
      <c r="J934" s="507"/>
      <c r="K934" s="507"/>
      <c r="L934" s="507"/>
      <c r="M934" s="507"/>
      <c r="N934" s="507"/>
      <c r="O934" s="507"/>
      <c r="P934" s="507"/>
      <c r="Q934" s="507"/>
      <c r="R934" s="507"/>
      <c r="S934" s="507"/>
      <c r="T934" s="507"/>
      <c r="U934" s="507"/>
      <c r="V934" s="510"/>
      <c r="W934" s="510"/>
      <c r="X934" s="510"/>
      <c r="Y934" s="507"/>
    </row>
    <row r="935" spans="1:25">
      <c r="A935" s="507"/>
      <c r="E935" s="507"/>
      <c r="F935" s="510"/>
      <c r="G935" s="510"/>
      <c r="H935" s="507"/>
      <c r="I935" s="507"/>
      <c r="J935" s="507"/>
      <c r="K935" s="507"/>
      <c r="L935" s="507"/>
      <c r="M935" s="507"/>
      <c r="N935" s="507"/>
      <c r="O935" s="507"/>
      <c r="P935" s="507"/>
      <c r="Q935" s="507"/>
      <c r="R935" s="507"/>
      <c r="S935" s="507"/>
      <c r="T935" s="507"/>
      <c r="U935" s="507"/>
      <c r="V935" s="510"/>
      <c r="W935" s="510"/>
      <c r="X935" s="510"/>
      <c r="Y935" s="507"/>
    </row>
    <row r="936" spans="1:25">
      <c r="A936" s="507"/>
      <c r="E936" s="507"/>
      <c r="F936" s="510"/>
      <c r="G936" s="510"/>
      <c r="H936" s="507"/>
      <c r="I936" s="507"/>
      <c r="J936" s="507"/>
      <c r="K936" s="507"/>
      <c r="L936" s="507"/>
      <c r="M936" s="507"/>
      <c r="N936" s="507"/>
      <c r="O936" s="507"/>
      <c r="P936" s="507"/>
      <c r="Q936" s="507"/>
      <c r="R936" s="507"/>
      <c r="S936" s="507"/>
      <c r="T936" s="507"/>
      <c r="U936" s="507"/>
      <c r="V936" s="510"/>
      <c r="W936" s="510"/>
      <c r="X936" s="510"/>
      <c r="Y936" s="507"/>
    </row>
    <row r="937" spans="1:25">
      <c r="A937" s="507"/>
      <c r="E937" s="507"/>
      <c r="F937" s="510"/>
      <c r="G937" s="510"/>
      <c r="H937" s="507"/>
      <c r="I937" s="507"/>
      <c r="J937" s="507"/>
      <c r="K937" s="507"/>
      <c r="L937" s="507"/>
      <c r="M937" s="507"/>
      <c r="N937" s="507"/>
      <c r="O937" s="507"/>
      <c r="P937" s="507"/>
      <c r="Q937" s="507"/>
      <c r="R937" s="507"/>
      <c r="S937" s="507"/>
      <c r="T937" s="507"/>
      <c r="U937" s="507"/>
      <c r="V937" s="510"/>
      <c r="W937" s="510"/>
      <c r="X937" s="510"/>
      <c r="Y937" s="507"/>
    </row>
    <row r="938" spans="1:25">
      <c r="A938" s="507"/>
      <c r="E938" s="507"/>
      <c r="F938" s="510"/>
      <c r="G938" s="510"/>
      <c r="H938" s="507"/>
      <c r="I938" s="507"/>
      <c r="J938" s="507"/>
      <c r="K938" s="507"/>
      <c r="L938" s="507"/>
      <c r="M938" s="507"/>
      <c r="N938" s="507"/>
      <c r="O938" s="507"/>
      <c r="P938" s="507"/>
      <c r="Q938" s="507"/>
      <c r="R938" s="507"/>
      <c r="S938" s="507"/>
      <c r="T938" s="507"/>
      <c r="U938" s="507"/>
      <c r="V938" s="510"/>
      <c r="W938" s="510"/>
      <c r="X938" s="510"/>
      <c r="Y938" s="507"/>
    </row>
    <row r="939" spans="1:25">
      <c r="A939" s="507"/>
      <c r="E939" s="507"/>
      <c r="F939" s="510"/>
      <c r="G939" s="510"/>
      <c r="H939" s="507"/>
      <c r="I939" s="507"/>
      <c r="J939" s="507"/>
      <c r="K939" s="507"/>
      <c r="L939" s="507"/>
      <c r="M939" s="507"/>
      <c r="N939" s="507"/>
      <c r="O939" s="507"/>
      <c r="P939" s="507"/>
      <c r="Q939" s="507"/>
      <c r="R939" s="507"/>
      <c r="S939" s="507"/>
      <c r="T939" s="507"/>
      <c r="U939" s="507"/>
      <c r="V939" s="510"/>
      <c r="W939" s="510"/>
      <c r="X939" s="510"/>
      <c r="Y939" s="507"/>
    </row>
    <row r="940" spans="1:25">
      <c r="A940" s="507"/>
      <c r="E940" s="507"/>
      <c r="F940" s="510"/>
      <c r="G940" s="510"/>
      <c r="H940" s="507"/>
      <c r="I940" s="507"/>
      <c r="J940" s="507"/>
      <c r="K940" s="507"/>
      <c r="L940" s="507"/>
      <c r="M940" s="507"/>
      <c r="N940" s="507"/>
      <c r="O940" s="507"/>
      <c r="P940" s="507"/>
      <c r="Q940" s="507"/>
      <c r="R940" s="507"/>
      <c r="S940" s="507"/>
      <c r="T940" s="507"/>
      <c r="U940" s="507"/>
      <c r="V940" s="510"/>
      <c r="W940" s="510"/>
      <c r="X940" s="510"/>
      <c r="Y940" s="507"/>
    </row>
    <row r="941" spans="1:25">
      <c r="A941" s="507"/>
      <c r="E941" s="507"/>
      <c r="F941" s="510"/>
      <c r="G941" s="510"/>
      <c r="H941" s="507"/>
      <c r="I941" s="507"/>
      <c r="J941" s="507"/>
      <c r="K941" s="507"/>
      <c r="L941" s="507"/>
      <c r="M941" s="507"/>
      <c r="N941" s="507"/>
      <c r="O941" s="507"/>
      <c r="P941" s="507"/>
      <c r="Q941" s="507"/>
      <c r="R941" s="507"/>
      <c r="S941" s="507"/>
      <c r="T941" s="507"/>
      <c r="U941" s="507"/>
      <c r="V941" s="510"/>
      <c r="W941" s="510"/>
      <c r="X941" s="510"/>
      <c r="Y941" s="507"/>
    </row>
    <row r="942" spans="1:25">
      <c r="A942" s="507"/>
      <c r="E942" s="507"/>
      <c r="F942" s="510"/>
      <c r="G942" s="510"/>
      <c r="H942" s="507"/>
      <c r="I942" s="507"/>
      <c r="J942" s="507"/>
      <c r="K942" s="507"/>
      <c r="L942" s="507"/>
      <c r="M942" s="507"/>
      <c r="N942" s="507"/>
      <c r="O942" s="507"/>
      <c r="P942" s="507"/>
      <c r="Q942" s="507"/>
      <c r="R942" s="507"/>
      <c r="S942" s="507"/>
      <c r="T942" s="507"/>
      <c r="U942" s="507"/>
      <c r="V942" s="510"/>
      <c r="W942" s="510"/>
      <c r="X942" s="510"/>
      <c r="Y942" s="507"/>
    </row>
    <row r="943" spans="1:25">
      <c r="A943" s="507"/>
      <c r="E943" s="507"/>
      <c r="F943" s="510"/>
      <c r="G943" s="510"/>
      <c r="H943" s="507"/>
      <c r="I943" s="507"/>
      <c r="J943" s="507"/>
      <c r="K943" s="507"/>
      <c r="L943" s="507"/>
      <c r="M943" s="507"/>
      <c r="N943" s="507"/>
      <c r="O943" s="507"/>
      <c r="P943" s="507"/>
      <c r="Q943" s="507"/>
      <c r="R943" s="507"/>
      <c r="S943" s="507"/>
      <c r="T943" s="507"/>
      <c r="U943" s="507"/>
      <c r="V943" s="510"/>
      <c r="W943" s="510"/>
      <c r="X943" s="510"/>
      <c r="Y943" s="507"/>
    </row>
    <row r="944" spans="1:25">
      <c r="A944" s="507"/>
      <c r="E944" s="507"/>
      <c r="F944" s="510"/>
      <c r="G944" s="510"/>
      <c r="H944" s="507"/>
      <c r="I944" s="507"/>
      <c r="J944" s="507"/>
      <c r="K944" s="507"/>
      <c r="L944" s="507"/>
      <c r="M944" s="507"/>
      <c r="N944" s="507"/>
      <c r="O944" s="507"/>
      <c r="P944" s="507"/>
      <c r="Q944" s="507"/>
      <c r="R944" s="507"/>
      <c r="S944" s="507"/>
      <c r="T944" s="507"/>
      <c r="U944" s="507"/>
      <c r="V944" s="510"/>
      <c r="W944" s="510"/>
      <c r="X944" s="510"/>
      <c r="Y944" s="507"/>
    </row>
    <row r="945" spans="1:25">
      <c r="A945" s="507"/>
      <c r="E945" s="507"/>
      <c r="F945" s="510"/>
      <c r="G945" s="510"/>
      <c r="H945" s="507"/>
      <c r="I945" s="507"/>
      <c r="J945" s="507"/>
      <c r="K945" s="507"/>
      <c r="L945" s="507"/>
      <c r="M945" s="507"/>
      <c r="N945" s="507"/>
      <c r="O945" s="507"/>
      <c r="P945" s="507"/>
      <c r="Q945" s="507"/>
      <c r="R945" s="507"/>
      <c r="S945" s="507"/>
      <c r="T945" s="507"/>
      <c r="U945" s="507"/>
      <c r="V945" s="510"/>
      <c r="W945" s="510"/>
      <c r="X945" s="510"/>
      <c r="Y945" s="507"/>
    </row>
    <row r="946" spans="1:25">
      <c r="A946" s="507"/>
      <c r="E946" s="507"/>
      <c r="F946" s="510"/>
      <c r="G946" s="510"/>
      <c r="H946" s="507"/>
      <c r="I946" s="507"/>
      <c r="J946" s="507"/>
      <c r="K946" s="507"/>
      <c r="L946" s="507"/>
      <c r="M946" s="507"/>
      <c r="N946" s="507"/>
      <c r="O946" s="507"/>
      <c r="P946" s="507"/>
      <c r="Q946" s="507"/>
      <c r="R946" s="507"/>
      <c r="S946" s="507"/>
      <c r="T946" s="507"/>
      <c r="U946" s="507"/>
      <c r="V946" s="510"/>
      <c r="W946" s="510"/>
      <c r="X946" s="510"/>
      <c r="Y946" s="507"/>
    </row>
    <row r="947" spans="1:25">
      <c r="A947" s="507"/>
      <c r="E947" s="507"/>
      <c r="F947" s="510"/>
      <c r="G947" s="510"/>
      <c r="H947" s="507"/>
      <c r="I947" s="507"/>
      <c r="J947" s="507"/>
      <c r="K947" s="507"/>
      <c r="L947" s="507"/>
      <c r="M947" s="507"/>
      <c r="N947" s="507"/>
      <c r="O947" s="507"/>
      <c r="P947" s="507"/>
      <c r="Q947" s="507"/>
      <c r="R947" s="507"/>
      <c r="S947" s="507"/>
      <c r="T947" s="507"/>
      <c r="U947" s="507"/>
      <c r="V947" s="510"/>
      <c r="W947" s="510"/>
      <c r="X947" s="510"/>
      <c r="Y947" s="507"/>
    </row>
    <row r="948" spans="1:25">
      <c r="A948" s="507"/>
      <c r="E948" s="507"/>
      <c r="F948" s="510"/>
      <c r="G948" s="510"/>
      <c r="H948" s="507"/>
      <c r="I948" s="507"/>
      <c r="J948" s="507"/>
      <c r="K948" s="507"/>
      <c r="L948" s="507"/>
      <c r="M948" s="507"/>
      <c r="N948" s="507"/>
      <c r="O948" s="507"/>
      <c r="P948" s="507"/>
      <c r="Q948" s="507"/>
      <c r="R948" s="507"/>
      <c r="S948" s="507"/>
      <c r="T948" s="507"/>
      <c r="U948" s="507"/>
      <c r="V948" s="510"/>
      <c r="W948" s="510"/>
      <c r="X948" s="510"/>
      <c r="Y948" s="507"/>
    </row>
    <row r="949" spans="1:25">
      <c r="A949" s="507"/>
      <c r="E949" s="507"/>
      <c r="F949" s="510"/>
      <c r="G949" s="510"/>
      <c r="H949" s="507"/>
      <c r="I949" s="507"/>
      <c r="J949" s="507"/>
      <c r="K949" s="507"/>
      <c r="L949" s="507"/>
      <c r="M949" s="507"/>
      <c r="N949" s="507"/>
      <c r="O949" s="507"/>
      <c r="P949" s="507"/>
      <c r="Q949" s="507"/>
      <c r="R949" s="507"/>
      <c r="S949" s="507"/>
      <c r="T949" s="507"/>
      <c r="U949" s="507"/>
      <c r="V949" s="510"/>
      <c r="W949" s="510"/>
      <c r="X949" s="510"/>
      <c r="Y949" s="507"/>
    </row>
    <row r="950" spans="1:25">
      <c r="A950" s="507"/>
      <c r="E950" s="507"/>
      <c r="F950" s="510"/>
      <c r="G950" s="510"/>
      <c r="H950" s="507"/>
      <c r="I950" s="507"/>
      <c r="J950" s="507"/>
      <c r="K950" s="507"/>
      <c r="L950" s="507"/>
      <c r="M950" s="507"/>
      <c r="N950" s="507"/>
      <c r="O950" s="507"/>
      <c r="P950" s="507"/>
      <c r="Q950" s="507"/>
      <c r="R950" s="507"/>
      <c r="S950" s="507"/>
      <c r="T950" s="507"/>
      <c r="U950" s="507"/>
      <c r="V950" s="510"/>
      <c r="W950" s="510"/>
      <c r="X950" s="510"/>
      <c r="Y950" s="507"/>
    </row>
    <row r="951" spans="1:25">
      <c r="A951" s="507"/>
      <c r="E951" s="507"/>
      <c r="F951" s="510"/>
      <c r="G951" s="510"/>
      <c r="H951" s="507"/>
      <c r="I951" s="507"/>
      <c r="J951" s="507"/>
      <c r="K951" s="507"/>
      <c r="L951" s="507"/>
      <c r="M951" s="507"/>
      <c r="N951" s="507"/>
      <c r="O951" s="507"/>
      <c r="P951" s="507"/>
      <c r="Q951" s="507"/>
      <c r="R951" s="507"/>
      <c r="S951" s="507"/>
      <c r="T951" s="507"/>
      <c r="U951" s="507"/>
      <c r="V951" s="510"/>
      <c r="W951" s="510"/>
      <c r="X951" s="510"/>
      <c r="Y951" s="507"/>
    </row>
    <row r="952" spans="1:25">
      <c r="A952" s="507"/>
      <c r="E952" s="507"/>
      <c r="F952" s="510"/>
      <c r="G952" s="510"/>
      <c r="H952" s="507"/>
      <c r="I952" s="507"/>
      <c r="J952" s="507"/>
      <c r="K952" s="507"/>
      <c r="L952" s="507"/>
      <c r="M952" s="507"/>
      <c r="N952" s="507"/>
      <c r="O952" s="507"/>
      <c r="P952" s="507"/>
      <c r="Q952" s="507"/>
      <c r="R952" s="507"/>
      <c r="S952" s="507"/>
      <c r="T952" s="507"/>
      <c r="U952" s="507"/>
      <c r="V952" s="510"/>
      <c r="W952" s="510"/>
      <c r="X952" s="510"/>
      <c r="Y952" s="507"/>
    </row>
    <row r="953" spans="1:25">
      <c r="A953" s="507"/>
      <c r="E953" s="507"/>
      <c r="F953" s="510"/>
      <c r="G953" s="510"/>
      <c r="H953" s="507"/>
      <c r="I953" s="507"/>
      <c r="J953" s="507"/>
      <c r="K953" s="507"/>
      <c r="L953" s="507"/>
      <c r="M953" s="507"/>
      <c r="N953" s="507"/>
      <c r="O953" s="507"/>
      <c r="P953" s="507"/>
      <c r="Q953" s="507"/>
      <c r="R953" s="507"/>
      <c r="S953" s="507"/>
      <c r="T953" s="507"/>
      <c r="U953" s="507"/>
      <c r="V953" s="510"/>
      <c r="W953" s="510"/>
      <c r="X953" s="510"/>
      <c r="Y953" s="507"/>
    </row>
    <row r="954" spans="1:25">
      <c r="A954" s="507"/>
      <c r="E954" s="507"/>
      <c r="F954" s="510"/>
      <c r="G954" s="510"/>
      <c r="H954" s="507"/>
      <c r="I954" s="507"/>
      <c r="J954" s="507"/>
      <c r="K954" s="507"/>
      <c r="L954" s="507"/>
      <c r="M954" s="507"/>
      <c r="N954" s="507"/>
      <c r="O954" s="507"/>
      <c r="P954" s="507"/>
      <c r="Q954" s="507"/>
      <c r="R954" s="507"/>
      <c r="S954" s="507"/>
      <c r="T954" s="507"/>
      <c r="U954" s="507"/>
      <c r="V954" s="510"/>
      <c r="W954" s="510"/>
      <c r="X954" s="510"/>
      <c r="Y954" s="507"/>
    </row>
    <row r="955" spans="1:25">
      <c r="A955" s="507"/>
      <c r="E955" s="507"/>
      <c r="F955" s="510"/>
      <c r="G955" s="510"/>
      <c r="H955" s="507"/>
      <c r="I955" s="507"/>
      <c r="J955" s="507"/>
      <c r="K955" s="507"/>
      <c r="L955" s="507"/>
      <c r="M955" s="507"/>
      <c r="N955" s="507"/>
      <c r="O955" s="507"/>
      <c r="P955" s="507"/>
      <c r="Q955" s="507"/>
      <c r="R955" s="507"/>
      <c r="S955" s="507"/>
      <c r="T955" s="507"/>
      <c r="U955" s="507"/>
      <c r="V955" s="510"/>
      <c r="W955" s="510"/>
      <c r="X955" s="510"/>
      <c r="Y955" s="507"/>
    </row>
    <row r="956" spans="1:25">
      <c r="A956" s="507"/>
      <c r="E956" s="507"/>
      <c r="F956" s="510"/>
      <c r="G956" s="510"/>
      <c r="H956" s="507"/>
      <c r="I956" s="507"/>
      <c r="J956" s="507"/>
      <c r="K956" s="507"/>
      <c r="L956" s="507"/>
      <c r="M956" s="507"/>
      <c r="N956" s="507"/>
      <c r="O956" s="507"/>
      <c r="P956" s="507"/>
      <c r="Q956" s="507"/>
      <c r="R956" s="507"/>
      <c r="S956" s="507"/>
      <c r="T956" s="507"/>
      <c r="U956" s="507"/>
      <c r="V956" s="510"/>
      <c r="W956" s="510"/>
      <c r="X956" s="510"/>
      <c r="Y956" s="507"/>
    </row>
    <row r="957" spans="1:25">
      <c r="A957" s="507"/>
      <c r="E957" s="507"/>
      <c r="F957" s="510"/>
      <c r="G957" s="510"/>
      <c r="H957" s="507"/>
      <c r="I957" s="507"/>
      <c r="J957" s="507"/>
      <c r="K957" s="507"/>
      <c r="L957" s="507"/>
      <c r="M957" s="507"/>
      <c r="N957" s="507"/>
      <c r="O957" s="507"/>
      <c r="P957" s="507"/>
      <c r="Q957" s="507"/>
      <c r="R957" s="507"/>
      <c r="S957" s="507"/>
      <c r="T957" s="507"/>
      <c r="U957" s="507"/>
      <c r="V957" s="510"/>
      <c r="W957" s="510"/>
      <c r="X957" s="510"/>
      <c r="Y957" s="507"/>
    </row>
    <row r="958" spans="1:25">
      <c r="A958" s="507"/>
      <c r="E958" s="507"/>
      <c r="F958" s="510"/>
      <c r="G958" s="510"/>
      <c r="H958" s="507"/>
      <c r="I958" s="507"/>
      <c r="J958" s="507"/>
      <c r="K958" s="507"/>
      <c r="L958" s="507"/>
      <c r="M958" s="507"/>
      <c r="N958" s="507"/>
      <c r="O958" s="507"/>
      <c r="P958" s="507"/>
      <c r="Q958" s="507"/>
      <c r="R958" s="507"/>
      <c r="S958" s="507"/>
      <c r="T958" s="507"/>
      <c r="U958" s="507"/>
      <c r="V958" s="510"/>
      <c r="W958" s="510"/>
      <c r="X958" s="510"/>
      <c r="Y958" s="507"/>
    </row>
    <row r="959" spans="1:25">
      <c r="A959" s="507"/>
      <c r="E959" s="507"/>
      <c r="F959" s="510"/>
      <c r="G959" s="510"/>
      <c r="H959" s="507"/>
      <c r="I959" s="507"/>
      <c r="J959" s="507"/>
      <c r="K959" s="507"/>
      <c r="L959" s="507"/>
      <c r="M959" s="507"/>
      <c r="N959" s="507"/>
      <c r="O959" s="507"/>
      <c r="P959" s="507"/>
      <c r="Q959" s="507"/>
      <c r="R959" s="507"/>
      <c r="S959" s="507"/>
      <c r="T959" s="507"/>
      <c r="U959" s="507"/>
      <c r="V959" s="510"/>
      <c r="W959" s="510"/>
      <c r="X959" s="510"/>
      <c r="Y959" s="507"/>
    </row>
    <row r="960" spans="1:25">
      <c r="A960" s="507"/>
      <c r="E960" s="507"/>
      <c r="F960" s="510"/>
      <c r="G960" s="510"/>
      <c r="H960" s="507"/>
      <c r="I960" s="507"/>
      <c r="J960" s="507"/>
      <c r="K960" s="507"/>
      <c r="L960" s="507"/>
      <c r="M960" s="507"/>
      <c r="N960" s="507"/>
      <c r="O960" s="507"/>
      <c r="P960" s="507"/>
      <c r="Q960" s="507"/>
      <c r="R960" s="507"/>
      <c r="S960" s="507"/>
      <c r="T960" s="507"/>
      <c r="U960" s="507"/>
      <c r="V960" s="510"/>
      <c r="W960" s="510"/>
      <c r="X960" s="510"/>
      <c r="Y960" s="507"/>
    </row>
    <row r="961" spans="1:25">
      <c r="A961" s="507"/>
      <c r="E961" s="507"/>
      <c r="F961" s="510"/>
      <c r="G961" s="510"/>
      <c r="H961" s="507"/>
      <c r="I961" s="507"/>
      <c r="J961" s="507"/>
      <c r="K961" s="507"/>
      <c r="L961" s="507"/>
      <c r="M961" s="507"/>
      <c r="N961" s="507"/>
      <c r="O961" s="507"/>
      <c r="P961" s="507"/>
      <c r="Q961" s="507"/>
      <c r="R961" s="507"/>
      <c r="S961" s="507"/>
      <c r="T961" s="507"/>
      <c r="U961" s="507"/>
      <c r="V961" s="510"/>
      <c r="W961" s="510"/>
      <c r="X961" s="510"/>
      <c r="Y961" s="507"/>
    </row>
    <row r="962" spans="1:25">
      <c r="A962" s="507"/>
      <c r="E962" s="507"/>
      <c r="F962" s="510"/>
      <c r="G962" s="510"/>
      <c r="H962" s="507"/>
      <c r="I962" s="507"/>
      <c r="J962" s="507"/>
      <c r="K962" s="507"/>
      <c r="L962" s="507"/>
      <c r="M962" s="507"/>
      <c r="N962" s="507"/>
      <c r="O962" s="507"/>
      <c r="P962" s="507"/>
      <c r="Q962" s="507"/>
      <c r="R962" s="507"/>
      <c r="S962" s="507"/>
      <c r="T962" s="507"/>
      <c r="U962" s="507"/>
      <c r="V962" s="510"/>
      <c r="W962" s="510"/>
      <c r="X962" s="510"/>
      <c r="Y962" s="507"/>
    </row>
    <row r="963" spans="1:25">
      <c r="A963" s="507"/>
      <c r="E963" s="507"/>
      <c r="F963" s="510"/>
      <c r="G963" s="510"/>
      <c r="H963" s="507"/>
      <c r="I963" s="507"/>
      <c r="J963" s="507"/>
      <c r="K963" s="507"/>
      <c r="L963" s="507"/>
      <c r="M963" s="507"/>
      <c r="N963" s="507"/>
      <c r="O963" s="507"/>
      <c r="P963" s="507"/>
      <c r="Q963" s="507"/>
      <c r="R963" s="507"/>
      <c r="S963" s="507"/>
      <c r="T963" s="507"/>
      <c r="U963" s="507"/>
      <c r="V963" s="510"/>
      <c r="W963" s="510"/>
      <c r="X963" s="510"/>
      <c r="Y963" s="507"/>
    </row>
    <row r="964" spans="1:25">
      <c r="A964" s="507"/>
      <c r="E964" s="507"/>
      <c r="F964" s="510"/>
      <c r="G964" s="510"/>
      <c r="H964" s="507"/>
      <c r="I964" s="507"/>
      <c r="J964" s="507"/>
      <c r="K964" s="507"/>
      <c r="L964" s="507"/>
      <c r="M964" s="507"/>
      <c r="N964" s="507"/>
      <c r="O964" s="507"/>
      <c r="P964" s="507"/>
      <c r="Q964" s="507"/>
      <c r="R964" s="507"/>
      <c r="S964" s="507"/>
      <c r="T964" s="507"/>
      <c r="U964" s="507"/>
      <c r="V964" s="510"/>
      <c r="W964" s="510"/>
      <c r="X964" s="510"/>
      <c r="Y964" s="507"/>
    </row>
    <row r="965" spans="1:25">
      <c r="A965" s="507"/>
      <c r="E965" s="507"/>
      <c r="F965" s="510"/>
      <c r="G965" s="510"/>
      <c r="H965" s="507"/>
      <c r="I965" s="507"/>
      <c r="J965" s="507"/>
      <c r="K965" s="507"/>
      <c r="L965" s="507"/>
      <c r="M965" s="507"/>
      <c r="N965" s="507"/>
      <c r="O965" s="507"/>
      <c r="P965" s="507"/>
      <c r="Q965" s="507"/>
      <c r="R965" s="507"/>
      <c r="S965" s="507"/>
      <c r="T965" s="507"/>
      <c r="U965" s="507"/>
      <c r="V965" s="510"/>
      <c r="W965" s="510"/>
      <c r="X965" s="510"/>
      <c r="Y965" s="507"/>
    </row>
    <row r="966" spans="1:25">
      <c r="A966" s="507"/>
      <c r="E966" s="507"/>
      <c r="F966" s="510"/>
      <c r="G966" s="510"/>
      <c r="H966" s="507"/>
      <c r="I966" s="507"/>
      <c r="J966" s="507"/>
      <c r="K966" s="507"/>
      <c r="L966" s="507"/>
      <c r="M966" s="507"/>
      <c r="N966" s="507"/>
      <c r="O966" s="507"/>
      <c r="P966" s="507"/>
      <c r="Q966" s="507"/>
      <c r="R966" s="507"/>
      <c r="S966" s="507"/>
      <c r="T966" s="507"/>
      <c r="U966" s="507"/>
      <c r="V966" s="510"/>
      <c r="W966" s="510"/>
      <c r="X966" s="510"/>
      <c r="Y966" s="507"/>
    </row>
    <row r="967" spans="1:25">
      <c r="A967" s="507"/>
      <c r="E967" s="507"/>
      <c r="F967" s="510"/>
      <c r="G967" s="510"/>
      <c r="H967" s="507"/>
      <c r="I967" s="507"/>
      <c r="J967" s="507"/>
      <c r="K967" s="507"/>
      <c r="L967" s="507"/>
      <c r="M967" s="507"/>
      <c r="N967" s="507"/>
      <c r="O967" s="507"/>
      <c r="P967" s="507"/>
      <c r="Q967" s="507"/>
      <c r="R967" s="507"/>
      <c r="S967" s="507"/>
      <c r="T967" s="507"/>
      <c r="U967" s="507"/>
      <c r="V967" s="510"/>
      <c r="W967" s="510"/>
      <c r="X967" s="510"/>
      <c r="Y967" s="507"/>
    </row>
    <row r="968" spans="1:25">
      <c r="A968" s="507"/>
      <c r="E968" s="507"/>
      <c r="F968" s="510"/>
      <c r="G968" s="510"/>
      <c r="H968" s="507"/>
      <c r="I968" s="507"/>
      <c r="J968" s="507"/>
      <c r="K968" s="507"/>
      <c r="L968" s="507"/>
      <c r="M968" s="507"/>
      <c r="N968" s="507"/>
      <c r="O968" s="507"/>
      <c r="P968" s="507"/>
      <c r="Q968" s="507"/>
      <c r="R968" s="507"/>
      <c r="S968" s="507"/>
      <c r="T968" s="507"/>
      <c r="U968" s="507"/>
      <c r="V968" s="510"/>
      <c r="W968" s="510"/>
      <c r="X968" s="510"/>
      <c r="Y968" s="507"/>
    </row>
    <row r="969" spans="1:25">
      <c r="A969" s="507"/>
      <c r="E969" s="507"/>
      <c r="F969" s="510"/>
      <c r="G969" s="510"/>
      <c r="H969" s="507"/>
      <c r="I969" s="507"/>
      <c r="J969" s="507"/>
      <c r="K969" s="507"/>
      <c r="L969" s="507"/>
      <c r="M969" s="507"/>
      <c r="N969" s="507"/>
      <c r="O969" s="507"/>
      <c r="P969" s="507"/>
      <c r="Q969" s="507"/>
      <c r="R969" s="507"/>
      <c r="S969" s="507"/>
      <c r="T969" s="507"/>
      <c r="U969" s="507"/>
      <c r="V969" s="510"/>
      <c r="W969" s="510"/>
      <c r="X969" s="510"/>
      <c r="Y969" s="507"/>
    </row>
    <row r="970" spans="1:25">
      <c r="A970" s="507"/>
      <c r="E970" s="507"/>
      <c r="F970" s="510"/>
      <c r="G970" s="510"/>
      <c r="H970" s="507"/>
      <c r="I970" s="507"/>
      <c r="J970" s="507"/>
      <c r="K970" s="507"/>
      <c r="L970" s="507"/>
      <c r="M970" s="507"/>
      <c r="N970" s="507"/>
      <c r="O970" s="507"/>
      <c r="P970" s="507"/>
      <c r="Q970" s="507"/>
      <c r="R970" s="507"/>
      <c r="S970" s="507"/>
      <c r="T970" s="507"/>
      <c r="U970" s="507"/>
      <c r="V970" s="510"/>
      <c r="W970" s="510"/>
      <c r="X970" s="510"/>
      <c r="Y970" s="507"/>
    </row>
    <row r="971" spans="1:25">
      <c r="A971" s="507"/>
      <c r="E971" s="507"/>
      <c r="F971" s="510"/>
      <c r="G971" s="510"/>
      <c r="H971" s="507"/>
      <c r="I971" s="507"/>
      <c r="J971" s="507"/>
      <c r="K971" s="507"/>
      <c r="L971" s="507"/>
      <c r="M971" s="507"/>
      <c r="N971" s="507"/>
      <c r="O971" s="507"/>
      <c r="P971" s="507"/>
      <c r="Q971" s="507"/>
      <c r="R971" s="507"/>
      <c r="S971" s="507"/>
      <c r="T971" s="507"/>
      <c r="U971" s="507"/>
      <c r="V971" s="510"/>
      <c r="W971" s="510"/>
      <c r="X971" s="510"/>
      <c r="Y971" s="507"/>
    </row>
    <row r="972" spans="1:25">
      <c r="A972" s="507"/>
      <c r="E972" s="507"/>
      <c r="F972" s="510"/>
      <c r="G972" s="510"/>
      <c r="H972" s="507"/>
      <c r="I972" s="507"/>
      <c r="J972" s="507"/>
      <c r="K972" s="507"/>
      <c r="L972" s="507"/>
      <c r="M972" s="507"/>
      <c r="N972" s="507"/>
      <c r="O972" s="507"/>
      <c r="P972" s="507"/>
      <c r="Q972" s="507"/>
      <c r="R972" s="507"/>
      <c r="S972" s="507"/>
      <c r="T972" s="507"/>
      <c r="U972" s="507"/>
      <c r="V972" s="510"/>
      <c r="W972" s="510"/>
      <c r="X972" s="510"/>
      <c r="Y972" s="507"/>
    </row>
    <row r="973" spans="1:25">
      <c r="A973" s="507"/>
      <c r="E973" s="507"/>
      <c r="F973" s="510"/>
      <c r="G973" s="510"/>
      <c r="H973" s="507"/>
      <c r="I973" s="507"/>
      <c r="J973" s="507"/>
      <c r="K973" s="507"/>
      <c r="L973" s="507"/>
      <c r="M973" s="507"/>
      <c r="N973" s="507"/>
      <c r="O973" s="507"/>
      <c r="P973" s="507"/>
      <c r="Q973" s="507"/>
      <c r="R973" s="507"/>
      <c r="S973" s="507"/>
      <c r="T973" s="507"/>
      <c r="U973" s="507"/>
      <c r="V973" s="510"/>
      <c r="W973" s="510"/>
      <c r="X973" s="510"/>
      <c r="Y973" s="507"/>
    </row>
    <row r="974" spans="1:25">
      <c r="A974" s="507"/>
      <c r="E974" s="507"/>
      <c r="F974" s="510"/>
      <c r="G974" s="510"/>
      <c r="H974" s="507"/>
      <c r="I974" s="507"/>
      <c r="J974" s="507"/>
      <c r="K974" s="507"/>
      <c r="L974" s="507"/>
      <c r="M974" s="507"/>
      <c r="N974" s="507"/>
      <c r="O974" s="507"/>
      <c r="P974" s="507"/>
      <c r="Q974" s="507"/>
      <c r="R974" s="507"/>
      <c r="S974" s="507"/>
      <c r="T974" s="507"/>
      <c r="U974" s="507"/>
      <c r="V974" s="510"/>
      <c r="W974" s="510"/>
      <c r="X974" s="510"/>
      <c r="Y974" s="507"/>
    </row>
    <row r="975" spans="1:25">
      <c r="A975" s="507"/>
      <c r="E975" s="507"/>
      <c r="F975" s="510"/>
      <c r="G975" s="510"/>
      <c r="H975" s="507"/>
      <c r="I975" s="507"/>
      <c r="J975" s="507"/>
      <c r="K975" s="507"/>
      <c r="L975" s="507"/>
      <c r="M975" s="507"/>
      <c r="N975" s="507"/>
      <c r="O975" s="507"/>
      <c r="P975" s="507"/>
      <c r="Q975" s="507"/>
      <c r="R975" s="507"/>
      <c r="S975" s="507"/>
      <c r="T975" s="507"/>
      <c r="U975" s="507"/>
      <c r="V975" s="510"/>
      <c r="W975" s="510"/>
      <c r="X975" s="510"/>
      <c r="Y975" s="507"/>
    </row>
    <row r="976" spans="1:25">
      <c r="A976" s="507"/>
      <c r="E976" s="507"/>
      <c r="F976" s="510"/>
      <c r="G976" s="510"/>
      <c r="H976" s="507"/>
      <c r="I976" s="507"/>
      <c r="J976" s="507"/>
      <c r="K976" s="507"/>
      <c r="L976" s="507"/>
      <c r="M976" s="507"/>
      <c r="N976" s="507"/>
      <c r="O976" s="507"/>
      <c r="P976" s="507"/>
      <c r="Q976" s="507"/>
      <c r="R976" s="507"/>
      <c r="S976" s="507"/>
      <c r="T976" s="507"/>
      <c r="U976" s="507"/>
      <c r="V976" s="510"/>
      <c r="W976" s="510"/>
      <c r="X976" s="510"/>
      <c r="Y976" s="507"/>
    </row>
    <row r="977" spans="1:25">
      <c r="A977" s="507"/>
      <c r="E977" s="507"/>
      <c r="F977" s="510"/>
      <c r="G977" s="510"/>
      <c r="H977" s="507"/>
      <c r="I977" s="507"/>
      <c r="J977" s="507"/>
      <c r="K977" s="507"/>
      <c r="L977" s="507"/>
      <c r="M977" s="507"/>
      <c r="N977" s="507"/>
      <c r="O977" s="507"/>
      <c r="P977" s="507"/>
      <c r="Q977" s="507"/>
      <c r="R977" s="507"/>
      <c r="S977" s="507"/>
      <c r="T977" s="507"/>
      <c r="U977" s="507"/>
      <c r="V977" s="510"/>
      <c r="W977" s="510"/>
      <c r="X977" s="510"/>
      <c r="Y977" s="507"/>
    </row>
    <row r="978" spans="1:25">
      <c r="A978" s="507"/>
      <c r="E978" s="507"/>
      <c r="F978" s="510"/>
      <c r="G978" s="510"/>
      <c r="H978" s="507"/>
      <c r="I978" s="507"/>
      <c r="J978" s="507"/>
      <c r="K978" s="507"/>
      <c r="L978" s="507"/>
      <c r="M978" s="507"/>
      <c r="N978" s="507"/>
      <c r="O978" s="507"/>
      <c r="P978" s="507"/>
      <c r="Q978" s="507"/>
      <c r="R978" s="507"/>
      <c r="S978" s="507"/>
      <c r="T978" s="507"/>
      <c r="U978" s="507"/>
      <c r="V978" s="510"/>
      <c r="W978" s="510"/>
      <c r="X978" s="510"/>
      <c r="Y978" s="507"/>
    </row>
    <row r="979" spans="1:25">
      <c r="A979" s="507"/>
      <c r="E979" s="507"/>
      <c r="F979" s="510"/>
      <c r="G979" s="510"/>
      <c r="H979" s="507"/>
      <c r="I979" s="507"/>
      <c r="J979" s="507"/>
      <c r="K979" s="507"/>
      <c r="L979" s="507"/>
      <c r="M979" s="507"/>
      <c r="N979" s="507"/>
      <c r="O979" s="507"/>
      <c r="P979" s="507"/>
      <c r="Q979" s="507"/>
      <c r="R979" s="507"/>
      <c r="S979" s="507"/>
      <c r="T979" s="507"/>
      <c r="U979" s="507"/>
      <c r="V979" s="510"/>
      <c r="W979" s="510"/>
      <c r="X979" s="510"/>
      <c r="Y979" s="507"/>
    </row>
    <row r="980" spans="1:25">
      <c r="A980" s="507"/>
      <c r="E980" s="507"/>
      <c r="F980" s="510"/>
      <c r="G980" s="510"/>
      <c r="H980" s="507"/>
      <c r="I980" s="507"/>
      <c r="J980" s="507"/>
      <c r="K980" s="507"/>
      <c r="L980" s="507"/>
      <c r="M980" s="507"/>
      <c r="N980" s="507"/>
      <c r="O980" s="507"/>
      <c r="P980" s="507"/>
      <c r="Q980" s="507"/>
      <c r="R980" s="507"/>
      <c r="S980" s="507"/>
      <c r="T980" s="507"/>
      <c r="U980" s="507"/>
      <c r="V980" s="510"/>
      <c r="W980" s="510"/>
      <c r="X980" s="510"/>
      <c r="Y980" s="507"/>
    </row>
    <row r="981" spans="1:25">
      <c r="A981" s="507"/>
      <c r="E981" s="507"/>
      <c r="F981" s="510"/>
      <c r="G981" s="510"/>
      <c r="H981" s="507"/>
      <c r="I981" s="507"/>
      <c r="J981" s="507"/>
      <c r="K981" s="507"/>
      <c r="L981" s="507"/>
      <c r="M981" s="507"/>
      <c r="N981" s="507"/>
      <c r="O981" s="507"/>
      <c r="P981" s="507"/>
      <c r="Q981" s="507"/>
      <c r="R981" s="507"/>
      <c r="S981" s="507"/>
      <c r="T981" s="507"/>
      <c r="U981" s="507"/>
      <c r="V981" s="510"/>
      <c r="W981" s="510"/>
      <c r="X981" s="510"/>
      <c r="Y981" s="507"/>
    </row>
    <row r="982" spans="1:25">
      <c r="A982" s="507"/>
      <c r="E982" s="507"/>
      <c r="F982" s="510"/>
      <c r="G982" s="510"/>
      <c r="H982" s="507"/>
      <c r="I982" s="507"/>
      <c r="J982" s="507"/>
      <c r="K982" s="507"/>
      <c r="L982" s="507"/>
      <c r="M982" s="507"/>
      <c r="N982" s="507"/>
      <c r="O982" s="507"/>
      <c r="P982" s="507"/>
      <c r="Q982" s="507"/>
      <c r="R982" s="507"/>
      <c r="S982" s="507"/>
      <c r="T982" s="507"/>
      <c r="U982" s="507"/>
      <c r="V982" s="510"/>
      <c r="W982" s="510"/>
      <c r="X982" s="510"/>
      <c r="Y982" s="507"/>
    </row>
    <row r="983" spans="1:25">
      <c r="A983" s="507"/>
      <c r="E983" s="507"/>
      <c r="F983" s="510"/>
      <c r="G983" s="510"/>
      <c r="H983" s="507"/>
      <c r="I983" s="507"/>
      <c r="J983" s="507"/>
      <c r="K983" s="507"/>
      <c r="L983" s="507"/>
      <c r="M983" s="507"/>
      <c r="N983" s="507"/>
      <c r="O983" s="507"/>
      <c r="P983" s="507"/>
      <c r="Q983" s="507"/>
      <c r="R983" s="507"/>
      <c r="S983" s="507"/>
      <c r="T983" s="507"/>
      <c r="U983" s="507"/>
      <c r="V983" s="510"/>
      <c r="W983" s="510"/>
      <c r="X983" s="510"/>
      <c r="Y983" s="507"/>
    </row>
    <row r="984" spans="1:25">
      <c r="A984" s="507"/>
      <c r="E984" s="507"/>
      <c r="F984" s="510"/>
      <c r="G984" s="510"/>
      <c r="H984" s="507"/>
      <c r="I984" s="507"/>
      <c r="J984" s="507"/>
      <c r="K984" s="507"/>
      <c r="L984" s="507"/>
      <c r="M984" s="507"/>
      <c r="N984" s="507"/>
      <c r="O984" s="507"/>
      <c r="P984" s="507"/>
      <c r="Q984" s="507"/>
      <c r="R984" s="507"/>
      <c r="S984" s="507"/>
      <c r="T984" s="507"/>
      <c r="U984" s="507"/>
      <c r="V984" s="510"/>
      <c r="W984" s="510"/>
      <c r="X984" s="510"/>
      <c r="Y984" s="507"/>
    </row>
    <row r="985" spans="1:25">
      <c r="A985" s="507"/>
      <c r="E985" s="507"/>
      <c r="F985" s="510"/>
      <c r="G985" s="510"/>
      <c r="H985" s="507"/>
      <c r="I985" s="507"/>
      <c r="J985" s="507"/>
      <c r="K985" s="507"/>
      <c r="L985" s="507"/>
      <c r="M985" s="507"/>
      <c r="N985" s="507"/>
      <c r="O985" s="507"/>
      <c r="P985" s="507"/>
      <c r="Q985" s="507"/>
      <c r="R985" s="507"/>
      <c r="S985" s="507"/>
      <c r="T985" s="507"/>
      <c r="U985" s="507"/>
      <c r="V985" s="510"/>
      <c r="W985" s="510"/>
      <c r="X985" s="510"/>
      <c r="Y985" s="507"/>
    </row>
    <row r="986" spans="1:25">
      <c r="A986" s="507"/>
      <c r="E986" s="507"/>
      <c r="F986" s="510"/>
      <c r="G986" s="510"/>
      <c r="H986" s="507"/>
      <c r="I986" s="507"/>
      <c r="J986" s="507"/>
      <c r="K986" s="507"/>
      <c r="L986" s="507"/>
      <c r="M986" s="507"/>
      <c r="N986" s="507"/>
      <c r="O986" s="507"/>
      <c r="P986" s="507"/>
      <c r="Q986" s="507"/>
      <c r="R986" s="507"/>
      <c r="S986" s="507"/>
      <c r="T986" s="507"/>
      <c r="U986" s="507"/>
      <c r="V986" s="510"/>
      <c r="W986" s="510"/>
      <c r="X986" s="510"/>
      <c r="Y986" s="507"/>
    </row>
    <row r="987" spans="1:25">
      <c r="A987" s="507"/>
      <c r="E987" s="507"/>
      <c r="F987" s="510"/>
      <c r="G987" s="510"/>
      <c r="H987" s="507"/>
      <c r="I987" s="507"/>
      <c r="J987" s="507"/>
      <c r="K987" s="507"/>
      <c r="L987" s="507"/>
      <c r="M987" s="507"/>
      <c r="N987" s="507"/>
      <c r="O987" s="507"/>
      <c r="P987" s="507"/>
      <c r="Q987" s="507"/>
      <c r="R987" s="507"/>
      <c r="S987" s="507"/>
      <c r="T987" s="507"/>
      <c r="U987" s="507"/>
      <c r="V987" s="510"/>
      <c r="W987" s="510"/>
      <c r="X987" s="510"/>
      <c r="Y987" s="507"/>
    </row>
    <row r="988" spans="1:25">
      <c r="A988" s="507"/>
      <c r="E988" s="507"/>
      <c r="F988" s="510"/>
      <c r="G988" s="510"/>
      <c r="H988" s="507"/>
      <c r="I988" s="507"/>
      <c r="J988" s="507"/>
      <c r="K988" s="507"/>
      <c r="L988" s="507"/>
      <c r="M988" s="507"/>
      <c r="N988" s="507"/>
      <c r="O988" s="507"/>
      <c r="P988" s="507"/>
      <c r="Q988" s="507"/>
      <c r="R988" s="507"/>
      <c r="S988" s="507"/>
      <c r="T988" s="507"/>
      <c r="U988" s="507"/>
      <c r="V988" s="510"/>
      <c r="W988" s="510"/>
      <c r="X988" s="510"/>
      <c r="Y988" s="507"/>
    </row>
    <row r="989" spans="1:25">
      <c r="A989" s="507"/>
      <c r="E989" s="507"/>
      <c r="F989" s="510"/>
      <c r="G989" s="510"/>
      <c r="H989" s="507"/>
      <c r="I989" s="507"/>
      <c r="J989" s="507"/>
      <c r="K989" s="507"/>
      <c r="L989" s="507"/>
      <c r="M989" s="507"/>
      <c r="N989" s="507"/>
      <c r="O989" s="507"/>
      <c r="P989" s="507"/>
      <c r="Q989" s="507"/>
      <c r="R989" s="507"/>
      <c r="S989" s="507"/>
      <c r="T989" s="507"/>
      <c r="U989" s="507"/>
      <c r="V989" s="510"/>
      <c r="W989" s="510"/>
      <c r="X989" s="510"/>
      <c r="Y989" s="507"/>
    </row>
  </sheetData>
  <sheetProtection password="CA9F" sheet="1"/>
  <mergeCells count="27">
    <mergeCell ref="A10:A11"/>
    <mergeCell ref="B10:B11"/>
    <mergeCell ref="C10:C11"/>
    <mergeCell ref="D10:D11"/>
    <mergeCell ref="E10:E11"/>
    <mergeCell ref="Q1:X3"/>
    <mergeCell ref="A7:G7"/>
    <mergeCell ref="U7:X7"/>
    <mergeCell ref="H8:I8"/>
    <mergeCell ref="M10:M11"/>
    <mergeCell ref="Q10:Q11"/>
    <mergeCell ref="F10:G10"/>
    <mergeCell ref="H10:H11"/>
    <mergeCell ref="I10:I11"/>
    <mergeCell ref="J10:J11"/>
    <mergeCell ref="K10:K11"/>
    <mergeCell ref="L10:L11"/>
    <mergeCell ref="A13:A30"/>
    <mergeCell ref="A32:B32"/>
    <mergeCell ref="T10:T11"/>
    <mergeCell ref="U10:U11"/>
    <mergeCell ref="V10:V11"/>
    <mergeCell ref="W10:X10"/>
    <mergeCell ref="R10:R11"/>
    <mergeCell ref="S10:S11"/>
    <mergeCell ref="N10:N11"/>
    <mergeCell ref="O10:P10"/>
  </mergeCells>
  <dataValidations count="3">
    <dataValidation type="decimal" allowBlank="1" showInputMessage="1" showErrorMessage="1" sqref="U13:X31 D13:J31 M13:Q31">
      <formula1>0</formula1>
      <formula2>1E+37</formula2>
    </dataValidation>
    <dataValidation type="decimal" allowBlank="1" showInputMessage="1" showErrorMessage="1" sqref="K13:L31">
      <formula1>-1.11111111111111E+31</formula1>
      <formula2>1E+37</formula2>
    </dataValidation>
    <dataValidation type="decimal" allowBlank="1" showInputMessage="1" showErrorMessage="1" sqref="R13:T31">
      <formula1>-1.11111111111111E+30</formula1>
      <formula2>1E+37</formula2>
    </dataValidation>
  </dataValidations>
  <pageMargins left="0.7" right="0.7" top="0.75" bottom="0.75" header="0.3" footer="0.3"/>
  <pageSetup scale="27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988"/>
  <sheetViews>
    <sheetView zoomScale="85" zoomScaleNormal="85" workbookViewId="0">
      <selection activeCell="J34" sqref="J34"/>
    </sheetView>
  </sheetViews>
  <sheetFormatPr defaultColWidth="15.1796875" defaultRowHeight="12"/>
  <cols>
    <col min="1" max="1" width="7.7265625" style="262" customWidth="1"/>
    <col min="2" max="2" width="4.453125" style="262" customWidth="1"/>
    <col min="3" max="3" width="32.453125" style="262" customWidth="1"/>
    <col min="4" max="4" width="3.7265625" style="262" customWidth="1"/>
    <col min="5" max="6" width="11.7265625" style="262" bestFit="1" customWidth="1"/>
    <col min="7" max="8" width="9.1796875" style="262" customWidth="1"/>
    <col min="9" max="9" width="11.1796875" style="262" customWidth="1"/>
    <col min="10" max="13" width="9.1796875" style="262" customWidth="1"/>
    <col min="14" max="14" width="11.26953125" style="262" customWidth="1"/>
    <col min="15" max="15" width="9.1796875" style="262" customWidth="1"/>
    <col min="16" max="16" width="7.453125" style="262" customWidth="1"/>
    <col min="17" max="16384" width="15.1796875" style="262"/>
  </cols>
  <sheetData>
    <row r="1" spans="1:16" ht="12.75" customHeight="1">
      <c r="A1" s="535"/>
      <c r="B1" s="536"/>
      <c r="C1" s="536"/>
      <c r="D1" s="536"/>
      <c r="E1" s="536"/>
      <c r="F1" s="1166" t="s">
        <v>964</v>
      </c>
      <c r="G1" s="1166"/>
      <c r="H1" s="1166"/>
      <c r="I1" s="1166"/>
      <c r="J1" s="1166"/>
      <c r="K1" s="1166"/>
      <c r="L1" s="1166"/>
      <c r="M1" s="1166"/>
      <c r="N1" s="1166"/>
      <c r="O1" s="1166"/>
      <c r="P1" s="536"/>
    </row>
    <row r="2" spans="1:16" ht="12.75" customHeight="1">
      <c r="A2" s="535"/>
      <c r="B2" s="536"/>
      <c r="C2" s="536"/>
      <c r="D2" s="536"/>
      <c r="E2" s="53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536"/>
    </row>
    <row r="3" spans="1:16" ht="64.5" hidden="1" customHeight="1">
      <c r="A3" s="535"/>
      <c r="B3" s="536"/>
      <c r="C3" s="536"/>
      <c r="D3" s="536"/>
      <c r="E3" s="536"/>
      <c r="F3" s="1166"/>
      <c r="G3" s="1166"/>
      <c r="H3" s="1166"/>
      <c r="I3" s="1166"/>
      <c r="J3" s="1166"/>
      <c r="K3" s="1166"/>
      <c r="L3" s="1166"/>
      <c r="M3" s="1166"/>
      <c r="N3" s="1166"/>
      <c r="O3" s="1166"/>
      <c r="P3" s="536"/>
    </row>
    <row r="4" spans="1:16" ht="12.75" customHeight="1">
      <c r="A4" s="537"/>
      <c r="B4" s="536"/>
      <c r="C4" s="536"/>
      <c r="D4" s="536"/>
      <c r="E4" s="536"/>
      <c r="F4" s="536"/>
      <c r="G4" s="536"/>
      <c r="H4" s="538"/>
      <c r="I4" s="538"/>
      <c r="J4" s="536"/>
      <c r="K4" s="536"/>
      <c r="L4" s="536"/>
      <c r="M4" s="536"/>
      <c r="N4" s="536"/>
      <c r="O4" s="536"/>
      <c r="P4" s="536"/>
    </row>
    <row r="5" spans="1:16" ht="13.5" customHeight="1">
      <c r="A5" s="1167" t="s">
        <v>683</v>
      </c>
      <c r="B5" s="1167"/>
      <c r="C5" s="1167"/>
      <c r="D5" s="1167"/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1167"/>
      <c r="P5" s="536"/>
    </row>
    <row r="6" spans="1:16" ht="12.75" customHeight="1">
      <c r="A6" s="535"/>
      <c r="B6" s="536"/>
      <c r="C6" s="536"/>
      <c r="D6" s="536"/>
      <c r="E6" s="536"/>
      <c r="F6" s="536"/>
      <c r="G6" s="536"/>
      <c r="H6" s="538"/>
      <c r="I6" s="538"/>
      <c r="J6" s="536"/>
      <c r="K6" s="536"/>
      <c r="L6" s="536"/>
      <c r="M6" s="536"/>
      <c r="N6" s="536"/>
      <c r="O6" s="536"/>
      <c r="P6" s="536"/>
    </row>
    <row r="7" spans="1:16" ht="15.75" customHeight="1">
      <c r="A7" s="1168" t="str">
        <f>+i.04108!A7</f>
        <v>Даатгагчийн нэр:</v>
      </c>
      <c r="B7" s="1169"/>
      <c r="C7" s="1169"/>
      <c r="D7" s="539"/>
      <c r="E7" s="539"/>
      <c r="F7" s="539"/>
      <c r="G7" s="539"/>
      <c r="H7" s="1170" t="str">
        <f>+i.04108!F7</f>
        <v>..... оны .... сарын ...-ны өдөр</v>
      </c>
      <c r="I7" s="1171"/>
      <c r="J7" s="1171"/>
      <c r="K7" s="1171"/>
      <c r="L7" s="1171"/>
      <c r="M7" s="1171"/>
      <c r="N7" s="1171"/>
      <c r="O7" s="1171"/>
      <c r="P7" s="260"/>
    </row>
    <row r="8" spans="1:16" ht="12.75" customHeight="1">
      <c r="A8" s="540"/>
      <c r="B8" s="260"/>
      <c r="C8" s="260"/>
      <c r="D8" s="260"/>
      <c r="E8" s="260"/>
      <c r="F8" s="260"/>
      <c r="G8" s="260"/>
      <c r="H8" s="261"/>
      <c r="I8" s="541"/>
      <c r="J8" s="260"/>
      <c r="K8" s="541"/>
      <c r="L8" s="541"/>
      <c r="M8" s="1091" t="s">
        <v>684</v>
      </c>
      <c r="N8" s="1091"/>
      <c r="O8" s="1091"/>
      <c r="P8" s="260"/>
    </row>
    <row r="9" spans="1:16" ht="24.75" customHeight="1">
      <c r="A9" s="1149" t="s">
        <v>661</v>
      </c>
      <c r="B9" s="1151" t="s">
        <v>642</v>
      </c>
      <c r="C9" s="1152"/>
      <c r="D9" s="1155" t="s">
        <v>4</v>
      </c>
      <c r="E9" s="1157" t="s">
        <v>685</v>
      </c>
      <c r="F9" s="1158"/>
      <c r="G9" s="1159" t="s">
        <v>686</v>
      </c>
      <c r="H9" s="1160"/>
      <c r="I9" s="1160"/>
      <c r="J9" s="1172" t="s">
        <v>687</v>
      </c>
      <c r="K9" s="1160"/>
      <c r="L9" s="1160"/>
      <c r="M9" s="1160"/>
      <c r="N9" s="1160"/>
      <c r="O9" s="1158"/>
      <c r="P9" s="542"/>
    </row>
    <row r="10" spans="1:16" ht="59.25" customHeight="1">
      <c r="A10" s="1150"/>
      <c r="B10" s="1153"/>
      <c r="C10" s="1154"/>
      <c r="D10" s="1156"/>
      <c r="E10" s="543" t="s">
        <v>688</v>
      </c>
      <c r="F10" s="543" t="s">
        <v>689</v>
      </c>
      <c r="G10" s="544" t="s">
        <v>690</v>
      </c>
      <c r="H10" s="544" t="s">
        <v>691</v>
      </c>
      <c r="I10" s="544" t="s">
        <v>692</v>
      </c>
      <c r="J10" s="543" t="s">
        <v>693</v>
      </c>
      <c r="K10" s="543" t="s">
        <v>694</v>
      </c>
      <c r="L10" s="544" t="s">
        <v>695</v>
      </c>
      <c r="M10" s="544" t="s">
        <v>689</v>
      </c>
      <c r="N10" s="545" t="s">
        <v>696</v>
      </c>
      <c r="O10" s="543" t="s">
        <v>697</v>
      </c>
      <c r="P10" s="542"/>
    </row>
    <row r="11" spans="1:16" ht="15" customHeight="1">
      <c r="A11" s="546" t="s">
        <v>6</v>
      </c>
      <c r="B11" s="546" t="s">
        <v>7</v>
      </c>
      <c r="C11" s="546" t="s">
        <v>8</v>
      </c>
      <c r="D11" s="547" t="s">
        <v>9</v>
      </c>
      <c r="E11" s="548">
        <v>1</v>
      </c>
      <c r="F11" s="548">
        <v>2</v>
      </c>
      <c r="G11" s="549">
        <v>3</v>
      </c>
      <c r="H11" s="549">
        <v>4</v>
      </c>
      <c r="I11" s="549">
        <v>5</v>
      </c>
      <c r="J11" s="548">
        <v>6</v>
      </c>
      <c r="K11" s="548">
        <v>7</v>
      </c>
      <c r="L11" s="549">
        <v>8</v>
      </c>
      <c r="M11" s="549">
        <v>9</v>
      </c>
      <c r="N11" s="546">
        <v>10</v>
      </c>
      <c r="O11" s="548">
        <v>11</v>
      </c>
      <c r="P11" s="542"/>
    </row>
    <row r="12" spans="1:16" ht="12.75" customHeight="1">
      <c r="A12" s="1161" t="s">
        <v>635</v>
      </c>
      <c r="B12" s="802" t="s">
        <v>11</v>
      </c>
      <c r="C12" s="550" t="s">
        <v>643</v>
      </c>
      <c r="D12" s="551">
        <v>1</v>
      </c>
      <c r="E12" s="1162"/>
      <c r="F12" s="1164"/>
      <c r="G12" s="567"/>
      <c r="H12" s="568"/>
      <c r="I12" s="568"/>
      <c r="J12" s="569"/>
      <c r="K12" s="559">
        <f>+L12+M12</f>
        <v>0</v>
      </c>
      <c r="L12" s="569"/>
      <c r="M12" s="569"/>
      <c r="N12" s="569"/>
      <c r="O12" s="570"/>
      <c r="P12" s="536"/>
    </row>
    <row r="13" spans="1:16" s="792" customFormat="1" ht="12.75" customHeight="1">
      <c r="A13" s="1161"/>
      <c r="B13" s="802">
        <f t="shared" ref="B13:B20" si="0">+B12+0.1</f>
        <v>1.2000000000000002</v>
      </c>
      <c r="C13" s="550" t="s">
        <v>985</v>
      </c>
      <c r="D13" s="551">
        <f>+D12+1</f>
        <v>2</v>
      </c>
      <c r="E13" s="1162"/>
      <c r="F13" s="1164"/>
      <c r="G13" s="567"/>
      <c r="H13" s="568"/>
      <c r="I13" s="568"/>
      <c r="J13" s="569"/>
      <c r="K13" s="559">
        <f>+L13+M13</f>
        <v>0</v>
      </c>
      <c r="L13" s="569"/>
      <c r="M13" s="569"/>
      <c r="N13" s="569"/>
      <c r="O13" s="570"/>
      <c r="P13" s="536"/>
    </row>
    <row r="14" spans="1:16" ht="12.75" customHeight="1">
      <c r="A14" s="1161"/>
      <c r="B14" s="802">
        <f t="shared" si="0"/>
        <v>1.3000000000000003</v>
      </c>
      <c r="C14" s="552" t="s">
        <v>644</v>
      </c>
      <c r="D14" s="551">
        <f>+D13+1</f>
        <v>3</v>
      </c>
      <c r="E14" s="1162"/>
      <c r="F14" s="1164"/>
      <c r="G14" s="567"/>
      <c r="H14" s="568"/>
      <c r="I14" s="568"/>
      <c r="J14" s="569"/>
      <c r="K14" s="560">
        <f t="shared" ref="K14:K30" si="1">+L14+M14</f>
        <v>0</v>
      </c>
      <c r="L14" s="569"/>
      <c r="M14" s="569"/>
      <c r="N14" s="569"/>
      <c r="O14" s="570"/>
      <c r="P14" s="536"/>
    </row>
    <row r="15" spans="1:16" s="792" customFormat="1" ht="12.75" customHeight="1">
      <c r="A15" s="1161"/>
      <c r="B15" s="802">
        <f t="shared" si="0"/>
        <v>1.4000000000000004</v>
      </c>
      <c r="C15" s="550" t="s">
        <v>985</v>
      </c>
      <c r="D15" s="551">
        <f>+D14+1</f>
        <v>4</v>
      </c>
      <c r="E15" s="1162"/>
      <c r="F15" s="1164"/>
      <c r="G15" s="567"/>
      <c r="H15" s="568"/>
      <c r="I15" s="568"/>
      <c r="J15" s="569"/>
      <c r="K15" s="560">
        <f t="shared" si="1"/>
        <v>0</v>
      </c>
      <c r="L15" s="569"/>
      <c r="M15" s="569"/>
      <c r="N15" s="569"/>
      <c r="O15" s="570"/>
      <c r="P15" s="536"/>
    </row>
    <row r="16" spans="1:16" ht="12.75" customHeight="1">
      <c r="A16" s="1161"/>
      <c r="B16" s="802">
        <f t="shared" si="0"/>
        <v>1.5000000000000004</v>
      </c>
      <c r="C16" s="552" t="s">
        <v>645</v>
      </c>
      <c r="D16" s="551">
        <f t="shared" ref="D16:D30" si="2">+D15+1</f>
        <v>5</v>
      </c>
      <c r="E16" s="1162"/>
      <c r="F16" s="1164"/>
      <c r="G16" s="567"/>
      <c r="H16" s="568"/>
      <c r="I16" s="568"/>
      <c r="J16" s="569"/>
      <c r="K16" s="560">
        <f t="shared" si="1"/>
        <v>0</v>
      </c>
      <c r="L16" s="569"/>
      <c r="M16" s="569"/>
      <c r="N16" s="569"/>
      <c r="O16" s="570"/>
      <c r="P16" s="536"/>
    </row>
    <row r="17" spans="1:16" ht="12.75" customHeight="1">
      <c r="A17" s="1161"/>
      <c r="B17" s="802">
        <f t="shared" si="0"/>
        <v>1.6000000000000005</v>
      </c>
      <c r="C17" s="552" t="s">
        <v>646</v>
      </c>
      <c r="D17" s="551">
        <f t="shared" si="2"/>
        <v>6</v>
      </c>
      <c r="E17" s="1162"/>
      <c r="F17" s="1164"/>
      <c r="G17" s="567"/>
      <c r="H17" s="568"/>
      <c r="I17" s="568"/>
      <c r="J17" s="569"/>
      <c r="K17" s="560">
        <f t="shared" si="1"/>
        <v>0</v>
      </c>
      <c r="L17" s="569"/>
      <c r="M17" s="569"/>
      <c r="N17" s="569"/>
      <c r="O17" s="570"/>
      <c r="P17" s="536"/>
    </row>
    <row r="18" spans="1:16" ht="12.75" customHeight="1">
      <c r="A18" s="1161"/>
      <c r="B18" s="802">
        <f t="shared" si="0"/>
        <v>1.7000000000000006</v>
      </c>
      <c r="C18" s="552" t="s">
        <v>647</v>
      </c>
      <c r="D18" s="551">
        <f t="shared" si="2"/>
        <v>7</v>
      </c>
      <c r="E18" s="1162"/>
      <c r="F18" s="1164"/>
      <c r="G18" s="567"/>
      <c r="H18" s="568"/>
      <c r="I18" s="568"/>
      <c r="J18" s="569"/>
      <c r="K18" s="560">
        <f t="shared" si="1"/>
        <v>0</v>
      </c>
      <c r="L18" s="569"/>
      <c r="M18" s="569"/>
      <c r="N18" s="569"/>
      <c r="O18" s="570"/>
      <c r="P18" s="536"/>
    </row>
    <row r="19" spans="1:16" ht="12.75" customHeight="1">
      <c r="A19" s="1161"/>
      <c r="B19" s="802">
        <f t="shared" si="0"/>
        <v>1.8000000000000007</v>
      </c>
      <c r="C19" s="552" t="s">
        <v>648</v>
      </c>
      <c r="D19" s="551">
        <f t="shared" si="2"/>
        <v>8</v>
      </c>
      <c r="E19" s="1162"/>
      <c r="F19" s="1164"/>
      <c r="G19" s="567"/>
      <c r="H19" s="568"/>
      <c r="I19" s="568"/>
      <c r="J19" s="569"/>
      <c r="K19" s="560">
        <f t="shared" si="1"/>
        <v>0</v>
      </c>
      <c r="L19" s="569"/>
      <c r="M19" s="569"/>
      <c r="N19" s="569"/>
      <c r="O19" s="570"/>
      <c r="P19" s="536"/>
    </row>
    <row r="20" spans="1:16" ht="12.75" customHeight="1">
      <c r="A20" s="1161"/>
      <c r="B20" s="802">
        <f t="shared" si="0"/>
        <v>1.9000000000000008</v>
      </c>
      <c r="C20" s="552" t="s">
        <v>649</v>
      </c>
      <c r="D20" s="551">
        <f t="shared" si="2"/>
        <v>9</v>
      </c>
      <c r="E20" s="1162"/>
      <c r="F20" s="1164"/>
      <c r="G20" s="567"/>
      <c r="H20" s="568"/>
      <c r="I20" s="568"/>
      <c r="J20" s="569"/>
      <c r="K20" s="560">
        <f t="shared" si="1"/>
        <v>0</v>
      </c>
      <c r="L20" s="569"/>
      <c r="M20" s="569"/>
      <c r="N20" s="569"/>
      <c r="O20" s="570"/>
      <c r="P20" s="536"/>
    </row>
    <row r="21" spans="1:16" ht="9.75" customHeight="1">
      <c r="A21" s="1161"/>
      <c r="B21" s="801">
        <v>1.1000000000000001</v>
      </c>
      <c r="C21" s="552" t="s">
        <v>650</v>
      </c>
      <c r="D21" s="551">
        <f t="shared" si="2"/>
        <v>10</v>
      </c>
      <c r="E21" s="1162"/>
      <c r="F21" s="1164"/>
      <c r="G21" s="567"/>
      <c r="H21" s="568"/>
      <c r="I21" s="568"/>
      <c r="J21" s="569"/>
      <c r="K21" s="560">
        <f t="shared" si="1"/>
        <v>0</v>
      </c>
      <c r="L21" s="569"/>
      <c r="M21" s="569"/>
      <c r="N21" s="569"/>
      <c r="O21" s="570"/>
      <c r="P21" s="536"/>
    </row>
    <row r="22" spans="1:16" ht="20.25" customHeight="1">
      <c r="A22" s="1161"/>
      <c r="B22" s="801">
        <f>+B21+0.01</f>
        <v>1.1100000000000001</v>
      </c>
      <c r="C22" s="552" t="s">
        <v>651</v>
      </c>
      <c r="D22" s="551">
        <f t="shared" si="2"/>
        <v>11</v>
      </c>
      <c r="E22" s="1162"/>
      <c r="F22" s="1164"/>
      <c r="G22" s="567"/>
      <c r="H22" s="568"/>
      <c r="I22" s="568"/>
      <c r="J22" s="569"/>
      <c r="K22" s="560">
        <f t="shared" si="1"/>
        <v>0</v>
      </c>
      <c r="L22" s="569"/>
      <c r="M22" s="569"/>
      <c r="N22" s="569"/>
      <c r="O22" s="570"/>
      <c r="P22" s="536"/>
    </row>
    <row r="23" spans="1:16" ht="12.75" customHeight="1">
      <c r="A23" s="1161"/>
      <c r="B23" s="801">
        <f t="shared" ref="B23:B29" si="3">+B22+0.01</f>
        <v>1.1200000000000001</v>
      </c>
      <c r="C23" s="552" t="s">
        <v>652</v>
      </c>
      <c r="D23" s="551">
        <f t="shared" si="2"/>
        <v>12</v>
      </c>
      <c r="E23" s="1162"/>
      <c r="F23" s="1164"/>
      <c r="G23" s="567"/>
      <c r="H23" s="568"/>
      <c r="I23" s="568"/>
      <c r="J23" s="569"/>
      <c r="K23" s="560">
        <f t="shared" si="1"/>
        <v>0</v>
      </c>
      <c r="L23" s="569"/>
      <c r="M23" s="569"/>
      <c r="N23" s="569"/>
      <c r="O23" s="570"/>
      <c r="P23" s="536"/>
    </row>
    <row r="24" spans="1:16" ht="9.75" customHeight="1">
      <c r="A24" s="1161"/>
      <c r="B24" s="801">
        <f t="shared" si="3"/>
        <v>1.1300000000000001</v>
      </c>
      <c r="C24" s="552" t="s">
        <v>653</v>
      </c>
      <c r="D24" s="551">
        <f t="shared" si="2"/>
        <v>13</v>
      </c>
      <c r="E24" s="1162"/>
      <c r="F24" s="1164"/>
      <c r="G24" s="567"/>
      <c r="H24" s="568"/>
      <c r="I24" s="568"/>
      <c r="J24" s="569"/>
      <c r="K24" s="560">
        <f t="shared" si="1"/>
        <v>0</v>
      </c>
      <c r="L24" s="569"/>
      <c r="M24" s="569"/>
      <c r="N24" s="569"/>
      <c r="O24" s="570"/>
      <c r="P24" s="536"/>
    </row>
    <row r="25" spans="1:16" ht="12.75" customHeight="1">
      <c r="A25" s="1161"/>
      <c r="B25" s="801">
        <f t="shared" si="3"/>
        <v>1.1400000000000001</v>
      </c>
      <c r="C25" s="552" t="s">
        <v>654</v>
      </c>
      <c r="D25" s="551">
        <f t="shared" si="2"/>
        <v>14</v>
      </c>
      <c r="E25" s="1162"/>
      <c r="F25" s="1164"/>
      <c r="G25" s="567"/>
      <c r="H25" s="568"/>
      <c r="I25" s="568"/>
      <c r="J25" s="569"/>
      <c r="K25" s="560">
        <f t="shared" si="1"/>
        <v>0</v>
      </c>
      <c r="L25" s="569"/>
      <c r="M25" s="569"/>
      <c r="N25" s="569"/>
      <c r="O25" s="570"/>
      <c r="P25" s="536"/>
    </row>
    <row r="26" spans="1:16" ht="12.75" customHeight="1">
      <c r="A26" s="1161"/>
      <c r="B26" s="801">
        <f t="shared" si="3"/>
        <v>1.1500000000000001</v>
      </c>
      <c r="C26" s="552" t="s">
        <v>655</v>
      </c>
      <c r="D26" s="551">
        <f t="shared" si="2"/>
        <v>15</v>
      </c>
      <c r="E26" s="1162"/>
      <c r="F26" s="1164"/>
      <c r="G26" s="567"/>
      <c r="H26" s="568"/>
      <c r="I26" s="568"/>
      <c r="J26" s="569"/>
      <c r="K26" s="560">
        <f t="shared" si="1"/>
        <v>0</v>
      </c>
      <c r="L26" s="569"/>
      <c r="M26" s="569"/>
      <c r="N26" s="569"/>
      <c r="O26" s="570"/>
      <c r="P26" s="536"/>
    </row>
    <row r="27" spans="1:16" ht="24" customHeight="1">
      <c r="A27" s="1161"/>
      <c r="B27" s="801">
        <f t="shared" si="3"/>
        <v>1.1600000000000001</v>
      </c>
      <c r="C27" s="552" t="s">
        <v>656</v>
      </c>
      <c r="D27" s="551">
        <f t="shared" si="2"/>
        <v>16</v>
      </c>
      <c r="E27" s="1162"/>
      <c r="F27" s="1164"/>
      <c r="G27" s="567"/>
      <c r="H27" s="568"/>
      <c r="I27" s="568"/>
      <c r="J27" s="569"/>
      <c r="K27" s="560">
        <f t="shared" si="1"/>
        <v>0</v>
      </c>
      <c r="L27" s="569"/>
      <c r="M27" s="569"/>
      <c r="N27" s="569"/>
      <c r="O27" s="570"/>
      <c r="P27" s="536"/>
    </row>
    <row r="28" spans="1:16" ht="37.5" customHeight="1">
      <c r="A28" s="1161"/>
      <c r="B28" s="801">
        <f t="shared" si="3"/>
        <v>1.1700000000000002</v>
      </c>
      <c r="C28" s="552" t="s">
        <v>657</v>
      </c>
      <c r="D28" s="551">
        <f t="shared" si="2"/>
        <v>17</v>
      </c>
      <c r="E28" s="1162"/>
      <c r="F28" s="1164"/>
      <c r="G28" s="567"/>
      <c r="H28" s="568"/>
      <c r="I28" s="568"/>
      <c r="J28" s="569"/>
      <c r="K28" s="560">
        <f t="shared" si="1"/>
        <v>0</v>
      </c>
      <c r="L28" s="569"/>
      <c r="M28" s="569"/>
      <c r="N28" s="569"/>
      <c r="O28" s="570"/>
      <c r="P28" s="536"/>
    </row>
    <row r="29" spans="1:16" ht="23.25" customHeight="1">
      <c r="A29" s="1161"/>
      <c r="B29" s="801">
        <f t="shared" si="3"/>
        <v>1.1800000000000002</v>
      </c>
      <c r="C29" s="552" t="s">
        <v>658</v>
      </c>
      <c r="D29" s="551">
        <f t="shared" si="2"/>
        <v>18</v>
      </c>
      <c r="E29" s="1162"/>
      <c r="F29" s="1164"/>
      <c r="G29" s="567"/>
      <c r="H29" s="568"/>
      <c r="I29" s="568"/>
      <c r="J29" s="569"/>
      <c r="K29" s="560">
        <f t="shared" si="1"/>
        <v>0</v>
      </c>
      <c r="L29" s="569"/>
      <c r="M29" s="569"/>
      <c r="N29" s="569"/>
      <c r="O29" s="570"/>
      <c r="P29" s="536"/>
    </row>
    <row r="30" spans="1:16" ht="38.25" customHeight="1">
      <c r="A30" s="553" t="s">
        <v>639</v>
      </c>
      <c r="B30" s="802">
        <v>2.1</v>
      </c>
      <c r="C30" s="554" t="s">
        <v>659</v>
      </c>
      <c r="D30" s="551">
        <f t="shared" si="2"/>
        <v>19</v>
      </c>
      <c r="E30" s="1163"/>
      <c r="F30" s="1165"/>
      <c r="G30" s="567"/>
      <c r="H30" s="568"/>
      <c r="I30" s="568"/>
      <c r="J30" s="569"/>
      <c r="K30" s="560">
        <f t="shared" si="1"/>
        <v>0</v>
      </c>
      <c r="L30" s="569"/>
      <c r="M30" s="569"/>
      <c r="N30" s="569"/>
      <c r="O30" s="570"/>
      <c r="P30" s="536"/>
    </row>
    <row r="31" spans="1:16" ht="12.75" customHeight="1">
      <c r="A31" s="1146" t="s">
        <v>626</v>
      </c>
      <c r="B31" s="1147"/>
      <c r="C31" s="1148"/>
      <c r="D31" s="561">
        <f>+D30+1</f>
        <v>20</v>
      </c>
      <c r="E31" s="874"/>
      <c r="F31" s="874"/>
      <c r="G31" s="562">
        <f>SUM(G12:G30)-G13-G15</f>
        <v>0</v>
      </c>
      <c r="H31" s="562">
        <f t="shared" ref="H31:O31" si="4">SUM(H12:H30)-H13-H15</f>
        <v>0</v>
      </c>
      <c r="I31" s="562">
        <f t="shared" si="4"/>
        <v>0</v>
      </c>
      <c r="J31" s="562">
        <f t="shared" si="4"/>
        <v>0</v>
      </c>
      <c r="K31" s="562">
        <f t="shared" si="4"/>
        <v>0</v>
      </c>
      <c r="L31" s="562">
        <f t="shared" si="4"/>
        <v>0</v>
      </c>
      <c r="M31" s="562">
        <f t="shared" si="4"/>
        <v>0</v>
      </c>
      <c r="N31" s="562">
        <f t="shared" si="4"/>
        <v>0</v>
      </c>
      <c r="O31" s="562">
        <f t="shared" si="4"/>
        <v>0</v>
      </c>
      <c r="P31" s="536"/>
    </row>
    <row r="32" spans="1:16" ht="9.75" customHeight="1">
      <c r="A32" s="563"/>
      <c r="B32" s="564"/>
      <c r="C32" s="564"/>
      <c r="D32" s="564"/>
      <c r="E32" s="564"/>
      <c r="F32" s="564"/>
      <c r="G32" s="564"/>
      <c r="H32" s="565"/>
      <c r="I32" s="565"/>
      <c r="J32" s="566"/>
      <c r="K32" s="566"/>
      <c r="L32" s="566"/>
      <c r="M32" s="566"/>
      <c r="N32" s="566"/>
      <c r="O32" s="564"/>
      <c r="P32" s="564"/>
    </row>
    <row r="33" spans="1:16" s="555" customFormat="1" ht="15" customHeight="1">
      <c r="A33" s="225"/>
      <c r="B33" s="225"/>
      <c r="C33" s="223" t="str">
        <f>+i.04108!C32</f>
        <v>тамга тэмдэг</v>
      </c>
      <c r="D33" s="225"/>
      <c r="E33" s="1015" t="str">
        <f>IF(ISBLANK(E31),"ТОО БӨГЛӨ", "")</f>
        <v>ТОО БӨГЛӨ</v>
      </c>
      <c r="F33" s="1015" t="str">
        <f>IF(ISBLANK(F31),"ТОО БӨГЛӨ", "")</f>
        <v>ТОО БӨГЛӨ</v>
      </c>
      <c r="G33" s="225"/>
      <c r="H33" s="225"/>
      <c r="I33" s="225"/>
      <c r="J33" s="225"/>
      <c r="K33" s="225"/>
    </row>
    <row r="34" spans="1:16" ht="10.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60"/>
      <c r="M34" s="260"/>
      <c r="N34" s="260"/>
      <c r="O34" s="260"/>
    </row>
    <row r="35" spans="1:16" ht="13">
      <c r="A35" s="225"/>
      <c r="B35" s="225"/>
      <c r="C35" s="225" t="str">
        <f>+i.04108!C34</f>
        <v xml:space="preserve">ТАЙЛАН ГАРГАСАН:    </v>
      </c>
      <c r="D35" s="225"/>
      <c r="E35" s="225"/>
      <c r="F35" s="225"/>
      <c r="G35" s="225"/>
      <c r="H35" s="225"/>
      <c r="I35" s="225"/>
      <c r="J35" s="225"/>
      <c r="K35" s="225"/>
      <c r="L35" s="260"/>
      <c r="M35" s="260"/>
      <c r="N35" s="260"/>
      <c r="O35" s="260"/>
    </row>
    <row r="36" spans="1:16" ht="13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60"/>
      <c r="M36" s="260"/>
      <c r="N36" s="260"/>
      <c r="O36" s="260"/>
    </row>
    <row r="37" spans="1:16" ht="13">
      <c r="A37" s="225"/>
      <c r="B37" s="225"/>
      <c r="C37" s="225" t="str">
        <f>+i.04108!C36</f>
        <v xml:space="preserve"> Гүйцэтгэх захирал</v>
      </c>
      <c r="D37" s="225" t="str">
        <f>+i.04108!D36</f>
        <v xml:space="preserve">/................................../   </v>
      </c>
      <c r="E37" s="225"/>
      <c r="G37" s="225"/>
      <c r="H37" s="225"/>
      <c r="I37" s="225" t="str">
        <f>+i.04108!F36</f>
        <v>/................................./</v>
      </c>
      <c r="J37" s="225"/>
      <c r="K37" s="225"/>
      <c r="L37" s="260"/>
      <c r="M37" s="260"/>
      <c r="N37" s="260"/>
      <c r="O37" s="260"/>
    </row>
    <row r="38" spans="1:16" ht="9.75" customHeight="1">
      <c r="A38" s="556"/>
      <c r="B38" s="557"/>
      <c r="C38" s="225"/>
      <c r="D38" s="225"/>
      <c r="E38" s="225"/>
      <c r="G38" s="225"/>
      <c r="H38" s="225"/>
      <c r="I38" s="225"/>
      <c r="J38" s="225"/>
      <c r="K38" s="558"/>
      <c r="L38" s="260"/>
      <c r="M38" s="260"/>
      <c r="N38" s="260"/>
      <c r="O38" s="260"/>
    </row>
    <row r="39" spans="1:16" ht="12.75" customHeight="1">
      <c r="A39" s="535"/>
      <c r="B39" s="536"/>
      <c r="C39" s="225" t="str">
        <f>+i.04108!C38</f>
        <v xml:space="preserve"> Ерөнхий нягтлан бодогч  </v>
      </c>
      <c r="D39" s="225" t="str">
        <f>+i.04108!D38</f>
        <v xml:space="preserve">/.................................../   </v>
      </c>
      <c r="E39" s="225"/>
      <c r="G39" s="225"/>
      <c r="H39" s="225"/>
      <c r="I39" s="225" t="str">
        <f>+i.04108!F38</f>
        <v>/................................/</v>
      </c>
      <c r="J39" s="225"/>
      <c r="K39" s="260"/>
      <c r="L39" s="260"/>
      <c r="M39" s="260"/>
      <c r="N39" s="260"/>
      <c r="O39" s="536"/>
      <c r="P39" s="536"/>
    </row>
    <row r="40" spans="1:16" ht="10.5" customHeight="1">
      <c r="A40" s="535"/>
      <c r="B40" s="536"/>
      <c r="C40" s="225"/>
      <c r="D40" s="225"/>
      <c r="E40" s="225"/>
      <c r="G40" s="225"/>
      <c r="H40" s="225"/>
      <c r="I40" s="225"/>
      <c r="J40" s="225"/>
      <c r="K40" s="260"/>
      <c r="L40" s="260"/>
      <c r="M40" s="260"/>
      <c r="N40" s="260"/>
      <c r="O40" s="536"/>
      <c r="P40" s="536"/>
    </row>
    <row r="41" spans="1:16" ht="12.75" customHeight="1">
      <c r="A41" s="535"/>
      <c r="B41" s="536"/>
      <c r="C41" s="225" t="str">
        <f>+i.04108!C40</f>
        <v>...................................................</v>
      </c>
      <c r="D41" s="225" t="str">
        <f>+i.04108!D40</f>
        <v xml:space="preserve">/................................../   </v>
      </c>
      <c r="E41" s="225"/>
      <c r="G41" s="225"/>
      <c r="H41" s="225"/>
      <c r="I41" s="225" t="str">
        <f>+i.04108!F40</f>
        <v>/................................/</v>
      </c>
      <c r="J41" s="225"/>
      <c r="K41" s="260"/>
      <c r="L41" s="260"/>
      <c r="M41" s="260"/>
      <c r="N41" s="260"/>
      <c r="O41" s="536"/>
      <c r="P41" s="536"/>
    </row>
    <row r="42" spans="1:16" ht="12.75" customHeight="1">
      <c r="A42" s="535"/>
      <c r="B42" s="536"/>
      <c r="C42" s="536"/>
      <c r="D42" s="536"/>
      <c r="E42" s="536"/>
      <c r="F42" s="536"/>
      <c r="G42" s="536"/>
      <c r="H42" s="538"/>
      <c r="I42" s="538"/>
      <c r="J42" s="260"/>
      <c r="K42" s="260"/>
      <c r="L42" s="260"/>
      <c r="M42" s="260"/>
      <c r="N42" s="260"/>
      <c r="O42" s="536"/>
      <c r="P42" s="536"/>
    </row>
    <row r="43" spans="1:16" ht="12.75" customHeight="1">
      <c r="A43" s="535"/>
      <c r="B43" s="536"/>
      <c r="C43" s="536"/>
      <c r="D43" s="536"/>
      <c r="E43" s="536"/>
      <c r="F43" s="536"/>
      <c r="G43" s="536"/>
      <c r="H43" s="538"/>
      <c r="I43" s="538"/>
      <c r="J43" s="260"/>
      <c r="K43" s="260"/>
      <c r="L43" s="260"/>
      <c r="M43" s="260"/>
      <c r="N43" s="260"/>
      <c r="O43" s="536"/>
      <c r="P43" s="536"/>
    </row>
    <row r="44" spans="1:16" ht="12.75" customHeight="1">
      <c r="A44" s="535"/>
      <c r="B44" s="536"/>
      <c r="C44" s="536"/>
      <c r="D44" s="536"/>
      <c r="E44" s="536"/>
      <c r="F44" s="536"/>
      <c r="G44" s="536"/>
      <c r="H44" s="538"/>
      <c r="I44" s="538"/>
      <c r="J44" s="260"/>
      <c r="K44" s="260"/>
      <c r="L44" s="260"/>
      <c r="M44" s="260"/>
      <c r="N44" s="260"/>
      <c r="O44" s="536"/>
      <c r="P44" s="536"/>
    </row>
    <row r="45" spans="1:16" ht="12.75" customHeight="1">
      <c r="A45" s="535"/>
      <c r="B45" s="536"/>
      <c r="C45" s="536"/>
      <c r="D45" s="536"/>
      <c r="E45" s="536"/>
      <c r="F45" s="536"/>
      <c r="G45" s="536"/>
      <c r="H45" s="538"/>
      <c r="I45" s="538"/>
      <c r="J45" s="260"/>
      <c r="K45" s="260"/>
      <c r="L45" s="260"/>
      <c r="M45" s="260"/>
      <c r="N45" s="260"/>
      <c r="O45" s="536"/>
      <c r="P45" s="536"/>
    </row>
    <row r="46" spans="1:16" ht="12.75" customHeight="1">
      <c r="A46" s="535"/>
      <c r="B46" s="536"/>
      <c r="C46" s="536"/>
      <c r="D46" s="536"/>
      <c r="E46" s="536"/>
      <c r="F46" s="536"/>
      <c r="G46" s="536"/>
      <c r="H46" s="538"/>
      <c r="I46" s="538"/>
      <c r="J46" s="260"/>
      <c r="K46" s="260"/>
      <c r="L46" s="260"/>
      <c r="M46" s="260"/>
      <c r="N46" s="260"/>
      <c r="O46" s="536"/>
      <c r="P46" s="536"/>
    </row>
    <row r="47" spans="1:16" ht="12.75" customHeight="1">
      <c r="A47" s="535"/>
      <c r="B47" s="536"/>
      <c r="C47" s="536"/>
      <c r="D47" s="536"/>
      <c r="E47" s="536"/>
      <c r="F47" s="536"/>
      <c r="G47" s="536"/>
      <c r="H47" s="538"/>
      <c r="I47" s="538"/>
      <c r="J47" s="260"/>
      <c r="K47" s="260"/>
      <c r="L47" s="260"/>
      <c r="M47" s="260"/>
      <c r="N47" s="260"/>
      <c r="O47" s="536"/>
      <c r="P47" s="536"/>
    </row>
    <row r="48" spans="1:16" ht="12.75" customHeight="1">
      <c r="A48" s="535"/>
      <c r="B48" s="536"/>
      <c r="C48" s="536"/>
      <c r="D48" s="536"/>
      <c r="E48" s="536"/>
      <c r="F48" s="536"/>
      <c r="G48" s="536"/>
      <c r="H48" s="538"/>
      <c r="I48" s="538"/>
      <c r="J48" s="260"/>
      <c r="K48" s="260"/>
      <c r="L48" s="260"/>
      <c r="M48" s="260"/>
      <c r="N48" s="260"/>
      <c r="O48" s="536"/>
      <c r="P48" s="536"/>
    </row>
    <row r="49" spans="1:16" ht="12.75" customHeight="1">
      <c r="A49" s="535"/>
      <c r="B49" s="536"/>
      <c r="C49" s="536"/>
      <c r="D49" s="536"/>
      <c r="E49" s="536"/>
      <c r="F49" s="536"/>
      <c r="G49" s="536"/>
      <c r="H49" s="538"/>
      <c r="I49" s="538"/>
      <c r="J49" s="260"/>
      <c r="K49" s="260"/>
      <c r="L49" s="260"/>
      <c r="M49" s="260"/>
      <c r="N49" s="260"/>
      <c r="O49" s="536"/>
      <c r="P49" s="536"/>
    </row>
    <row r="50" spans="1:16" ht="12.75" customHeight="1">
      <c r="A50" s="535"/>
      <c r="B50" s="536"/>
      <c r="C50" s="536"/>
      <c r="D50" s="536"/>
      <c r="E50" s="536"/>
      <c r="F50" s="536"/>
      <c r="G50" s="536"/>
      <c r="H50" s="538"/>
      <c r="I50" s="538"/>
      <c r="J50" s="260"/>
      <c r="K50" s="260"/>
      <c r="L50" s="260"/>
      <c r="M50" s="260"/>
      <c r="N50" s="260"/>
      <c r="O50" s="536"/>
      <c r="P50" s="536"/>
    </row>
    <row r="51" spans="1:16" ht="12.75" customHeight="1">
      <c r="A51" s="535"/>
      <c r="B51" s="536"/>
      <c r="C51" s="536"/>
      <c r="D51" s="536"/>
      <c r="E51" s="536"/>
      <c r="F51" s="536"/>
      <c r="G51" s="536"/>
      <c r="H51" s="538"/>
      <c r="I51" s="538"/>
      <c r="J51" s="260"/>
      <c r="K51" s="260"/>
      <c r="L51" s="260"/>
      <c r="M51" s="260"/>
      <c r="N51" s="260"/>
      <c r="O51" s="536"/>
      <c r="P51" s="536"/>
    </row>
    <row r="52" spans="1:16" ht="12.75" customHeight="1">
      <c r="A52" s="535"/>
      <c r="B52" s="536"/>
      <c r="C52" s="536"/>
      <c r="D52" s="536"/>
      <c r="E52" s="536"/>
      <c r="F52" s="536"/>
      <c r="G52" s="536"/>
      <c r="H52" s="538"/>
      <c r="I52" s="538"/>
      <c r="J52" s="260"/>
      <c r="K52" s="260"/>
      <c r="L52" s="260"/>
      <c r="M52" s="260"/>
      <c r="N52" s="260"/>
      <c r="O52" s="536"/>
      <c r="P52" s="536"/>
    </row>
    <row r="53" spans="1:16" ht="12.75" customHeight="1">
      <c r="A53" s="535"/>
      <c r="B53" s="536"/>
      <c r="C53" s="536"/>
      <c r="D53" s="536"/>
      <c r="E53" s="536"/>
      <c r="F53" s="536"/>
      <c r="G53" s="536"/>
      <c r="H53" s="538"/>
      <c r="I53" s="538"/>
      <c r="J53" s="260"/>
      <c r="K53" s="260"/>
      <c r="L53" s="260"/>
      <c r="M53" s="260"/>
      <c r="N53" s="260"/>
      <c r="O53" s="536"/>
      <c r="P53" s="536"/>
    </row>
    <row r="54" spans="1:16" ht="12.75" customHeight="1">
      <c r="A54" s="535"/>
      <c r="B54" s="536"/>
      <c r="C54" s="536"/>
      <c r="D54" s="536"/>
      <c r="E54" s="536"/>
      <c r="F54" s="536"/>
      <c r="G54" s="536"/>
      <c r="H54" s="538"/>
      <c r="I54" s="538"/>
      <c r="J54" s="260"/>
      <c r="K54" s="260"/>
      <c r="L54" s="260"/>
      <c r="M54" s="260"/>
      <c r="N54" s="260"/>
      <c r="O54" s="536"/>
      <c r="P54" s="536"/>
    </row>
    <row r="55" spans="1:16" ht="12.75" customHeight="1">
      <c r="A55" s="535"/>
      <c r="B55" s="536"/>
      <c r="C55" s="536"/>
      <c r="D55" s="536"/>
      <c r="E55" s="536"/>
      <c r="F55" s="536"/>
      <c r="G55" s="536"/>
      <c r="H55" s="538"/>
      <c r="I55" s="538"/>
      <c r="J55" s="260"/>
      <c r="K55" s="260"/>
      <c r="L55" s="260"/>
      <c r="M55" s="260"/>
      <c r="N55" s="260"/>
      <c r="O55" s="536"/>
      <c r="P55" s="536"/>
    </row>
    <row r="56" spans="1:16" ht="12.75" customHeight="1">
      <c r="A56" s="535"/>
      <c r="B56" s="536"/>
      <c r="C56" s="536"/>
      <c r="D56" s="536"/>
      <c r="E56" s="536"/>
      <c r="F56" s="536"/>
      <c r="G56" s="536"/>
      <c r="H56" s="538"/>
      <c r="I56" s="538"/>
      <c r="J56" s="260"/>
      <c r="K56" s="260"/>
      <c r="L56" s="260"/>
      <c r="M56" s="260"/>
      <c r="N56" s="260"/>
      <c r="O56" s="536"/>
      <c r="P56" s="536"/>
    </row>
    <row r="57" spans="1:16" ht="12.75" customHeight="1">
      <c r="A57" s="535"/>
      <c r="B57" s="536"/>
      <c r="C57" s="536"/>
      <c r="D57" s="536"/>
      <c r="E57" s="536"/>
      <c r="F57" s="536"/>
      <c r="G57" s="536"/>
      <c r="H57" s="538"/>
      <c r="I57" s="538"/>
      <c r="J57" s="260"/>
      <c r="K57" s="260"/>
      <c r="L57" s="260"/>
      <c r="M57" s="260"/>
      <c r="N57" s="260"/>
      <c r="O57" s="536"/>
      <c r="P57" s="536"/>
    </row>
    <row r="58" spans="1:16" ht="12.75" customHeight="1">
      <c r="A58" s="535"/>
      <c r="B58" s="536"/>
      <c r="C58" s="536"/>
      <c r="D58" s="536"/>
      <c r="E58" s="536"/>
      <c r="F58" s="536"/>
      <c r="G58" s="536"/>
      <c r="H58" s="538"/>
      <c r="I58" s="538"/>
      <c r="J58" s="260"/>
      <c r="K58" s="260"/>
      <c r="L58" s="260"/>
      <c r="M58" s="260"/>
      <c r="N58" s="260"/>
      <c r="O58" s="536"/>
      <c r="P58" s="536"/>
    </row>
    <row r="59" spans="1:16" ht="12.75" customHeight="1">
      <c r="A59" s="535"/>
      <c r="B59" s="536"/>
      <c r="C59" s="536"/>
      <c r="D59" s="536"/>
      <c r="E59" s="536"/>
      <c r="F59" s="536"/>
      <c r="G59" s="536"/>
      <c r="H59" s="538"/>
      <c r="I59" s="538"/>
      <c r="J59" s="260"/>
      <c r="K59" s="260"/>
      <c r="L59" s="260"/>
      <c r="M59" s="260"/>
      <c r="N59" s="260"/>
      <c r="O59" s="536"/>
      <c r="P59" s="536"/>
    </row>
    <row r="60" spans="1:16" ht="12.75" customHeight="1">
      <c r="A60" s="535"/>
      <c r="B60" s="536"/>
      <c r="C60" s="536"/>
      <c r="D60" s="536"/>
      <c r="E60" s="536"/>
      <c r="F60" s="536"/>
      <c r="G60" s="536"/>
      <c r="H60" s="538"/>
      <c r="I60" s="538"/>
      <c r="J60" s="260"/>
      <c r="K60" s="260"/>
      <c r="L60" s="260"/>
      <c r="M60" s="260"/>
      <c r="N60" s="260"/>
      <c r="O60" s="536"/>
      <c r="P60" s="536"/>
    </row>
    <row r="61" spans="1:16" ht="12.75" customHeight="1">
      <c r="A61" s="535"/>
      <c r="B61" s="536"/>
      <c r="C61" s="536"/>
      <c r="D61" s="536"/>
      <c r="E61" s="536"/>
      <c r="F61" s="536"/>
      <c r="G61" s="536"/>
      <c r="H61" s="538"/>
      <c r="I61" s="538"/>
      <c r="J61" s="260"/>
      <c r="K61" s="260"/>
      <c r="L61" s="260"/>
      <c r="M61" s="260"/>
      <c r="N61" s="260"/>
      <c r="O61" s="536"/>
      <c r="P61" s="536"/>
    </row>
    <row r="62" spans="1:16" ht="12.75" customHeight="1">
      <c r="A62" s="535"/>
      <c r="B62" s="536"/>
      <c r="C62" s="536"/>
      <c r="D62" s="536"/>
      <c r="E62" s="536"/>
      <c r="F62" s="536"/>
      <c r="G62" s="536"/>
      <c r="H62" s="538"/>
      <c r="I62" s="538"/>
      <c r="J62" s="260"/>
      <c r="K62" s="260"/>
      <c r="L62" s="260"/>
      <c r="M62" s="260"/>
      <c r="N62" s="260"/>
      <c r="O62" s="536"/>
      <c r="P62" s="536"/>
    </row>
    <row r="63" spans="1:16" ht="12.75" customHeight="1">
      <c r="A63" s="535"/>
      <c r="B63" s="536"/>
      <c r="C63" s="536"/>
      <c r="D63" s="536"/>
      <c r="E63" s="536"/>
      <c r="F63" s="536"/>
      <c r="G63" s="536"/>
      <c r="H63" s="538"/>
      <c r="I63" s="538"/>
      <c r="J63" s="260"/>
      <c r="K63" s="260"/>
      <c r="L63" s="260"/>
      <c r="M63" s="260"/>
      <c r="N63" s="260"/>
      <c r="O63" s="536"/>
      <c r="P63" s="536"/>
    </row>
    <row r="64" spans="1:16" ht="12.75" customHeight="1">
      <c r="A64" s="535"/>
      <c r="B64" s="536"/>
      <c r="C64" s="536"/>
      <c r="D64" s="536"/>
      <c r="E64" s="536"/>
      <c r="F64" s="536"/>
      <c r="G64" s="536"/>
      <c r="H64" s="538"/>
      <c r="I64" s="538"/>
      <c r="J64" s="260"/>
      <c r="K64" s="260"/>
      <c r="L64" s="260"/>
      <c r="M64" s="260"/>
      <c r="N64" s="260"/>
      <c r="O64" s="536"/>
      <c r="P64" s="536"/>
    </row>
    <row r="65" spans="1:16" ht="12.75" customHeight="1">
      <c r="A65" s="535"/>
      <c r="B65" s="536"/>
      <c r="C65" s="536"/>
      <c r="D65" s="536"/>
      <c r="E65" s="536"/>
      <c r="F65" s="536"/>
      <c r="G65" s="536"/>
      <c r="H65" s="538"/>
      <c r="I65" s="538"/>
      <c r="J65" s="260"/>
      <c r="K65" s="260"/>
      <c r="L65" s="260"/>
      <c r="M65" s="260"/>
      <c r="N65" s="260"/>
      <c r="O65" s="536"/>
      <c r="P65" s="536"/>
    </row>
    <row r="66" spans="1:16" ht="12.75" customHeight="1">
      <c r="A66" s="535"/>
      <c r="B66" s="536"/>
      <c r="C66" s="536"/>
      <c r="D66" s="536"/>
      <c r="E66" s="536"/>
      <c r="F66" s="536"/>
      <c r="G66" s="536"/>
      <c r="H66" s="538"/>
      <c r="I66" s="538"/>
      <c r="J66" s="260"/>
      <c r="K66" s="260"/>
      <c r="L66" s="260"/>
      <c r="M66" s="260"/>
      <c r="N66" s="260"/>
      <c r="O66" s="536"/>
      <c r="P66" s="536"/>
    </row>
    <row r="67" spans="1:16" ht="12.75" customHeight="1">
      <c r="A67" s="535"/>
      <c r="B67" s="536"/>
      <c r="C67" s="536"/>
      <c r="D67" s="536"/>
      <c r="E67" s="536"/>
      <c r="F67" s="536"/>
      <c r="G67" s="536"/>
      <c r="H67" s="538"/>
      <c r="I67" s="538"/>
      <c r="J67" s="260"/>
      <c r="K67" s="260"/>
      <c r="L67" s="260"/>
      <c r="M67" s="260"/>
      <c r="N67" s="260"/>
      <c r="O67" s="536"/>
      <c r="P67" s="536"/>
    </row>
    <row r="68" spans="1:16" ht="12.75" customHeight="1">
      <c r="A68" s="535"/>
      <c r="B68" s="536"/>
      <c r="C68" s="536"/>
      <c r="D68" s="536"/>
      <c r="E68" s="536"/>
      <c r="F68" s="536"/>
      <c r="G68" s="536"/>
      <c r="H68" s="538"/>
      <c r="I68" s="538"/>
      <c r="J68" s="260"/>
      <c r="K68" s="260"/>
      <c r="L68" s="260"/>
      <c r="M68" s="260"/>
      <c r="N68" s="260"/>
      <c r="O68" s="536"/>
      <c r="P68" s="536"/>
    </row>
    <row r="69" spans="1:16" ht="12.75" customHeight="1">
      <c r="A69" s="535"/>
      <c r="B69" s="536"/>
      <c r="C69" s="536"/>
      <c r="D69" s="536"/>
      <c r="E69" s="536"/>
      <c r="F69" s="536"/>
      <c r="G69" s="536"/>
      <c r="H69" s="538"/>
      <c r="I69" s="538"/>
      <c r="J69" s="260"/>
      <c r="K69" s="260"/>
      <c r="L69" s="260"/>
      <c r="M69" s="260"/>
      <c r="N69" s="260"/>
      <c r="O69" s="536"/>
      <c r="P69" s="536"/>
    </row>
    <row r="70" spans="1:16" ht="12.75" customHeight="1">
      <c r="A70" s="535"/>
      <c r="B70" s="536"/>
      <c r="C70" s="536"/>
      <c r="D70" s="536"/>
      <c r="E70" s="536"/>
      <c r="F70" s="536"/>
      <c r="G70" s="536"/>
      <c r="H70" s="538"/>
      <c r="I70" s="538"/>
      <c r="J70" s="260"/>
      <c r="K70" s="260"/>
      <c r="L70" s="260"/>
      <c r="M70" s="260"/>
      <c r="N70" s="260"/>
      <c r="O70" s="536"/>
      <c r="P70" s="536"/>
    </row>
    <row r="71" spans="1:16" ht="12.75" customHeight="1">
      <c r="A71" s="535"/>
      <c r="B71" s="536"/>
      <c r="C71" s="536"/>
      <c r="D71" s="536"/>
      <c r="E71" s="536"/>
      <c r="F71" s="536"/>
      <c r="G71" s="536"/>
      <c r="H71" s="538"/>
      <c r="I71" s="538"/>
      <c r="J71" s="260"/>
      <c r="K71" s="260"/>
      <c r="L71" s="260"/>
      <c r="M71" s="260"/>
      <c r="N71" s="260"/>
      <c r="O71" s="536"/>
      <c r="P71" s="536"/>
    </row>
    <row r="72" spans="1:16" ht="12.75" customHeight="1">
      <c r="A72" s="535"/>
      <c r="B72" s="536"/>
      <c r="C72" s="536"/>
      <c r="D72" s="536"/>
      <c r="E72" s="536"/>
      <c r="F72" s="536"/>
      <c r="G72" s="536"/>
      <c r="H72" s="538"/>
      <c r="I72" s="538"/>
      <c r="J72" s="260"/>
      <c r="K72" s="260"/>
      <c r="L72" s="260"/>
      <c r="M72" s="260"/>
      <c r="N72" s="260"/>
      <c r="O72" s="536"/>
      <c r="P72" s="536"/>
    </row>
    <row r="73" spans="1:16" ht="12.75" customHeight="1">
      <c r="A73" s="535"/>
      <c r="B73" s="536"/>
      <c r="C73" s="536"/>
      <c r="D73" s="536"/>
      <c r="E73" s="536"/>
      <c r="F73" s="536"/>
      <c r="G73" s="536"/>
      <c r="H73" s="538"/>
      <c r="I73" s="538"/>
      <c r="J73" s="260"/>
      <c r="K73" s="260"/>
      <c r="L73" s="260"/>
      <c r="M73" s="260"/>
      <c r="N73" s="260"/>
      <c r="O73" s="536"/>
      <c r="P73" s="536"/>
    </row>
    <row r="74" spans="1:16" ht="12.75" customHeight="1">
      <c r="A74" s="535"/>
      <c r="B74" s="536"/>
      <c r="C74" s="536"/>
      <c r="D74" s="536"/>
      <c r="E74" s="536"/>
      <c r="F74" s="536"/>
      <c r="G74" s="536"/>
      <c r="H74" s="538"/>
      <c r="I74" s="538"/>
      <c r="J74" s="260"/>
      <c r="K74" s="260"/>
      <c r="L74" s="260"/>
      <c r="M74" s="260"/>
      <c r="N74" s="260"/>
      <c r="O74" s="536"/>
      <c r="P74" s="536"/>
    </row>
    <row r="75" spans="1:16" ht="12.75" customHeight="1">
      <c r="A75" s="535"/>
      <c r="B75" s="536"/>
      <c r="C75" s="536"/>
      <c r="D75" s="536"/>
      <c r="E75" s="536"/>
      <c r="F75" s="536"/>
      <c r="G75" s="536"/>
      <c r="H75" s="538"/>
      <c r="I75" s="538"/>
      <c r="J75" s="260"/>
      <c r="K75" s="260"/>
      <c r="L75" s="260"/>
      <c r="M75" s="260"/>
      <c r="N75" s="260"/>
      <c r="O75" s="536"/>
      <c r="P75" s="536"/>
    </row>
    <row r="76" spans="1:16" ht="12.75" customHeight="1">
      <c r="A76" s="535"/>
      <c r="B76" s="536"/>
      <c r="C76" s="536"/>
      <c r="D76" s="536"/>
      <c r="E76" s="536"/>
      <c r="F76" s="536"/>
      <c r="G76" s="536"/>
      <c r="H76" s="538"/>
      <c r="I76" s="538"/>
      <c r="J76" s="260"/>
      <c r="K76" s="260"/>
      <c r="L76" s="260"/>
      <c r="M76" s="260"/>
      <c r="N76" s="260"/>
      <c r="O76" s="536"/>
      <c r="P76" s="536"/>
    </row>
    <row r="77" spans="1:16" ht="12.75" customHeight="1">
      <c r="A77" s="535"/>
      <c r="B77" s="536"/>
      <c r="C77" s="536"/>
      <c r="D77" s="536"/>
      <c r="E77" s="536"/>
      <c r="F77" s="536"/>
      <c r="G77" s="536"/>
      <c r="H77" s="538"/>
      <c r="I77" s="538"/>
      <c r="J77" s="260"/>
      <c r="K77" s="260"/>
      <c r="L77" s="260"/>
      <c r="M77" s="260"/>
      <c r="N77" s="260"/>
      <c r="O77" s="536"/>
      <c r="P77" s="536"/>
    </row>
    <row r="78" spans="1:16" ht="12.75" customHeight="1">
      <c r="A78" s="535"/>
      <c r="B78" s="536"/>
      <c r="C78" s="536"/>
      <c r="D78" s="536"/>
      <c r="E78" s="536"/>
      <c r="F78" s="536"/>
      <c r="G78" s="536"/>
      <c r="H78" s="538"/>
      <c r="I78" s="538"/>
      <c r="J78" s="260"/>
      <c r="K78" s="260"/>
      <c r="L78" s="260"/>
      <c r="M78" s="260"/>
      <c r="N78" s="260"/>
      <c r="O78" s="536"/>
      <c r="P78" s="536"/>
    </row>
    <row r="79" spans="1:16" ht="12.75" customHeight="1">
      <c r="A79" s="535"/>
      <c r="B79" s="536"/>
      <c r="C79" s="536"/>
      <c r="D79" s="536"/>
      <c r="E79" s="536"/>
      <c r="F79" s="536"/>
      <c r="G79" s="536"/>
      <c r="H79" s="538"/>
      <c r="I79" s="538"/>
      <c r="J79" s="260"/>
      <c r="K79" s="260"/>
      <c r="L79" s="260"/>
      <c r="M79" s="260"/>
      <c r="N79" s="260"/>
      <c r="O79" s="536"/>
      <c r="P79" s="536"/>
    </row>
    <row r="80" spans="1:16" ht="12.75" customHeight="1">
      <c r="A80" s="535"/>
      <c r="B80" s="536"/>
      <c r="C80" s="536"/>
      <c r="D80" s="536"/>
      <c r="E80" s="536"/>
      <c r="F80" s="536"/>
      <c r="G80" s="536"/>
      <c r="H80" s="538"/>
      <c r="I80" s="538"/>
      <c r="J80" s="260"/>
      <c r="K80" s="260"/>
      <c r="L80" s="260"/>
      <c r="M80" s="260"/>
      <c r="N80" s="260"/>
      <c r="O80" s="536"/>
      <c r="P80" s="536"/>
    </row>
    <row r="81" spans="1:16" ht="12.75" customHeight="1">
      <c r="A81" s="535"/>
      <c r="B81" s="536"/>
      <c r="C81" s="536"/>
      <c r="D81" s="536"/>
      <c r="E81" s="536"/>
      <c r="F81" s="536"/>
      <c r="G81" s="536"/>
      <c r="H81" s="538"/>
      <c r="I81" s="538"/>
      <c r="J81" s="260"/>
      <c r="K81" s="260"/>
      <c r="L81" s="260"/>
      <c r="M81" s="260"/>
      <c r="N81" s="260"/>
      <c r="O81" s="536"/>
      <c r="P81" s="536"/>
    </row>
    <row r="82" spans="1:16" ht="12.75" customHeight="1">
      <c r="A82" s="535"/>
      <c r="B82" s="536"/>
      <c r="C82" s="536"/>
      <c r="D82" s="536"/>
      <c r="E82" s="536"/>
      <c r="F82" s="536"/>
      <c r="G82" s="536"/>
      <c r="H82" s="538"/>
      <c r="I82" s="538"/>
      <c r="J82" s="260"/>
      <c r="K82" s="260"/>
      <c r="L82" s="260"/>
      <c r="M82" s="260"/>
      <c r="N82" s="260"/>
      <c r="O82" s="536"/>
      <c r="P82" s="536"/>
    </row>
    <row r="83" spans="1:16" ht="12.75" customHeight="1">
      <c r="A83" s="535"/>
      <c r="B83" s="536"/>
      <c r="C83" s="536"/>
      <c r="D83" s="536"/>
      <c r="E83" s="536"/>
      <c r="F83" s="536"/>
      <c r="G83" s="536"/>
      <c r="H83" s="538"/>
      <c r="I83" s="538"/>
      <c r="J83" s="260"/>
      <c r="K83" s="260"/>
      <c r="L83" s="260"/>
      <c r="M83" s="260"/>
      <c r="N83" s="260"/>
      <c r="O83" s="536"/>
      <c r="P83" s="536"/>
    </row>
    <row r="84" spans="1:16" ht="12.75" customHeight="1">
      <c r="A84" s="535"/>
      <c r="B84" s="536"/>
      <c r="C84" s="536"/>
      <c r="D84" s="536"/>
      <c r="E84" s="536"/>
      <c r="F84" s="536"/>
      <c r="G84" s="536"/>
      <c r="H84" s="538"/>
      <c r="I84" s="538"/>
      <c r="J84" s="260"/>
      <c r="K84" s="260"/>
      <c r="L84" s="260"/>
      <c r="M84" s="260"/>
      <c r="N84" s="260"/>
      <c r="O84" s="536"/>
      <c r="P84" s="536"/>
    </row>
    <row r="85" spans="1:16" ht="12.75" customHeight="1">
      <c r="A85" s="535"/>
      <c r="B85" s="536"/>
      <c r="C85" s="536"/>
      <c r="D85" s="536"/>
      <c r="E85" s="536"/>
      <c r="F85" s="536"/>
      <c r="G85" s="536"/>
      <c r="H85" s="538"/>
      <c r="I85" s="538"/>
      <c r="J85" s="260"/>
      <c r="K85" s="260"/>
      <c r="L85" s="260"/>
      <c r="M85" s="260"/>
      <c r="N85" s="260"/>
      <c r="O85" s="536"/>
      <c r="P85" s="536"/>
    </row>
    <row r="86" spans="1:16" ht="12.75" customHeight="1">
      <c r="A86" s="535"/>
      <c r="B86" s="536"/>
      <c r="C86" s="536"/>
      <c r="D86" s="536"/>
      <c r="E86" s="536"/>
      <c r="F86" s="536"/>
      <c r="G86" s="536"/>
      <c r="H86" s="538"/>
      <c r="I86" s="538"/>
      <c r="J86" s="260"/>
      <c r="K86" s="260"/>
      <c r="L86" s="260"/>
      <c r="M86" s="260"/>
      <c r="N86" s="260"/>
      <c r="O86" s="536"/>
      <c r="P86" s="536"/>
    </row>
    <row r="87" spans="1:16" ht="12.75" customHeight="1">
      <c r="A87" s="535"/>
      <c r="B87" s="536"/>
      <c r="C87" s="536"/>
      <c r="D87" s="536"/>
      <c r="E87" s="536"/>
      <c r="F87" s="536"/>
      <c r="G87" s="536"/>
      <c r="H87" s="538"/>
      <c r="I87" s="538"/>
      <c r="J87" s="260"/>
      <c r="K87" s="260"/>
      <c r="L87" s="260"/>
      <c r="M87" s="260"/>
      <c r="N87" s="260"/>
      <c r="O87" s="536"/>
      <c r="P87" s="536"/>
    </row>
    <row r="88" spans="1:16" ht="12.75" customHeight="1">
      <c r="A88" s="535"/>
      <c r="B88" s="536"/>
      <c r="C88" s="536"/>
      <c r="D88" s="536"/>
      <c r="E88" s="536"/>
      <c r="F88" s="536"/>
      <c r="G88" s="536"/>
      <c r="H88" s="538"/>
      <c r="I88" s="538"/>
      <c r="J88" s="260"/>
      <c r="K88" s="260"/>
      <c r="L88" s="260"/>
      <c r="M88" s="260"/>
      <c r="N88" s="260"/>
      <c r="O88" s="536"/>
      <c r="P88" s="536"/>
    </row>
    <row r="89" spans="1:16" ht="12.75" customHeight="1">
      <c r="A89" s="535"/>
      <c r="B89" s="536"/>
      <c r="C89" s="536"/>
      <c r="D89" s="536"/>
      <c r="E89" s="536"/>
      <c r="F89" s="536"/>
      <c r="G89" s="536"/>
      <c r="H89" s="538"/>
      <c r="I89" s="538"/>
      <c r="J89" s="260"/>
      <c r="K89" s="260"/>
      <c r="L89" s="260"/>
      <c r="M89" s="260"/>
      <c r="N89" s="260"/>
      <c r="O89" s="536"/>
      <c r="P89" s="536"/>
    </row>
    <row r="90" spans="1:16" ht="12.75" customHeight="1">
      <c r="A90" s="535"/>
      <c r="B90" s="536"/>
      <c r="C90" s="536"/>
      <c r="D90" s="536"/>
      <c r="E90" s="536"/>
      <c r="F90" s="536"/>
      <c r="G90" s="536"/>
      <c r="H90" s="538"/>
      <c r="I90" s="538"/>
      <c r="J90" s="260"/>
      <c r="K90" s="260"/>
      <c r="L90" s="260"/>
      <c r="M90" s="260"/>
      <c r="N90" s="260"/>
      <c r="O90" s="536"/>
      <c r="P90" s="536"/>
    </row>
    <row r="91" spans="1:16" ht="12.75" customHeight="1">
      <c r="A91" s="535"/>
      <c r="B91" s="536"/>
      <c r="C91" s="536"/>
      <c r="D91" s="536"/>
      <c r="E91" s="536"/>
      <c r="F91" s="536"/>
      <c r="G91" s="536"/>
      <c r="H91" s="538"/>
      <c r="I91" s="538"/>
      <c r="J91" s="260"/>
      <c r="K91" s="260"/>
      <c r="L91" s="260"/>
      <c r="M91" s="260"/>
      <c r="N91" s="260"/>
      <c r="O91" s="536"/>
      <c r="P91" s="536"/>
    </row>
    <row r="92" spans="1:16" ht="12.75" customHeight="1">
      <c r="A92" s="535"/>
      <c r="B92" s="536"/>
      <c r="C92" s="536"/>
      <c r="D92" s="536"/>
      <c r="E92" s="536"/>
      <c r="F92" s="536"/>
      <c r="G92" s="536"/>
      <c r="H92" s="538"/>
      <c r="I92" s="538"/>
      <c r="J92" s="260"/>
      <c r="K92" s="260"/>
      <c r="L92" s="260"/>
      <c r="M92" s="260"/>
      <c r="N92" s="260"/>
      <c r="O92" s="536"/>
      <c r="P92" s="536"/>
    </row>
    <row r="93" spans="1:16" ht="12.75" customHeight="1">
      <c r="A93" s="535"/>
      <c r="B93" s="536"/>
      <c r="C93" s="536"/>
      <c r="D93" s="536"/>
      <c r="E93" s="536"/>
      <c r="F93" s="536"/>
      <c r="G93" s="536"/>
      <c r="H93" s="538"/>
      <c r="I93" s="538"/>
      <c r="J93" s="260"/>
      <c r="K93" s="260"/>
      <c r="L93" s="260"/>
      <c r="M93" s="260"/>
      <c r="N93" s="260"/>
      <c r="O93" s="536"/>
      <c r="P93" s="536"/>
    </row>
    <row r="94" spans="1:16" ht="12.75" customHeight="1">
      <c r="A94" s="535"/>
      <c r="B94" s="536"/>
      <c r="C94" s="536"/>
      <c r="D94" s="536"/>
      <c r="E94" s="536"/>
      <c r="F94" s="536"/>
      <c r="G94" s="536"/>
      <c r="H94" s="538"/>
      <c r="I94" s="538"/>
      <c r="J94" s="260"/>
      <c r="K94" s="260"/>
      <c r="L94" s="260"/>
      <c r="M94" s="260"/>
      <c r="N94" s="260"/>
      <c r="O94" s="536"/>
      <c r="P94" s="536"/>
    </row>
    <row r="95" spans="1:16" ht="12.75" customHeight="1">
      <c r="A95" s="535"/>
      <c r="B95" s="536"/>
      <c r="C95" s="536"/>
      <c r="D95" s="536"/>
      <c r="E95" s="536"/>
      <c r="F95" s="536"/>
      <c r="G95" s="536"/>
      <c r="H95" s="538"/>
      <c r="I95" s="538"/>
      <c r="J95" s="260"/>
      <c r="K95" s="260"/>
      <c r="L95" s="260"/>
      <c r="M95" s="260"/>
      <c r="N95" s="260"/>
      <c r="O95" s="536"/>
      <c r="P95" s="536"/>
    </row>
    <row r="96" spans="1:16" ht="12.75" customHeight="1">
      <c r="A96" s="535"/>
      <c r="B96" s="536"/>
      <c r="C96" s="536"/>
      <c r="D96" s="536"/>
      <c r="E96" s="536"/>
      <c r="F96" s="536"/>
      <c r="G96" s="536"/>
      <c r="H96" s="538"/>
      <c r="I96" s="538"/>
      <c r="J96" s="260"/>
      <c r="K96" s="260"/>
      <c r="L96" s="260"/>
      <c r="M96" s="260"/>
      <c r="N96" s="260"/>
      <c r="O96" s="536"/>
      <c r="P96" s="536"/>
    </row>
    <row r="97" spans="1:16" ht="12.75" customHeight="1">
      <c r="A97" s="535"/>
      <c r="B97" s="536"/>
      <c r="C97" s="536"/>
      <c r="D97" s="536"/>
      <c r="E97" s="536"/>
      <c r="F97" s="536"/>
      <c r="G97" s="536"/>
      <c r="H97" s="538"/>
      <c r="I97" s="538"/>
      <c r="J97" s="260"/>
      <c r="K97" s="260"/>
      <c r="L97" s="260"/>
      <c r="M97" s="260"/>
      <c r="N97" s="260"/>
      <c r="O97" s="536"/>
      <c r="P97" s="536"/>
    </row>
    <row r="98" spans="1:16" ht="12.75" customHeight="1">
      <c r="A98" s="535"/>
      <c r="B98" s="536"/>
      <c r="C98" s="536"/>
      <c r="D98" s="536"/>
      <c r="E98" s="536"/>
      <c r="F98" s="536"/>
      <c r="G98" s="536"/>
      <c r="H98" s="538"/>
      <c r="I98" s="538"/>
      <c r="J98" s="260"/>
      <c r="K98" s="260"/>
      <c r="L98" s="260"/>
      <c r="M98" s="260"/>
      <c r="N98" s="260"/>
      <c r="O98" s="536"/>
      <c r="P98" s="536"/>
    </row>
    <row r="99" spans="1:16" ht="12.75" customHeight="1">
      <c r="A99" s="535"/>
      <c r="B99" s="536"/>
      <c r="C99" s="536"/>
      <c r="D99" s="536"/>
      <c r="E99" s="536"/>
      <c r="F99" s="536"/>
      <c r="G99" s="536"/>
      <c r="H99" s="538"/>
      <c r="I99" s="538"/>
      <c r="J99" s="260"/>
      <c r="K99" s="260"/>
      <c r="L99" s="260"/>
      <c r="M99" s="260"/>
      <c r="N99" s="260"/>
      <c r="O99" s="536"/>
      <c r="P99" s="536"/>
    </row>
    <row r="100" spans="1:16" ht="12.75" customHeight="1">
      <c r="A100" s="535"/>
      <c r="B100" s="536"/>
      <c r="C100" s="536"/>
      <c r="D100" s="536"/>
      <c r="E100" s="536"/>
      <c r="F100" s="536"/>
      <c r="G100" s="536"/>
      <c r="H100" s="538"/>
      <c r="I100" s="538"/>
      <c r="J100" s="260"/>
      <c r="K100" s="260"/>
      <c r="L100" s="260"/>
      <c r="M100" s="260"/>
      <c r="N100" s="260"/>
      <c r="O100" s="536"/>
      <c r="P100" s="536"/>
    </row>
    <row r="101" spans="1:16" ht="12.75" customHeight="1">
      <c r="A101" s="535"/>
      <c r="B101" s="536"/>
      <c r="C101" s="536"/>
      <c r="D101" s="536"/>
      <c r="E101" s="536"/>
      <c r="F101" s="536"/>
      <c r="G101" s="536"/>
      <c r="H101" s="538"/>
      <c r="I101" s="538"/>
      <c r="J101" s="260"/>
      <c r="K101" s="260"/>
      <c r="L101" s="260"/>
      <c r="M101" s="260"/>
      <c r="N101" s="260"/>
      <c r="O101" s="536"/>
      <c r="P101" s="536"/>
    </row>
    <row r="102" spans="1:16" ht="12.75" customHeight="1">
      <c r="A102" s="535"/>
      <c r="B102" s="536"/>
      <c r="C102" s="536"/>
      <c r="D102" s="536"/>
      <c r="E102" s="536"/>
      <c r="F102" s="536"/>
      <c r="G102" s="536"/>
      <c r="H102" s="538"/>
      <c r="I102" s="538"/>
      <c r="J102" s="260"/>
      <c r="K102" s="260"/>
      <c r="L102" s="260"/>
      <c r="M102" s="260"/>
      <c r="N102" s="260"/>
      <c r="O102" s="536"/>
      <c r="P102" s="536"/>
    </row>
    <row r="103" spans="1:16" ht="12.75" customHeight="1">
      <c r="A103" s="535"/>
      <c r="B103" s="536"/>
      <c r="C103" s="536"/>
      <c r="D103" s="536"/>
      <c r="E103" s="536"/>
      <c r="F103" s="536"/>
      <c r="G103" s="536"/>
      <c r="H103" s="538"/>
      <c r="I103" s="538"/>
      <c r="J103" s="260"/>
      <c r="K103" s="260"/>
      <c r="L103" s="260"/>
      <c r="M103" s="260"/>
      <c r="N103" s="260"/>
      <c r="O103" s="536"/>
      <c r="P103" s="536"/>
    </row>
    <row r="104" spans="1:16" ht="12.75" customHeight="1">
      <c r="A104" s="535"/>
      <c r="B104" s="536"/>
      <c r="C104" s="536"/>
      <c r="D104" s="536"/>
      <c r="E104" s="536"/>
      <c r="F104" s="536"/>
      <c r="G104" s="536"/>
      <c r="H104" s="538"/>
      <c r="I104" s="538"/>
      <c r="J104" s="260"/>
      <c r="K104" s="260"/>
      <c r="L104" s="260"/>
      <c r="M104" s="260"/>
      <c r="N104" s="260"/>
      <c r="O104" s="536"/>
      <c r="P104" s="536"/>
    </row>
    <row r="105" spans="1:16" ht="12.75" customHeight="1">
      <c r="A105" s="535"/>
      <c r="B105" s="536"/>
      <c r="C105" s="536"/>
      <c r="D105" s="536"/>
      <c r="E105" s="536"/>
      <c r="F105" s="536"/>
      <c r="G105" s="536"/>
      <c r="H105" s="538"/>
      <c r="I105" s="538"/>
      <c r="J105" s="260"/>
      <c r="K105" s="260"/>
      <c r="L105" s="260"/>
      <c r="M105" s="260"/>
      <c r="N105" s="260"/>
      <c r="O105" s="536"/>
      <c r="P105" s="536"/>
    </row>
    <row r="106" spans="1:16" ht="12.75" customHeight="1">
      <c r="A106" s="535"/>
      <c r="B106" s="536"/>
      <c r="C106" s="536"/>
      <c r="D106" s="536"/>
      <c r="E106" s="536"/>
      <c r="F106" s="536"/>
      <c r="G106" s="536"/>
      <c r="H106" s="538"/>
      <c r="I106" s="538"/>
      <c r="J106" s="260"/>
      <c r="K106" s="260"/>
      <c r="L106" s="260"/>
      <c r="M106" s="260"/>
      <c r="N106" s="260"/>
      <c r="O106" s="536"/>
      <c r="P106" s="536"/>
    </row>
    <row r="107" spans="1:16" ht="12.75" customHeight="1">
      <c r="A107" s="535"/>
      <c r="B107" s="536"/>
      <c r="C107" s="536"/>
      <c r="D107" s="536"/>
      <c r="E107" s="536"/>
      <c r="F107" s="536"/>
      <c r="G107" s="536"/>
      <c r="H107" s="538"/>
      <c r="I107" s="538"/>
      <c r="J107" s="260"/>
      <c r="K107" s="260"/>
      <c r="L107" s="260"/>
      <c r="M107" s="260"/>
      <c r="N107" s="260"/>
      <c r="O107" s="536"/>
      <c r="P107" s="536"/>
    </row>
    <row r="108" spans="1:16" ht="12.75" customHeight="1">
      <c r="A108" s="535"/>
      <c r="B108" s="536"/>
      <c r="C108" s="536"/>
      <c r="D108" s="536"/>
      <c r="E108" s="536"/>
      <c r="F108" s="536"/>
      <c r="G108" s="536"/>
      <c r="H108" s="538"/>
      <c r="I108" s="538"/>
      <c r="J108" s="260"/>
      <c r="K108" s="260"/>
      <c r="L108" s="260"/>
      <c r="M108" s="260"/>
      <c r="N108" s="260"/>
      <c r="O108" s="536"/>
      <c r="P108" s="536"/>
    </row>
    <row r="109" spans="1:16" ht="12.75" customHeight="1">
      <c r="A109" s="535"/>
      <c r="B109" s="536"/>
      <c r="C109" s="536"/>
      <c r="D109" s="536"/>
      <c r="E109" s="536"/>
      <c r="F109" s="536"/>
      <c r="G109" s="536"/>
      <c r="H109" s="538"/>
      <c r="I109" s="538"/>
      <c r="J109" s="260"/>
      <c r="K109" s="260"/>
      <c r="L109" s="260"/>
      <c r="M109" s="260"/>
      <c r="N109" s="260"/>
      <c r="O109" s="536"/>
      <c r="P109" s="536"/>
    </row>
    <row r="110" spans="1:16" ht="12.75" customHeight="1">
      <c r="A110" s="535"/>
      <c r="B110" s="536"/>
      <c r="C110" s="536"/>
      <c r="D110" s="536"/>
      <c r="E110" s="536"/>
      <c r="F110" s="536"/>
      <c r="G110" s="536"/>
      <c r="H110" s="538"/>
      <c r="I110" s="538"/>
      <c r="J110" s="260"/>
      <c r="K110" s="260"/>
      <c r="L110" s="260"/>
      <c r="M110" s="260"/>
      <c r="N110" s="260"/>
      <c r="O110" s="536"/>
      <c r="P110" s="536"/>
    </row>
    <row r="111" spans="1:16" ht="12.75" customHeight="1">
      <c r="A111" s="535"/>
      <c r="B111" s="536"/>
      <c r="C111" s="536"/>
      <c r="D111" s="536"/>
      <c r="E111" s="536"/>
      <c r="F111" s="536"/>
      <c r="G111" s="536"/>
      <c r="H111" s="538"/>
      <c r="I111" s="538"/>
      <c r="J111" s="260"/>
      <c r="K111" s="260"/>
      <c r="L111" s="260"/>
      <c r="M111" s="260"/>
      <c r="N111" s="260"/>
      <c r="O111" s="536"/>
      <c r="P111" s="536"/>
    </row>
    <row r="112" spans="1:16" ht="12.75" customHeight="1">
      <c r="A112" s="535"/>
      <c r="B112" s="536"/>
      <c r="C112" s="536"/>
      <c r="D112" s="536"/>
      <c r="E112" s="536"/>
      <c r="F112" s="536"/>
      <c r="G112" s="536"/>
      <c r="H112" s="538"/>
      <c r="I112" s="538"/>
      <c r="J112" s="260"/>
      <c r="K112" s="260"/>
      <c r="L112" s="260"/>
      <c r="M112" s="260"/>
      <c r="N112" s="260"/>
      <c r="O112" s="536"/>
      <c r="P112" s="536"/>
    </row>
    <row r="113" spans="1:16" ht="12.75" customHeight="1">
      <c r="A113" s="535"/>
      <c r="B113" s="536"/>
      <c r="C113" s="536"/>
      <c r="D113" s="536"/>
      <c r="E113" s="536"/>
      <c r="F113" s="536"/>
      <c r="G113" s="536"/>
      <c r="H113" s="538"/>
      <c r="I113" s="538"/>
      <c r="J113" s="260"/>
      <c r="K113" s="260"/>
      <c r="L113" s="260"/>
      <c r="M113" s="260"/>
      <c r="N113" s="260"/>
      <c r="O113" s="536"/>
      <c r="P113" s="536"/>
    </row>
    <row r="114" spans="1:16" ht="12.75" customHeight="1">
      <c r="A114" s="535"/>
      <c r="B114" s="536"/>
      <c r="C114" s="536"/>
      <c r="D114" s="536"/>
      <c r="E114" s="536"/>
      <c r="F114" s="536"/>
      <c r="G114" s="536"/>
      <c r="H114" s="538"/>
      <c r="I114" s="538"/>
      <c r="J114" s="260"/>
      <c r="K114" s="260"/>
      <c r="L114" s="260"/>
      <c r="M114" s="260"/>
      <c r="N114" s="260"/>
      <c r="O114" s="536"/>
      <c r="P114" s="536"/>
    </row>
    <row r="115" spans="1:16" ht="12.75" customHeight="1">
      <c r="A115" s="535"/>
      <c r="B115" s="536"/>
      <c r="C115" s="536"/>
      <c r="D115" s="536"/>
      <c r="E115" s="536"/>
      <c r="F115" s="536"/>
      <c r="G115" s="536"/>
      <c r="H115" s="538"/>
      <c r="I115" s="538"/>
      <c r="J115" s="260"/>
      <c r="K115" s="260"/>
      <c r="L115" s="260"/>
      <c r="M115" s="260"/>
      <c r="N115" s="260"/>
      <c r="O115" s="536"/>
      <c r="P115" s="536"/>
    </row>
    <row r="116" spans="1:16" ht="12.75" customHeight="1">
      <c r="A116" s="535"/>
      <c r="B116" s="536"/>
      <c r="C116" s="536"/>
      <c r="D116" s="536"/>
      <c r="E116" s="536"/>
      <c r="F116" s="536"/>
      <c r="G116" s="536"/>
      <c r="H116" s="538"/>
      <c r="I116" s="538"/>
      <c r="J116" s="260"/>
      <c r="K116" s="260"/>
      <c r="L116" s="260"/>
      <c r="M116" s="260"/>
      <c r="N116" s="260"/>
      <c r="O116" s="536"/>
      <c r="P116" s="536"/>
    </row>
    <row r="117" spans="1:16" ht="12.75" customHeight="1">
      <c r="A117" s="535"/>
      <c r="B117" s="536"/>
      <c r="C117" s="536"/>
      <c r="D117" s="536"/>
      <c r="E117" s="536"/>
      <c r="F117" s="536"/>
      <c r="G117" s="536"/>
      <c r="H117" s="538"/>
      <c r="I117" s="538"/>
      <c r="J117" s="260"/>
      <c r="K117" s="260"/>
      <c r="L117" s="260"/>
      <c r="M117" s="260"/>
      <c r="N117" s="260"/>
      <c r="O117" s="536"/>
      <c r="P117" s="536"/>
    </row>
    <row r="118" spans="1:16" ht="12.75" customHeight="1">
      <c r="A118" s="535"/>
      <c r="B118" s="536"/>
      <c r="C118" s="536"/>
      <c r="D118" s="536"/>
      <c r="E118" s="536"/>
      <c r="F118" s="536"/>
      <c r="G118" s="536"/>
      <c r="H118" s="538"/>
      <c r="I118" s="538"/>
      <c r="J118" s="260"/>
      <c r="K118" s="260"/>
      <c r="L118" s="260"/>
      <c r="M118" s="260"/>
      <c r="N118" s="260"/>
      <c r="O118" s="536"/>
      <c r="P118" s="536"/>
    </row>
    <row r="119" spans="1:16" ht="12.75" customHeight="1">
      <c r="A119" s="535"/>
      <c r="B119" s="536"/>
      <c r="C119" s="536"/>
      <c r="D119" s="536"/>
      <c r="E119" s="536"/>
      <c r="F119" s="536"/>
      <c r="G119" s="536"/>
      <c r="H119" s="538"/>
      <c r="I119" s="538"/>
      <c r="J119" s="260"/>
      <c r="K119" s="260"/>
      <c r="L119" s="260"/>
      <c r="M119" s="260"/>
      <c r="N119" s="260"/>
      <c r="O119" s="536"/>
      <c r="P119" s="536"/>
    </row>
    <row r="120" spans="1:16" ht="12.75" customHeight="1">
      <c r="A120" s="535"/>
      <c r="B120" s="536"/>
      <c r="C120" s="536"/>
      <c r="D120" s="536"/>
      <c r="E120" s="536"/>
      <c r="F120" s="536"/>
      <c r="G120" s="536"/>
      <c r="H120" s="538"/>
      <c r="I120" s="538"/>
      <c r="J120" s="260"/>
      <c r="K120" s="260"/>
      <c r="L120" s="260"/>
      <c r="M120" s="260"/>
      <c r="N120" s="260"/>
      <c r="O120" s="536"/>
      <c r="P120" s="536"/>
    </row>
    <row r="121" spans="1:16" ht="12.75" customHeight="1">
      <c r="A121" s="535"/>
      <c r="B121" s="536"/>
      <c r="C121" s="536"/>
      <c r="D121" s="536"/>
      <c r="E121" s="536"/>
      <c r="F121" s="536"/>
      <c r="G121" s="536"/>
      <c r="H121" s="538"/>
      <c r="I121" s="538"/>
      <c r="J121" s="260"/>
      <c r="K121" s="260"/>
      <c r="L121" s="260"/>
      <c r="M121" s="260"/>
      <c r="N121" s="260"/>
      <c r="O121" s="536"/>
      <c r="P121" s="536"/>
    </row>
    <row r="122" spans="1:16" ht="12.75" customHeight="1">
      <c r="A122" s="535"/>
      <c r="B122" s="536"/>
      <c r="C122" s="536"/>
      <c r="D122" s="536"/>
      <c r="E122" s="536"/>
      <c r="F122" s="536"/>
      <c r="G122" s="536"/>
      <c r="H122" s="538"/>
      <c r="I122" s="538"/>
      <c r="J122" s="260"/>
      <c r="K122" s="260"/>
      <c r="L122" s="260"/>
      <c r="M122" s="260"/>
      <c r="N122" s="260"/>
      <c r="O122" s="536"/>
      <c r="P122" s="536"/>
    </row>
    <row r="123" spans="1:16" ht="12.75" customHeight="1">
      <c r="A123" s="535"/>
      <c r="B123" s="536"/>
      <c r="C123" s="536"/>
      <c r="D123" s="536"/>
      <c r="E123" s="536"/>
      <c r="F123" s="536"/>
      <c r="G123" s="536"/>
      <c r="H123" s="538"/>
      <c r="I123" s="538"/>
      <c r="J123" s="260"/>
      <c r="K123" s="260"/>
      <c r="L123" s="260"/>
      <c r="M123" s="260"/>
      <c r="N123" s="260"/>
      <c r="O123" s="536"/>
      <c r="P123" s="536"/>
    </row>
    <row r="124" spans="1:16" ht="12.75" customHeight="1">
      <c r="A124" s="535"/>
      <c r="B124" s="536"/>
      <c r="C124" s="536"/>
      <c r="D124" s="536"/>
      <c r="E124" s="536"/>
      <c r="F124" s="536"/>
      <c r="G124" s="536"/>
      <c r="H124" s="538"/>
      <c r="I124" s="538"/>
      <c r="J124" s="260"/>
      <c r="K124" s="260"/>
      <c r="L124" s="260"/>
      <c r="M124" s="260"/>
      <c r="N124" s="260"/>
      <c r="O124" s="536"/>
      <c r="P124" s="536"/>
    </row>
    <row r="125" spans="1:16" ht="12.75" customHeight="1">
      <c r="A125" s="535"/>
      <c r="B125" s="536"/>
      <c r="C125" s="536"/>
      <c r="D125" s="536"/>
      <c r="E125" s="536"/>
      <c r="F125" s="536"/>
      <c r="G125" s="536"/>
      <c r="H125" s="538"/>
      <c r="I125" s="538"/>
      <c r="J125" s="260"/>
      <c r="K125" s="260"/>
      <c r="L125" s="260"/>
      <c r="M125" s="260"/>
      <c r="N125" s="260"/>
      <c r="O125" s="536"/>
      <c r="P125" s="536"/>
    </row>
    <row r="126" spans="1:16" ht="12.75" customHeight="1">
      <c r="A126" s="535"/>
      <c r="B126" s="536"/>
      <c r="C126" s="536"/>
      <c r="D126" s="536"/>
      <c r="E126" s="536"/>
      <c r="F126" s="536"/>
      <c r="G126" s="536"/>
      <c r="H126" s="538"/>
      <c r="I126" s="538"/>
      <c r="J126" s="260"/>
      <c r="K126" s="260"/>
      <c r="L126" s="260"/>
      <c r="M126" s="260"/>
      <c r="N126" s="260"/>
      <c r="O126" s="536"/>
      <c r="P126" s="536"/>
    </row>
    <row r="127" spans="1:16" ht="12.75" customHeight="1">
      <c r="A127" s="535"/>
      <c r="B127" s="536"/>
      <c r="C127" s="536"/>
      <c r="D127" s="536"/>
      <c r="E127" s="536"/>
      <c r="F127" s="536"/>
      <c r="G127" s="536"/>
      <c r="H127" s="538"/>
      <c r="I127" s="538"/>
      <c r="J127" s="260"/>
      <c r="K127" s="260"/>
      <c r="L127" s="260"/>
      <c r="M127" s="260"/>
      <c r="N127" s="260"/>
      <c r="O127" s="536"/>
      <c r="P127" s="536"/>
    </row>
    <row r="128" spans="1:16" ht="12.75" customHeight="1">
      <c r="A128" s="535"/>
      <c r="B128" s="536"/>
      <c r="C128" s="536"/>
      <c r="D128" s="536"/>
      <c r="E128" s="536"/>
      <c r="F128" s="536"/>
      <c r="G128" s="536"/>
      <c r="H128" s="538"/>
      <c r="I128" s="538"/>
      <c r="J128" s="260"/>
      <c r="K128" s="260"/>
      <c r="L128" s="260"/>
      <c r="M128" s="260"/>
      <c r="N128" s="260"/>
      <c r="O128" s="536"/>
      <c r="P128" s="536"/>
    </row>
    <row r="129" spans="1:16" ht="12.75" customHeight="1">
      <c r="A129" s="535"/>
      <c r="B129" s="536"/>
      <c r="C129" s="536"/>
      <c r="D129" s="536"/>
      <c r="E129" s="536"/>
      <c r="F129" s="536"/>
      <c r="G129" s="536"/>
      <c r="H129" s="538"/>
      <c r="I129" s="538"/>
      <c r="J129" s="260"/>
      <c r="K129" s="260"/>
      <c r="L129" s="260"/>
      <c r="M129" s="260"/>
      <c r="N129" s="260"/>
      <c r="O129" s="536"/>
      <c r="P129" s="536"/>
    </row>
    <row r="130" spans="1:16" ht="12.75" customHeight="1">
      <c r="A130" s="535"/>
      <c r="B130" s="536"/>
      <c r="C130" s="536"/>
      <c r="D130" s="536"/>
      <c r="E130" s="536"/>
      <c r="F130" s="536"/>
      <c r="G130" s="536"/>
      <c r="H130" s="538"/>
      <c r="I130" s="538"/>
      <c r="J130" s="260"/>
      <c r="K130" s="260"/>
      <c r="L130" s="260"/>
      <c r="M130" s="260"/>
      <c r="N130" s="260"/>
      <c r="O130" s="536"/>
      <c r="P130" s="536"/>
    </row>
    <row r="131" spans="1:16" ht="12.75" customHeight="1">
      <c r="A131" s="535"/>
      <c r="B131" s="536"/>
      <c r="C131" s="536"/>
      <c r="D131" s="536"/>
      <c r="E131" s="536"/>
      <c r="F131" s="536"/>
      <c r="G131" s="536"/>
      <c r="H131" s="538"/>
      <c r="I131" s="538"/>
      <c r="J131" s="260"/>
      <c r="K131" s="260"/>
      <c r="L131" s="260"/>
      <c r="M131" s="260"/>
      <c r="N131" s="260"/>
      <c r="O131" s="536"/>
      <c r="P131" s="536"/>
    </row>
    <row r="132" spans="1:16" ht="12.75" customHeight="1">
      <c r="A132" s="535"/>
      <c r="B132" s="536"/>
      <c r="C132" s="536"/>
      <c r="D132" s="536"/>
      <c r="E132" s="536"/>
      <c r="F132" s="536"/>
      <c r="G132" s="536"/>
      <c r="H132" s="538"/>
      <c r="I132" s="538"/>
      <c r="J132" s="260"/>
      <c r="K132" s="260"/>
      <c r="L132" s="260"/>
      <c r="M132" s="260"/>
      <c r="N132" s="260"/>
      <c r="O132" s="536"/>
      <c r="P132" s="536"/>
    </row>
    <row r="133" spans="1:16" ht="12.75" customHeight="1">
      <c r="A133" s="535"/>
      <c r="B133" s="536"/>
      <c r="C133" s="536"/>
      <c r="D133" s="536"/>
      <c r="E133" s="536"/>
      <c r="F133" s="536"/>
      <c r="G133" s="536"/>
      <c r="H133" s="538"/>
      <c r="I133" s="538"/>
      <c r="J133" s="260"/>
      <c r="K133" s="260"/>
      <c r="L133" s="260"/>
      <c r="M133" s="260"/>
      <c r="N133" s="260"/>
      <c r="O133" s="536"/>
      <c r="P133" s="536"/>
    </row>
    <row r="134" spans="1:16" ht="12.75" customHeight="1">
      <c r="A134" s="535"/>
      <c r="B134" s="536"/>
      <c r="C134" s="536"/>
      <c r="D134" s="536"/>
      <c r="E134" s="536"/>
      <c r="F134" s="536"/>
      <c r="G134" s="536"/>
      <c r="H134" s="538"/>
      <c r="I134" s="538"/>
      <c r="J134" s="260"/>
      <c r="K134" s="260"/>
      <c r="L134" s="260"/>
      <c r="M134" s="260"/>
      <c r="N134" s="260"/>
      <c r="O134" s="536"/>
      <c r="P134" s="536"/>
    </row>
    <row r="135" spans="1:16" ht="12.75" customHeight="1">
      <c r="A135" s="535"/>
      <c r="B135" s="536"/>
      <c r="C135" s="536"/>
      <c r="D135" s="536"/>
      <c r="E135" s="536"/>
      <c r="F135" s="536"/>
      <c r="G135" s="536"/>
      <c r="H135" s="538"/>
      <c r="I135" s="538"/>
      <c r="J135" s="260"/>
      <c r="K135" s="260"/>
      <c r="L135" s="260"/>
      <c r="M135" s="260"/>
      <c r="N135" s="260"/>
      <c r="O135" s="536"/>
      <c r="P135" s="536"/>
    </row>
    <row r="136" spans="1:16" ht="12.75" customHeight="1">
      <c r="A136" s="535"/>
      <c r="B136" s="536"/>
      <c r="C136" s="536"/>
      <c r="D136" s="536"/>
      <c r="E136" s="536"/>
      <c r="F136" s="536"/>
      <c r="G136" s="536"/>
      <c r="H136" s="538"/>
      <c r="I136" s="538"/>
      <c r="J136" s="260"/>
      <c r="K136" s="260"/>
      <c r="L136" s="260"/>
      <c r="M136" s="260"/>
      <c r="N136" s="260"/>
      <c r="O136" s="536"/>
      <c r="P136" s="536"/>
    </row>
    <row r="137" spans="1:16" ht="12.75" customHeight="1">
      <c r="A137" s="535"/>
      <c r="B137" s="536"/>
      <c r="C137" s="536"/>
      <c r="D137" s="536"/>
      <c r="E137" s="536"/>
      <c r="F137" s="536"/>
      <c r="G137" s="536"/>
      <c r="H137" s="538"/>
      <c r="I137" s="538"/>
      <c r="J137" s="260"/>
      <c r="K137" s="260"/>
      <c r="L137" s="260"/>
      <c r="M137" s="260"/>
      <c r="N137" s="260"/>
      <c r="O137" s="536"/>
      <c r="P137" s="536"/>
    </row>
    <row r="138" spans="1:16" ht="12.75" customHeight="1">
      <c r="A138" s="535"/>
      <c r="B138" s="536"/>
      <c r="C138" s="536"/>
      <c r="D138" s="536"/>
      <c r="E138" s="536"/>
      <c r="F138" s="536"/>
      <c r="G138" s="536"/>
      <c r="H138" s="538"/>
      <c r="I138" s="538"/>
      <c r="J138" s="260"/>
      <c r="K138" s="260"/>
      <c r="L138" s="260"/>
      <c r="M138" s="260"/>
      <c r="N138" s="260"/>
      <c r="O138" s="536"/>
      <c r="P138" s="536"/>
    </row>
    <row r="139" spans="1:16" ht="12.75" customHeight="1">
      <c r="A139" s="535"/>
      <c r="B139" s="536"/>
      <c r="C139" s="536"/>
      <c r="D139" s="536"/>
      <c r="E139" s="536"/>
      <c r="F139" s="536"/>
      <c r="G139" s="536"/>
      <c r="H139" s="538"/>
      <c r="I139" s="538"/>
      <c r="J139" s="260"/>
      <c r="K139" s="260"/>
      <c r="L139" s="260"/>
      <c r="M139" s="260"/>
      <c r="N139" s="260"/>
      <c r="O139" s="536"/>
      <c r="P139" s="536"/>
    </row>
    <row r="140" spans="1:16" ht="12.75" customHeight="1">
      <c r="A140" s="535"/>
      <c r="B140" s="536"/>
      <c r="C140" s="536"/>
      <c r="D140" s="536"/>
      <c r="E140" s="536"/>
      <c r="F140" s="536"/>
      <c r="G140" s="536"/>
      <c r="H140" s="538"/>
      <c r="I140" s="538"/>
      <c r="J140" s="260"/>
      <c r="K140" s="260"/>
      <c r="L140" s="260"/>
      <c r="M140" s="260"/>
      <c r="N140" s="260"/>
      <c r="O140" s="536"/>
      <c r="P140" s="536"/>
    </row>
    <row r="141" spans="1:16" ht="12.75" customHeight="1">
      <c r="A141" s="535"/>
      <c r="B141" s="536"/>
      <c r="C141" s="536"/>
      <c r="D141" s="536"/>
      <c r="E141" s="536"/>
      <c r="F141" s="536"/>
      <c r="G141" s="536"/>
      <c r="H141" s="538"/>
      <c r="I141" s="538"/>
      <c r="J141" s="260"/>
      <c r="K141" s="260"/>
      <c r="L141" s="260"/>
      <c r="M141" s="260"/>
      <c r="N141" s="260"/>
      <c r="O141" s="536"/>
      <c r="P141" s="536"/>
    </row>
    <row r="142" spans="1:16" ht="12.75" customHeight="1">
      <c r="A142" s="535"/>
      <c r="B142" s="536"/>
      <c r="C142" s="536"/>
      <c r="D142" s="536"/>
      <c r="E142" s="536"/>
      <c r="F142" s="536"/>
      <c r="G142" s="536"/>
      <c r="H142" s="538"/>
      <c r="I142" s="538"/>
      <c r="J142" s="260"/>
      <c r="K142" s="260"/>
      <c r="L142" s="260"/>
      <c r="M142" s="260"/>
      <c r="N142" s="260"/>
      <c r="O142" s="536"/>
      <c r="P142" s="536"/>
    </row>
    <row r="143" spans="1:16" ht="12.75" customHeight="1">
      <c r="A143" s="535"/>
      <c r="B143" s="536"/>
      <c r="C143" s="536"/>
      <c r="D143" s="536"/>
      <c r="E143" s="536"/>
      <c r="F143" s="536"/>
      <c r="G143" s="536"/>
      <c r="H143" s="538"/>
      <c r="I143" s="538"/>
      <c r="J143" s="260"/>
      <c r="K143" s="260"/>
      <c r="L143" s="260"/>
      <c r="M143" s="260"/>
      <c r="N143" s="260"/>
      <c r="O143" s="536"/>
      <c r="P143" s="536"/>
    </row>
    <row r="144" spans="1:16" ht="12.75" customHeight="1">
      <c r="A144" s="535"/>
      <c r="B144" s="536"/>
      <c r="C144" s="536"/>
      <c r="D144" s="536"/>
      <c r="E144" s="536"/>
      <c r="F144" s="536"/>
      <c r="G144" s="536"/>
      <c r="H144" s="538"/>
      <c r="I144" s="538"/>
      <c r="J144" s="260"/>
      <c r="K144" s="260"/>
      <c r="L144" s="260"/>
      <c r="M144" s="260"/>
      <c r="N144" s="260"/>
      <c r="O144" s="536"/>
      <c r="P144" s="536"/>
    </row>
    <row r="145" spans="1:16" ht="12.75" customHeight="1">
      <c r="A145" s="535"/>
      <c r="B145" s="536"/>
      <c r="C145" s="536"/>
      <c r="D145" s="536"/>
      <c r="E145" s="536"/>
      <c r="F145" s="536"/>
      <c r="G145" s="536"/>
      <c r="H145" s="538"/>
      <c r="I145" s="538"/>
      <c r="J145" s="260"/>
      <c r="K145" s="260"/>
      <c r="L145" s="260"/>
      <c r="M145" s="260"/>
      <c r="N145" s="260"/>
      <c r="O145" s="536"/>
      <c r="P145" s="536"/>
    </row>
    <row r="146" spans="1:16" ht="12.75" customHeight="1">
      <c r="A146" s="535"/>
      <c r="B146" s="536"/>
      <c r="C146" s="536"/>
      <c r="D146" s="536"/>
      <c r="E146" s="536"/>
      <c r="F146" s="536"/>
      <c r="G146" s="536"/>
      <c r="H146" s="538"/>
      <c r="I146" s="538"/>
      <c r="J146" s="260"/>
      <c r="K146" s="260"/>
      <c r="L146" s="260"/>
      <c r="M146" s="260"/>
      <c r="N146" s="260"/>
      <c r="O146" s="536"/>
      <c r="P146" s="536"/>
    </row>
    <row r="147" spans="1:16" ht="12.75" customHeight="1">
      <c r="A147" s="535"/>
      <c r="B147" s="536"/>
      <c r="C147" s="536"/>
      <c r="D147" s="536"/>
      <c r="E147" s="536"/>
      <c r="F147" s="536"/>
      <c r="G147" s="536"/>
      <c r="H147" s="538"/>
      <c r="I147" s="538"/>
      <c r="J147" s="260"/>
      <c r="K147" s="260"/>
      <c r="L147" s="260"/>
      <c r="M147" s="260"/>
      <c r="N147" s="260"/>
      <c r="O147" s="536"/>
      <c r="P147" s="536"/>
    </row>
    <row r="148" spans="1:16" ht="12.75" customHeight="1">
      <c r="A148" s="535"/>
      <c r="B148" s="536"/>
      <c r="C148" s="536"/>
      <c r="D148" s="536"/>
      <c r="E148" s="536"/>
      <c r="F148" s="536"/>
      <c r="G148" s="536"/>
      <c r="H148" s="538"/>
      <c r="I148" s="538"/>
      <c r="J148" s="260"/>
      <c r="K148" s="260"/>
      <c r="L148" s="260"/>
      <c r="M148" s="260"/>
      <c r="N148" s="260"/>
      <c r="O148" s="536"/>
      <c r="P148" s="536"/>
    </row>
    <row r="149" spans="1:16" ht="12.75" customHeight="1">
      <c r="A149" s="535"/>
      <c r="B149" s="536"/>
      <c r="C149" s="536"/>
      <c r="D149" s="536"/>
      <c r="E149" s="536"/>
      <c r="F149" s="536"/>
      <c r="G149" s="536"/>
      <c r="H149" s="538"/>
      <c r="I149" s="538"/>
      <c r="J149" s="260"/>
      <c r="K149" s="260"/>
      <c r="L149" s="260"/>
      <c r="M149" s="260"/>
      <c r="N149" s="260"/>
      <c r="O149" s="536"/>
      <c r="P149" s="536"/>
    </row>
    <row r="150" spans="1:16" ht="12.75" customHeight="1">
      <c r="A150" s="535"/>
      <c r="B150" s="536"/>
      <c r="C150" s="536"/>
      <c r="D150" s="536"/>
      <c r="E150" s="536"/>
      <c r="F150" s="536"/>
      <c r="G150" s="536"/>
      <c r="H150" s="538"/>
      <c r="I150" s="538"/>
      <c r="J150" s="260"/>
      <c r="K150" s="260"/>
      <c r="L150" s="260"/>
      <c r="M150" s="260"/>
      <c r="N150" s="260"/>
      <c r="O150" s="536"/>
      <c r="P150" s="536"/>
    </row>
    <row r="151" spans="1:16" ht="12.75" customHeight="1">
      <c r="A151" s="535"/>
      <c r="B151" s="536"/>
      <c r="C151" s="536"/>
      <c r="D151" s="536"/>
      <c r="E151" s="536"/>
      <c r="F151" s="536"/>
      <c r="G151" s="536"/>
      <c r="H151" s="538"/>
      <c r="I151" s="538"/>
      <c r="J151" s="260"/>
      <c r="K151" s="260"/>
      <c r="L151" s="260"/>
      <c r="M151" s="260"/>
      <c r="N151" s="260"/>
      <c r="O151" s="536"/>
      <c r="P151" s="536"/>
    </row>
    <row r="152" spans="1:16" ht="12.75" customHeight="1">
      <c r="A152" s="535"/>
      <c r="B152" s="536"/>
      <c r="C152" s="536"/>
      <c r="D152" s="536"/>
      <c r="E152" s="536"/>
      <c r="F152" s="536"/>
      <c r="G152" s="536"/>
      <c r="H152" s="538"/>
      <c r="I152" s="538"/>
      <c r="J152" s="260"/>
      <c r="K152" s="260"/>
      <c r="L152" s="260"/>
      <c r="M152" s="260"/>
      <c r="N152" s="260"/>
      <c r="O152" s="536"/>
      <c r="P152" s="536"/>
    </row>
    <row r="153" spans="1:16" ht="12.75" customHeight="1">
      <c r="A153" s="535"/>
      <c r="B153" s="536"/>
      <c r="C153" s="536"/>
      <c r="D153" s="536"/>
      <c r="E153" s="536"/>
      <c r="F153" s="536"/>
      <c r="G153" s="536"/>
      <c r="H153" s="538"/>
      <c r="I153" s="538"/>
      <c r="J153" s="260"/>
      <c r="K153" s="260"/>
      <c r="L153" s="260"/>
      <c r="M153" s="260"/>
      <c r="N153" s="260"/>
      <c r="O153" s="536"/>
      <c r="P153" s="536"/>
    </row>
    <row r="154" spans="1:16" ht="12.75" customHeight="1">
      <c r="A154" s="535"/>
      <c r="B154" s="536"/>
      <c r="C154" s="536"/>
      <c r="D154" s="536"/>
      <c r="E154" s="536"/>
      <c r="F154" s="536"/>
      <c r="G154" s="536"/>
      <c r="H154" s="538"/>
      <c r="I154" s="538"/>
      <c r="J154" s="260"/>
      <c r="K154" s="260"/>
      <c r="L154" s="260"/>
      <c r="M154" s="260"/>
      <c r="N154" s="260"/>
      <c r="O154" s="536"/>
      <c r="P154" s="536"/>
    </row>
    <row r="155" spans="1:16" ht="12.75" customHeight="1">
      <c r="A155" s="535"/>
      <c r="B155" s="536"/>
      <c r="C155" s="536"/>
      <c r="D155" s="536"/>
      <c r="E155" s="536"/>
      <c r="F155" s="536"/>
      <c r="G155" s="536"/>
      <c r="H155" s="538"/>
      <c r="I155" s="538"/>
      <c r="J155" s="260"/>
      <c r="K155" s="260"/>
      <c r="L155" s="260"/>
      <c r="M155" s="260"/>
      <c r="N155" s="260"/>
      <c r="O155" s="536"/>
      <c r="P155" s="536"/>
    </row>
    <row r="156" spans="1:16" ht="12.75" customHeight="1">
      <c r="A156" s="535"/>
      <c r="B156" s="536"/>
      <c r="C156" s="536"/>
      <c r="D156" s="536"/>
      <c r="E156" s="536"/>
      <c r="F156" s="536"/>
      <c r="G156" s="536"/>
      <c r="H156" s="538"/>
      <c r="I156" s="538"/>
      <c r="J156" s="260"/>
      <c r="K156" s="260"/>
      <c r="L156" s="260"/>
      <c r="M156" s="260"/>
      <c r="N156" s="260"/>
      <c r="O156" s="536"/>
      <c r="P156" s="536"/>
    </row>
    <row r="157" spans="1:16" ht="12.75" customHeight="1">
      <c r="A157" s="535"/>
      <c r="B157" s="536"/>
      <c r="C157" s="536"/>
      <c r="D157" s="536"/>
      <c r="E157" s="536"/>
      <c r="F157" s="536"/>
      <c r="G157" s="536"/>
      <c r="H157" s="538"/>
      <c r="I157" s="538"/>
      <c r="J157" s="260"/>
      <c r="K157" s="260"/>
      <c r="L157" s="260"/>
      <c r="M157" s="260"/>
      <c r="N157" s="260"/>
      <c r="O157" s="536"/>
      <c r="P157" s="536"/>
    </row>
    <row r="158" spans="1:16" ht="12.75" customHeight="1">
      <c r="A158" s="535"/>
      <c r="B158" s="536"/>
      <c r="C158" s="536"/>
      <c r="D158" s="536"/>
      <c r="E158" s="536"/>
      <c r="F158" s="536"/>
      <c r="G158" s="536"/>
      <c r="H158" s="538"/>
      <c r="I158" s="538"/>
      <c r="J158" s="260"/>
      <c r="K158" s="260"/>
      <c r="L158" s="260"/>
      <c r="M158" s="260"/>
      <c r="N158" s="260"/>
      <c r="O158" s="536"/>
      <c r="P158" s="536"/>
    </row>
    <row r="159" spans="1:16" ht="12.75" customHeight="1">
      <c r="A159" s="535"/>
      <c r="B159" s="536"/>
      <c r="C159" s="536"/>
      <c r="D159" s="536"/>
      <c r="E159" s="536"/>
      <c r="F159" s="536"/>
      <c r="G159" s="536"/>
      <c r="H159" s="538"/>
      <c r="I159" s="538"/>
      <c r="J159" s="260"/>
      <c r="K159" s="260"/>
      <c r="L159" s="260"/>
      <c r="M159" s="260"/>
      <c r="N159" s="260"/>
      <c r="O159" s="536"/>
      <c r="P159" s="536"/>
    </row>
    <row r="160" spans="1:16" ht="12.75" customHeight="1">
      <c r="A160" s="535"/>
      <c r="B160" s="536"/>
      <c r="C160" s="536"/>
      <c r="D160" s="536"/>
      <c r="E160" s="536"/>
      <c r="F160" s="536"/>
      <c r="G160" s="536"/>
      <c r="H160" s="538"/>
      <c r="I160" s="538"/>
      <c r="J160" s="260"/>
      <c r="K160" s="260"/>
      <c r="L160" s="260"/>
      <c r="M160" s="260"/>
      <c r="N160" s="260"/>
      <c r="O160" s="536"/>
      <c r="P160" s="536"/>
    </row>
    <row r="161" spans="1:16" ht="12.75" customHeight="1">
      <c r="A161" s="535"/>
      <c r="B161" s="536"/>
      <c r="C161" s="536"/>
      <c r="D161" s="536"/>
      <c r="E161" s="536"/>
      <c r="F161" s="536"/>
      <c r="G161" s="536"/>
      <c r="H161" s="538"/>
      <c r="I161" s="538"/>
      <c r="J161" s="260"/>
      <c r="K161" s="260"/>
      <c r="L161" s="260"/>
      <c r="M161" s="260"/>
      <c r="N161" s="260"/>
      <c r="O161" s="536"/>
      <c r="P161" s="536"/>
    </row>
    <row r="162" spans="1:16" ht="12.75" customHeight="1">
      <c r="A162" s="535"/>
      <c r="B162" s="536"/>
      <c r="C162" s="536"/>
      <c r="D162" s="536"/>
      <c r="E162" s="536"/>
      <c r="F162" s="536"/>
      <c r="G162" s="536"/>
      <c r="H162" s="538"/>
      <c r="I162" s="538"/>
      <c r="J162" s="260"/>
      <c r="K162" s="260"/>
      <c r="L162" s="260"/>
      <c r="M162" s="260"/>
      <c r="N162" s="260"/>
      <c r="O162" s="536"/>
      <c r="P162" s="536"/>
    </row>
    <row r="163" spans="1:16" ht="12.75" customHeight="1">
      <c r="A163" s="535"/>
      <c r="B163" s="536"/>
      <c r="C163" s="536"/>
      <c r="D163" s="536"/>
      <c r="E163" s="536"/>
      <c r="F163" s="536"/>
      <c r="G163" s="536"/>
      <c r="H163" s="538"/>
      <c r="I163" s="538"/>
      <c r="J163" s="260"/>
      <c r="K163" s="260"/>
      <c r="L163" s="260"/>
      <c r="M163" s="260"/>
      <c r="N163" s="260"/>
      <c r="O163" s="536"/>
      <c r="P163" s="536"/>
    </row>
    <row r="164" spans="1:16" ht="12.75" customHeight="1">
      <c r="A164" s="535"/>
      <c r="B164" s="536"/>
      <c r="C164" s="536"/>
      <c r="D164" s="536"/>
      <c r="E164" s="536"/>
      <c r="F164" s="536"/>
      <c r="G164" s="536"/>
      <c r="H164" s="538"/>
      <c r="I164" s="538"/>
      <c r="J164" s="260"/>
      <c r="K164" s="260"/>
      <c r="L164" s="260"/>
      <c r="M164" s="260"/>
      <c r="N164" s="260"/>
      <c r="O164" s="536"/>
      <c r="P164" s="536"/>
    </row>
    <row r="165" spans="1:16" ht="12.75" customHeight="1">
      <c r="A165" s="535"/>
      <c r="B165" s="536"/>
      <c r="C165" s="536"/>
      <c r="D165" s="536"/>
      <c r="E165" s="536"/>
      <c r="F165" s="536"/>
      <c r="G165" s="536"/>
      <c r="H165" s="538"/>
      <c r="I165" s="538"/>
      <c r="J165" s="260"/>
      <c r="K165" s="260"/>
      <c r="L165" s="260"/>
      <c r="M165" s="260"/>
      <c r="N165" s="260"/>
      <c r="O165" s="536"/>
      <c r="P165" s="536"/>
    </row>
    <row r="166" spans="1:16" ht="12.75" customHeight="1">
      <c r="A166" s="535"/>
      <c r="B166" s="536"/>
      <c r="C166" s="536"/>
      <c r="D166" s="536"/>
      <c r="E166" s="536"/>
      <c r="F166" s="536"/>
      <c r="G166" s="536"/>
      <c r="H166" s="538"/>
      <c r="I166" s="538"/>
      <c r="J166" s="260"/>
      <c r="K166" s="260"/>
      <c r="L166" s="260"/>
      <c r="M166" s="260"/>
      <c r="N166" s="260"/>
      <c r="O166" s="536"/>
      <c r="P166" s="536"/>
    </row>
    <row r="167" spans="1:16" ht="12.75" customHeight="1">
      <c r="A167" s="535"/>
      <c r="B167" s="536"/>
      <c r="C167" s="536"/>
      <c r="D167" s="536"/>
      <c r="E167" s="536"/>
      <c r="F167" s="536"/>
      <c r="G167" s="536"/>
      <c r="H167" s="538"/>
      <c r="I167" s="538"/>
      <c r="J167" s="260"/>
      <c r="K167" s="260"/>
      <c r="L167" s="260"/>
      <c r="M167" s="260"/>
      <c r="N167" s="260"/>
      <c r="O167" s="536"/>
      <c r="P167" s="536"/>
    </row>
    <row r="168" spans="1:16" ht="12.75" customHeight="1">
      <c r="A168" s="535"/>
      <c r="B168" s="536"/>
      <c r="C168" s="536"/>
      <c r="D168" s="536"/>
      <c r="E168" s="536"/>
      <c r="F168" s="536"/>
      <c r="G168" s="536"/>
      <c r="H168" s="538"/>
      <c r="I168" s="538"/>
      <c r="J168" s="260"/>
      <c r="K168" s="260"/>
      <c r="L168" s="260"/>
      <c r="M168" s="260"/>
      <c r="N168" s="260"/>
      <c r="O168" s="536"/>
      <c r="P168" s="536"/>
    </row>
    <row r="169" spans="1:16" ht="12.75" customHeight="1">
      <c r="A169" s="535"/>
      <c r="B169" s="536"/>
      <c r="C169" s="536"/>
      <c r="D169" s="536"/>
      <c r="E169" s="536"/>
      <c r="F169" s="536"/>
      <c r="G169" s="536"/>
      <c r="H169" s="538"/>
      <c r="I169" s="538"/>
      <c r="J169" s="260"/>
      <c r="K169" s="260"/>
      <c r="L169" s="260"/>
      <c r="M169" s="260"/>
      <c r="N169" s="260"/>
      <c r="O169" s="536"/>
      <c r="P169" s="536"/>
    </row>
    <row r="170" spans="1:16" ht="12.75" customHeight="1">
      <c r="A170" s="535"/>
      <c r="B170" s="536"/>
      <c r="C170" s="536"/>
      <c r="D170" s="536"/>
      <c r="E170" s="536"/>
      <c r="F170" s="536"/>
      <c r="G170" s="536"/>
      <c r="H170" s="538"/>
      <c r="I170" s="538"/>
      <c r="J170" s="260"/>
      <c r="K170" s="260"/>
      <c r="L170" s="260"/>
      <c r="M170" s="260"/>
      <c r="N170" s="260"/>
      <c r="O170" s="536"/>
      <c r="P170" s="536"/>
    </row>
    <row r="171" spans="1:16" ht="12.75" customHeight="1">
      <c r="A171" s="535"/>
      <c r="B171" s="536"/>
      <c r="C171" s="536"/>
      <c r="D171" s="536"/>
      <c r="E171" s="536"/>
      <c r="F171" s="536"/>
      <c r="G171" s="536"/>
      <c r="H171" s="538"/>
      <c r="I171" s="538"/>
      <c r="J171" s="260"/>
      <c r="K171" s="260"/>
      <c r="L171" s="260"/>
      <c r="M171" s="260"/>
      <c r="N171" s="260"/>
      <c r="O171" s="536"/>
      <c r="P171" s="536"/>
    </row>
    <row r="172" spans="1:16" ht="12.75" customHeight="1">
      <c r="A172" s="535"/>
      <c r="B172" s="536"/>
      <c r="C172" s="536"/>
      <c r="D172" s="536"/>
      <c r="E172" s="536"/>
      <c r="F172" s="536"/>
      <c r="G172" s="536"/>
      <c r="H172" s="538"/>
      <c r="I172" s="538"/>
      <c r="J172" s="260"/>
      <c r="K172" s="260"/>
      <c r="L172" s="260"/>
      <c r="M172" s="260"/>
      <c r="N172" s="260"/>
      <c r="O172" s="536"/>
      <c r="P172" s="536"/>
    </row>
    <row r="173" spans="1:16" ht="12.75" customHeight="1">
      <c r="A173" s="535"/>
      <c r="B173" s="536"/>
      <c r="C173" s="536"/>
      <c r="D173" s="536"/>
      <c r="E173" s="536"/>
      <c r="F173" s="536"/>
      <c r="G173" s="536"/>
      <c r="H173" s="538"/>
      <c r="I173" s="538"/>
      <c r="J173" s="260"/>
      <c r="K173" s="260"/>
      <c r="L173" s="260"/>
      <c r="M173" s="260"/>
      <c r="N173" s="260"/>
      <c r="O173" s="536"/>
      <c r="P173" s="536"/>
    </row>
    <row r="174" spans="1:16" ht="12.75" customHeight="1">
      <c r="A174" s="535"/>
      <c r="B174" s="536"/>
      <c r="C174" s="536"/>
      <c r="D174" s="536"/>
      <c r="E174" s="536"/>
      <c r="F174" s="536"/>
      <c r="G174" s="536"/>
      <c r="H174" s="538"/>
      <c r="I174" s="538"/>
      <c r="J174" s="260"/>
      <c r="K174" s="260"/>
      <c r="L174" s="260"/>
      <c r="M174" s="260"/>
      <c r="N174" s="260"/>
      <c r="O174" s="536"/>
      <c r="P174" s="536"/>
    </row>
    <row r="175" spans="1:16" ht="12.75" customHeight="1">
      <c r="A175" s="535"/>
      <c r="B175" s="536"/>
      <c r="C175" s="536"/>
      <c r="D175" s="536"/>
      <c r="E175" s="536"/>
      <c r="F175" s="536"/>
      <c r="G175" s="536"/>
      <c r="H175" s="538"/>
      <c r="I175" s="538"/>
      <c r="J175" s="260"/>
      <c r="K175" s="260"/>
      <c r="L175" s="260"/>
      <c r="M175" s="260"/>
      <c r="N175" s="260"/>
      <c r="O175" s="536"/>
      <c r="P175" s="536"/>
    </row>
    <row r="176" spans="1:16" ht="12.75" customHeight="1">
      <c r="A176" s="535"/>
      <c r="B176" s="536"/>
      <c r="C176" s="536"/>
      <c r="D176" s="536"/>
      <c r="E176" s="536"/>
      <c r="F176" s="536"/>
      <c r="G176" s="536"/>
      <c r="H176" s="538"/>
      <c r="I176" s="538"/>
      <c r="J176" s="260"/>
      <c r="K176" s="260"/>
      <c r="L176" s="260"/>
      <c r="M176" s="260"/>
      <c r="N176" s="260"/>
      <c r="O176" s="536"/>
      <c r="P176" s="536"/>
    </row>
    <row r="177" spans="1:16" ht="12.75" customHeight="1">
      <c r="A177" s="535"/>
      <c r="B177" s="536"/>
      <c r="C177" s="536"/>
      <c r="D177" s="536"/>
      <c r="E177" s="536"/>
      <c r="F177" s="536"/>
      <c r="G177" s="536"/>
      <c r="H177" s="538"/>
      <c r="I177" s="538"/>
      <c r="J177" s="260"/>
      <c r="K177" s="260"/>
      <c r="L177" s="260"/>
      <c r="M177" s="260"/>
      <c r="N177" s="260"/>
      <c r="O177" s="536"/>
      <c r="P177" s="536"/>
    </row>
    <row r="178" spans="1:16" ht="12.75" customHeight="1">
      <c r="A178" s="535"/>
      <c r="B178" s="536"/>
      <c r="C178" s="536"/>
      <c r="D178" s="536"/>
      <c r="E178" s="536"/>
      <c r="F178" s="536"/>
      <c r="G178" s="536"/>
      <c r="H178" s="538"/>
      <c r="I178" s="538"/>
      <c r="J178" s="260"/>
      <c r="K178" s="260"/>
      <c r="L178" s="260"/>
      <c r="M178" s="260"/>
      <c r="N178" s="260"/>
      <c r="O178" s="536"/>
      <c r="P178" s="536"/>
    </row>
    <row r="179" spans="1:16" ht="12.75" customHeight="1">
      <c r="A179" s="535"/>
      <c r="B179" s="536"/>
      <c r="C179" s="536"/>
      <c r="D179" s="536"/>
      <c r="E179" s="536"/>
      <c r="F179" s="536"/>
      <c r="G179" s="536"/>
      <c r="H179" s="538"/>
      <c r="I179" s="538"/>
      <c r="J179" s="260"/>
      <c r="K179" s="260"/>
      <c r="L179" s="260"/>
      <c r="M179" s="260"/>
      <c r="N179" s="260"/>
      <c r="O179" s="536"/>
      <c r="P179" s="536"/>
    </row>
    <row r="180" spans="1:16" ht="12.75" customHeight="1">
      <c r="A180" s="535"/>
      <c r="B180" s="536"/>
      <c r="C180" s="536"/>
      <c r="D180" s="536"/>
      <c r="E180" s="536"/>
      <c r="F180" s="536"/>
      <c r="G180" s="536"/>
      <c r="H180" s="538"/>
      <c r="I180" s="538"/>
      <c r="J180" s="260"/>
      <c r="K180" s="260"/>
      <c r="L180" s="260"/>
      <c r="M180" s="260"/>
      <c r="N180" s="260"/>
      <c r="O180" s="536"/>
      <c r="P180" s="536"/>
    </row>
    <row r="181" spans="1:16" ht="12.75" customHeight="1">
      <c r="A181" s="535"/>
      <c r="B181" s="536"/>
      <c r="C181" s="536"/>
      <c r="D181" s="536"/>
      <c r="E181" s="536"/>
      <c r="F181" s="536"/>
      <c r="G181" s="536"/>
      <c r="H181" s="538"/>
      <c r="I181" s="538"/>
      <c r="J181" s="260"/>
      <c r="K181" s="260"/>
      <c r="L181" s="260"/>
      <c r="M181" s="260"/>
      <c r="N181" s="260"/>
      <c r="O181" s="536"/>
      <c r="P181" s="536"/>
    </row>
    <row r="182" spans="1:16" ht="12.75" customHeight="1">
      <c r="A182" s="535"/>
      <c r="B182" s="536"/>
      <c r="C182" s="536"/>
      <c r="D182" s="536"/>
      <c r="E182" s="536"/>
      <c r="F182" s="536"/>
      <c r="G182" s="536"/>
      <c r="H182" s="538"/>
      <c r="I182" s="538"/>
      <c r="J182" s="260"/>
      <c r="K182" s="260"/>
      <c r="L182" s="260"/>
      <c r="M182" s="260"/>
      <c r="N182" s="260"/>
      <c r="O182" s="536"/>
      <c r="P182" s="536"/>
    </row>
    <row r="183" spans="1:16" ht="12.75" customHeight="1">
      <c r="A183" s="535"/>
      <c r="B183" s="536"/>
      <c r="C183" s="536"/>
      <c r="D183" s="536"/>
      <c r="E183" s="536"/>
      <c r="F183" s="536"/>
      <c r="G183" s="536"/>
      <c r="H183" s="538"/>
      <c r="I183" s="538"/>
      <c r="J183" s="260"/>
      <c r="K183" s="260"/>
      <c r="L183" s="260"/>
      <c r="M183" s="260"/>
      <c r="N183" s="260"/>
      <c r="O183" s="536"/>
      <c r="P183" s="536"/>
    </row>
    <row r="184" spans="1:16" ht="12.75" customHeight="1">
      <c r="A184" s="535"/>
      <c r="B184" s="536"/>
      <c r="C184" s="536"/>
      <c r="D184" s="536"/>
      <c r="E184" s="536"/>
      <c r="F184" s="536"/>
      <c r="G184" s="536"/>
      <c r="H184" s="538"/>
      <c r="I184" s="538"/>
      <c r="J184" s="260"/>
      <c r="K184" s="260"/>
      <c r="L184" s="260"/>
      <c r="M184" s="260"/>
      <c r="N184" s="260"/>
      <c r="O184" s="536"/>
      <c r="P184" s="536"/>
    </row>
    <row r="185" spans="1:16" ht="12.75" customHeight="1">
      <c r="A185" s="535"/>
      <c r="B185" s="536"/>
      <c r="C185" s="536"/>
      <c r="D185" s="536"/>
      <c r="E185" s="536"/>
      <c r="F185" s="536"/>
      <c r="G185" s="536"/>
      <c r="H185" s="538"/>
      <c r="I185" s="538"/>
      <c r="J185" s="260"/>
      <c r="K185" s="260"/>
      <c r="L185" s="260"/>
      <c r="M185" s="260"/>
      <c r="N185" s="260"/>
      <c r="O185" s="536"/>
      <c r="P185" s="536"/>
    </row>
    <row r="186" spans="1:16" ht="12.75" customHeight="1">
      <c r="A186" s="535"/>
      <c r="B186" s="536"/>
      <c r="C186" s="536"/>
      <c r="D186" s="536"/>
      <c r="E186" s="536"/>
      <c r="F186" s="536"/>
      <c r="G186" s="536"/>
      <c r="H186" s="538"/>
      <c r="I186" s="538"/>
      <c r="J186" s="260"/>
      <c r="K186" s="260"/>
      <c r="L186" s="260"/>
      <c r="M186" s="260"/>
      <c r="N186" s="260"/>
      <c r="O186" s="536"/>
      <c r="P186" s="536"/>
    </row>
    <row r="187" spans="1:16" ht="12.75" customHeight="1">
      <c r="A187" s="535"/>
      <c r="B187" s="536"/>
      <c r="C187" s="536"/>
      <c r="D187" s="536"/>
      <c r="E187" s="536"/>
      <c r="F187" s="536"/>
      <c r="G187" s="536"/>
      <c r="H187" s="538"/>
      <c r="I187" s="538"/>
      <c r="J187" s="260"/>
      <c r="K187" s="260"/>
      <c r="L187" s="260"/>
      <c r="M187" s="260"/>
      <c r="N187" s="260"/>
      <c r="O187" s="536"/>
      <c r="P187" s="536"/>
    </row>
    <row r="188" spans="1:16" ht="12.75" customHeight="1">
      <c r="A188" s="535"/>
      <c r="B188" s="536"/>
      <c r="C188" s="536"/>
      <c r="D188" s="536"/>
      <c r="E188" s="536"/>
      <c r="F188" s="536"/>
      <c r="G188" s="536"/>
      <c r="H188" s="538"/>
      <c r="I188" s="538"/>
      <c r="J188" s="260"/>
      <c r="K188" s="260"/>
      <c r="L188" s="260"/>
      <c r="M188" s="260"/>
      <c r="N188" s="260"/>
      <c r="O188" s="536"/>
      <c r="P188" s="536"/>
    </row>
    <row r="189" spans="1:16" ht="12.75" customHeight="1">
      <c r="A189" s="535"/>
      <c r="B189" s="536"/>
      <c r="C189" s="536"/>
      <c r="D189" s="536"/>
      <c r="E189" s="536"/>
      <c r="F189" s="536"/>
      <c r="G189" s="536"/>
      <c r="H189" s="538"/>
      <c r="I189" s="538"/>
      <c r="J189" s="260"/>
      <c r="K189" s="260"/>
      <c r="L189" s="260"/>
      <c r="M189" s="260"/>
      <c r="N189" s="260"/>
      <c r="O189" s="536"/>
      <c r="P189" s="536"/>
    </row>
    <row r="190" spans="1:16" ht="12.75" customHeight="1">
      <c r="A190" s="535"/>
      <c r="B190" s="536"/>
      <c r="C190" s="536"/>
      <c r="D190" s="536"/>
      <c r="E190" s="536"/>
      <c r="F190" s="536"/>
      <c r="G190" s="536"/>
      <c r="H190" s="538"/>
      <c r="I190" s="538"/>
      <c r="J190" s="260"/>
      <c r="K190" s="260"/>
      <c r="L190" s="260"/>
      <c r="M190" s="260"/>
      <c r="N190" s="260"/>
      <c r="O190" s="536"/>
      <c r="P190" s="536"/>
    </row>
    <row r="191" spans="1:16" ht="12.75" customHeight="1">
      <c r="A191" s="535"/>
      <c r="B191" s="536"/>
      <c r="C191" s="536"/>
      <c r="D191" s="536"/>
      <c r="E191" s="536"/>
      <c r="F191" s="536"/>
      <c r="G191" s="536"/>
      <c r="H191" s="538"/>
      <c r="I191" s="538"/>
      <c r="J191" s="260"/>
      <c r="K191" s="260"/>
      <c r="L191" s="260"/>
      <c r="M191" s="260"/>
      <c r="N191" s="260"/>
      <c r="O191" s="536"/>
      <c r="P191" s="536"/>
    </row>
    <row r="192" spans="1:16" ht="12.75" customHeight="1">
      <c r="A192" s="535"/>
      <c r="B192" s="536"/>
      <c r="C192" s="536"/>
      <c r="D192" s="536"/>
      <c r="E192" s="536"/>
      <c r="F192" s="536"/>
      <c r="G192" s="536"/>
      <c r="H192" s="538"/>
      <c r="I192" s="538"/>
      <c r="J192" s="260"/>
      <c r="K192" s="260"/>
      <c r="L192" s="260"/>
      <c r="M192" s="260"/>
      <c r="N192" s="260"/>
      <c r="O192" s="536"/>
      <c r="P192" s="536"/>
    </row>
    <row r="193" spans="1:16" ht="12.75" customHeight="1">
      <c r="A193" s="535"/>
      <c r="B193" s="536"/>
      <c r="C193" s="536"/>
      <c r="D193" s="536"/>
      <c r="E193" s="536"/>
      <c r="F193" s="536"/>
      <c r="G193" s="536"/>
      <c r="H193" s="538"/>
      <c r="I193" s="538"/>
      <c r="J193" s="260"/>
      <c r="K193" s="260"/>
      <c r="L193" s="260"/>
      <c r="M193" s="260"/>
      <c r="N193" s="260"/>
      <c r="O193" s="536"/>
      <c r="P193" s="536"/>
    </row>
    <row r="194" spans="1:16" ht="12.75" customHeight="1">
      <c r="A194" s="535"/>
      <c r="B194" s="536"/>
      <c r="C194" s="536"/>
      <c r="D194" s="536"/>
      <c r="E194" s="536"/>
      <c r="F194" s="536"/>
      <c r="G194" s="536"/>
      <c r="H194" s="538"/>
      <c r="I194" s="538"/>
      <c r="J194" s="260"/>
      <c r="K194" s="260"/>
      <c r="L194" s="260"/>
      <c r="M194" s="260"/>
      <c r="N194" s="260"/>
      <c r="O194" s="536"/>
      <c r="P194" s="536"/>
    </row>
    <row r="195" spans="1:16" ht="12.75" customHeight="1">
      <c r="A195" s="535"/>
      <c r="B195" s="536"/>
      <c r="C195" s="536"/>
      <c r="D195" s="536"/>
      <c r="E195" s="536"/>
      <c r="F195" s="536"/>
      <c r="G195" s="536"/>
      <c r="H195" s="538"/>
      <c r="I195" s="538"/>
      <c r="J195" s="260"/>
      <c r="K195" s="260"/>
      <c r="L195" s="260"/>
      <c r="M195" s="260"/>
      <c r="N195" s="260"/>
      <c r="O195" s="536"/>
      <c r="P195" s="536"/>
    </row>
    <row r="196" spans="1:16" ht="12.75" customHeight="1">
      <c r="A196" s="535"/>
      <c r="B196" s="536"/>
      <c r="C196" s="536"/>
      <c r="D196" s="536"/>
      <c r="E196" s="536"/>
      <c r="F196" s="536"/>
      <c r="G196" s="536"/>
      <c r="H196" s="538"/>
      <c r="I196" s="538"/>
      <c r="J196" s="260"/>
      <c r="K196" s="260"/>
      <c r="L196" s="260"/>
      <c r="M196" s="260"/>
      <c r="N196" s="260"/>
      <c r="O196" s="536"/>
      <c r="P196" s="536"/>
    </row>
    <row r="197" spans="1:16" ht="12.75" customHeight="1">
      <c r="A197" s="535"/>
      <c r="B197" s="536"/>
      <c r="C197" s="536"/>
      <c r="D197" s="536"/>
      <c r="E197" s="536"/>
      <c r="F197" s="536"/>
      <c r="G197" s="536"/>
      <c r="H197" s="538"/>
      <c r="I197" s="538"/>
      <c r="J197" s="260"/>
      <c r="K197" s="260"/>
      <c r="L197" s="260"/>
      <c r="M197" s="260"/>
      <c r="N197" s="260"/>
      <c r="O197" s="536"/>
      <c r="P197" s="536"/>
    </row>
    <row r="198" spans="1:16" ht="12.75" customHeight="1">
      <c r="A198" s="535"/>
      <c r="B198" s="536"/>
      <c r="C198" s="536"/>
      <c r="D198" s="536"/>
      <c r="E198" s="536"/>
      <c r="F198" s="536"/>
      <c r="G198" s="536"/>
      <c r="H198" s="538"/>
      <c r="I198" s="538"/>
      <c r="J198" s="260"/>
      <c r="K198" s="260"/>
      <c r="L198" s="260"/>
      <c r="M198" s="260"/>
      <c r="N198" s="260"/>
      <c r="O198" s="536"/>
      <c r="P198" s="536"/>
    </row>
    <row r="199" spans="1:16" ht="12.75" customHeight="1">
      <c r="A199" s="535"/>
      <c r="B199" s="536"/>
      <c r="C199" s="536"/>
      <c r="D199" s="536"/>
      <c r="E199" s="536"/>
      <c r="F199" s="536"/>
      <c r="G199" s="536"/>
      <c r="H199" s="538"/>
      <c r="I199" s="538"/>
      <c r="J199" s="260"/>
      <c r="K199" s="260"/>
      <c r="L199" s="260"/>
      <c r="M199" s="260"/>
      <c r="N199" s="260"/>
      <c r="O199" s="536"/>
      <c r="P199" s="536"/>
    </row>
    <row r="200" spans="1:16" ht="12.75" customHeight="1">
      <c r="A200" s="535"/>
      <c r="B200" s="536"/>
      <c r="C200" s="536"/>
      <c r="D200" s="536"/>
      <c r="E200" s="536"/>
      <c r="F200" s="536"/>
      <c r="G200" s="536"/>
      <c r="H200" s="538"/>
      <c r="I200" s="538"/>
      <c r="J200" s="260"/>
      <c r="K200" s="260"/>
      <c r="L200" s="260"/>
      <c r="M200" s="260"/>
      <c r="N200" s="260"/>
      <c r="O200" s="536"/>
      <c r="P200" s="536"/>
    </row>
    <row r="201" spans="1:16" ht="12.75" customHeight="1">
      <c r="A201" s="535"/>
      <c r="B201" s="536"/>
      <c r="C201" s="536"/>
      <c r="D201" s="536"/>
      <c r="E201" s="536"/>
      <c r="F201" s="536"/>
      <c r="G201" s="536"/>
      <c r="H201" s="538"/>
      <c r="I201" s="538"/>
      <c r="J201" s="260"/>
      <c r="K201" s="260"/>
      <c r="L201" s="260"/>
      <c r="M201" s="260"/>
      <c r="N201" s="260"/>
      <c r="O201" s="536"/>
      <c r="P201" s="536"/>
    </row>
    <row r="202" spans="1:16" ht="12.75" customHeight="1">
      <c r="A202" s="535"/>
      <c r="B202" s="536"/>
      <c r="C202" s="536"/>
      <c r="D202" s="536"/>
      <c r="E202" s="536"/>
      <c r="F202" s="536"/>
      <c r="G202" s="536"/>
      <c r="H202" s="538"/>
      <c r="I202" s="538"/>
      <c r="J202" s="260"/>
      <c r="K202" s="260"/>
      <c r="L202" s="260"/>
      <c r="M202" s="260"/>
      <c r="N202" s="260"/>
      <c r="O202" s="536"/>
      <c r="P202" s="536"/>
    </row>
    <row r="203" spans="1:16" ht="12.75" customHeight="1">
      <c r="A203" s="535"/>
      <c r="B203" s="536"/>
      <c r="C203" s="536"/>
      <c r="D203" s="536"/>
      <c r="E203" s="536"/>
      <c r="F203" s="536"/>
      <c r="G203" s="536"/>
      <c r="H203" s="538"/>
      <c r="I203" s="538"/>
      <c r="J203" s="260"/>
      <c r="K203" s="260"/>
      <c r="L203" s="260"/>
      <c r="M203" s="260"/>
      <c r="N203" s="260"/>
      <c r="O203" s="536"/>
      <c r="P203" s="536"/>
    </row>
    <row r="204" spans="1:16" ht="12.75" customHeight="1">
      <c r="A204" s="535"/>
      <c r="B204" s="536"/>
      <c r="C204" s="536"/>
      <c r="D204" s="536"/>
      <c r="E204" s="536"/>
      <c r="F204" s="536"/>
      <c r="G204" s="536"/>
      <c r="H204" s="538"/>
      <c r="I204" s="538"/>
      <c r="J204" s="260"/>
      <c r="K204" s="260"/>
      <c r="L204" s="260"/>
      <c r="M204" s="260"/>
      <c r="N204" s="260"/>
      <c r="O204" s="536"/>
      <c r="P204" s="536"/>
    </row>
    <row r="205" spans="1:16" ht="12.75" customHeight="1">
      <c r="A205" s="535"/>
      <c r="B205" s="536"/>
      <c r="C205" s="536"/>
      <c r="D205" s="536"/>
      <c r="E205" s="536"/>
      <c r="F205" s="536"/>
      <c r="G205" s="536"/>
      <c r="H205" s="538"/>
      <c r="I205" s="538"/>
      <c r="J205" s="260"/>
      <c r="K205" s="260"/>
      <c r="L205" s="260"/>
      <c r="M205" s="260"/>
      <c r="N205" s="260"/>
      <c r="O205" s="536"/>
      <c r="P205" s="536"/>
    </row>
    <row r="206" spans="1:16" ht="12.75" customHeight="1">
      <c r="A206" s="535"/>
      <c r="B206" s="536"/>
      <c r="C206" s="536"/>
      <c r="D206" s="536"/>
      <c r="E206" s="536"/>
      <c r="F206" s="536"/>
      <c r="G206" s="536"/>
      <c r="H206" s="538"/>
      <c r="I206" s="538"/>
      <c r="J206" s="260"/>
      <c r="K206" s="260"/>
      <c r="L206" s="260"/>
      <c r="M206" s="260"/>
      <c r="N206" s="260"/>
      <c r="O206" s="536"/>
      <c r="P206" s="536"/>
    </row>
    <row r="207" spans="1:16" ht="12.75" customHeight="1">
      <c r="A207" s="535"/>
      <c r="B207" s="536"/>
      <c r="C207" s="536"/>
      <c r="D207" s="536"/>
      <c r="E207" s="536"/>
      <c r="F207" s="536"/>
      <c r="G207" s="536"/>
      <c r="H207" s="538"/>
      <c r="I207" s="538"/>
      <c r="J207" s="260"/>
      <c r="K207" s="260"/>
      <c r="L207" s="260"/>
      <c r="M207" s="260"/>
      <c r="N207" s="260"/>
      <c r="O207" s="536"/>
      <c r="P207" s="536"/>
    </row>
    <row r="208" spans="1:16" ht="12.75" customHeight="1">
      <c r="A208" s="535"/>
      <c r="B208" s="536"/>
      <c r="C208" s="536"/>
      <c r="D208" s="536"/>
      <c r="E208" s="536"/>
      <c r="F208" s="536"/>
      <c r="G208" s="536"/>
      <c r="H208" s="538"/>
      <c r="I208" s="538"/>
      <c r="J208" s="260"/>
      <c r="K208" s="260"/>
      <c r="L208" s="260"/>
      <c r="M208" s="260"/>
      <c r="N208" s="260"/>
      <c r="O208" s="536"/>
      <c r="P208" s="536"/>
    </row>
    <row r="209" spans="1:16" ht="12.75" customHeight="1">
      <c r="A209" s="535"/>
      <c r="B209" s="536"/>
      <c r="C209" s="536"/>
      <c r="D209" s="536"/>
      <c r="E209" s="536"/>
      <c r="F209" s="536"/>
      <c r="G209" s="536"/>
      <c r="H209" s="538"/>
      <c r="I209" s="538"/>
      <c r="J209" s="260"/>
      <c r="K209" s="260"/>
      <c r="L209" s="260"/>
      <c r="M209" s="260"/>
      <c r="N209" s="260"/>
      <c r="O209" s="536"/>
      <c r="P209" s="536"/>
    </row>
    <row r="210" spans="1:16" ht="12.75" customHeight="1">
      <c r="A210" s="535"/>
      <c r="B210" s="536"/>
      <c r="C210" s="536"/>
      <c r="D210" s="536"/>
      <c r="E210" s="536"/>
      <c r="F210" s="536"/>
      <c r="G210" s="536"/>
      <c r="H210" s="538"/>
      <c r="I210" s="538"/>
      <c r="J210" s="260"/>
      <c r="K210" s="260"/>
      <c r="L210" s="260"/>
      <c r="M210" s="260"/>
      <c r="N210" s="260"/>
      <c r="O210" s="536"/>
      <c r="P210" s="536"/>
    </row>
    <row r="211" spans="1:16" ht="12.75" customHeight="1">
      <c r="A211" s="535"/>
      <c r="B211" s="536"/>
      <c r="C211" s="536"/>
      <c r="D211" s="536"/>
      <c r="E211" s="536"/>
      <c r="F211" s="536"/>
      <c r="G211" s="536"/>
      <c r="H211" s="538"/>
      <c r="I211" s="538"/>
      <c r="J211" s="260"/>
      <c r="K211" s="260"/>
      <c r="L211" s="260"/>
      <c r="M211" s="260"/>
      <c r="N211" s="260"/>
      <c r="O211" s="536"/>
      <c r="P211" s="536"/>
    </row>
    <row r="212" spans="1:16" ht="12.75" customHeight="1">
      <c r="A212" s="535"/>
      <c r="B212" s="536"/>
      <c r="C212" s="536"/>
      <c r="D212" s="536"/>
      <c r="E212" s="536"/>
      <c r="F212" s="536"/>
      <c r="G212" s="536"/>
      <c r="H212" s="538"/>
      <c r="I212" s="538"/>
      <c r="J212" s="260"/>
      <c r="K212" s="260"/>
      <c r="L212" s="260"/>
      <c r="M212" s="260"/>
      <c r="N212" s="260"/>
      <c r="O212" s="536"/>
      <c r="P212" s="536"/>
    </row>
    <row r="213" spans="1:16" ht="12.75" customHeight="1">
      <c r="A213" s="535"/>
      <c r="B213" s="536"/>
      <c r="C213" s="536"/>
      <c r="D213" s="536"/>
      <c r="E213" s="536"/>
      <c r="F213" s="536"/>
      <c r="G213" s="536"/>
      <c r="H213" s="538"/>
      <c r="I213" s="538"/>
      <c r="J213" s="260"/>
      <c r="K213" s="260"/>
      <c r="L213" s="260"/>
      <c r="M213" s="260"/>
      <c r="N213" s="260"/>
      <c r="O213" s="536"/>
      <c r="P213" s="536"/>
    </row>
    <row r="214" spans="1:16" ht="12.75" customHeight="1">
      <c r="A214" s="535"/>
      <c r="B214" s="536"/>
      <c r="C214" s="536"/>
      <c r="D214" s="536"/>
      <c r="E214" s="536"/>
      <c r="F214" s="536"/>
      <c r="G214" s="536"/>
      <c r="H214" s="538"/>
      <c r="I214" s="538"/>
      <c r="J214" s="260"/>
      <c r="K214" s="260"/>
      <c r="L214" s="260"/>
      <c r="M214" s="260"/>
      <c r="N214" s="260"/>
      <c r="O214" s="536"/>
      <c r="P214" s="536"/>
    </row>
    <row r="215" spans="1:16" ht="12.75" customHeight="1">
      <c r="A215" s="535"/>
      <c r="B215" s="536"/>
      <c r="C215" s="536"/>
      <c r="D215" s="536"/>
      <c r="E215" s="536"/>
      <c r="F215" s="536"/>
      <c r="G215" s="536"/>
      <c r="H215" s="538"/>
      <c r="I215" s="538"/>
      <c r="J215" s="260"/>
      <c r="K215" s="260"/>
      <c r="L215" s="260"/>
      <c r="M215" s="260"/>
      <c r="N215" s="260"/>
      <c r="O215" s="536"/>
      <c r="P215" s="536"/>
    </row>
    <row r="216" spans="1:16" ht="12.75" customHeight="1">
      <c r="A216" s="535"/>
      <c r="B216" s="536"/>
      <c r="C216" s="536"/>
      <c r="D216" s="536"/>
      <c r="E216" s="536"/>
      <c r="F216" s="536"/>
      <c r="G216" s="536"/>
      <c r="H216" s="538"/>
      <c r="I216" s="538"/>
      <c r="J216" s="260"/>
      <c r="K216" s="260"/>
      <c r="L216" s="260"/>
      <c r="M216" s="260"/>
      <c r="N216" s="260"/>
      <c r="O216" s="536"/>
      <c r="P216" s="536"/>
    </row>
    <row r="217" spans="1:16" ht="12.75" customHeight="1">
      <c r="A217" s="535"/>
      <c r="B217" s="536"/>
      <c r="C217" s="536"/>
      <c r="D217" s="536"/>
      <c r="E217" s="536"/>
      <c r="F217" s="536"/>
      <c r="G217" s="536"/>
      <c r="H217" s="538"/>
      <c r="I217" s="538"/>
      <c r="J217" s="260"/>
      <c r="K217" s="260"/>
      <c r="L217" s="260"/>
      <c r="M217" s="260"/>
      <c r="N217" s="260"/>
      <c r="O217" s="536"/>
      <c r="P217" s="536"/>
    </row>
    <row r="218" spans="1:16" ht="12.75" customHeight="1">
      <c r="A218" s="535"/>
      <c r="B218" s="536"/>
      <c r="C218" s="536"/>
      <c r="D218" s="536"/>
      <c r="E218" s="536"/>
      <c r="F218" s="536"/>
      <c r="G218" s="536"/>
      <c r="H218" s="538"/>
      <c r="I218" s="538"/>
      <c r="J218" s="260"/>
      <c r="K218" s="260"/>
      <c r="L218" s="260"/>
      <c r="M218" s="260"/>
      <c r="N218" s="260"/>
      <c r="O218" s="536"/>
      <c r="P218" s="536"/>
    </row>
    <row r="219" spans="1:16" ht="12.75" customHeight="1">
      <c r="A219" s="535"/>
      <c r="B219" s="536"/>
      <c r="C219" s="536"/>
      <c r="D219" s="536"/>
      <c r="E219" s="536"/>
      <c r="F219" s="536"/>
      <c r="G219" s="536"/>
      <c r="H219" s="538"/>
      <c r="I219" s="538"/>
      <c r="J219" s="260"/>
      <c r="K219" s="260"/>
      <c r="L219" s="260"/>
      <c r="M219" s="260"/>
      <c r="N219" s="260"/>
      <c r="O219" s="536"/>
      <c r="P219" s="536"/>
    </row>
    <row r="220" spans="1:16" ht="12.75" customHeight="1">
      <c r="A220" s="535"/>
      <c r="B220" s="536"/>
      <c r="C220" s="536"/>
      <c r="D220" s="536"/>
      <c r="E220" s="536"/>
      <c r="F220" s="536"/>
      <c r="G220" s="536"/>
      <c r="H220" s="538"/>
      <c r="I220" s="538"/>
      <c r="J220" s="260"/>
      <c r="K220" s="260"/>
      <c r="L220" s="260"/>
      <c r="M220" s="260"/>
      <c r="N220" s="260"/>
      <c r="O220" s="536"/>
      <c r="P220" s="536"/>
    </row>
    <row r="221" spans="1:16" ht="12.75" customHeight="1">
      <c r="A221" s="535"/>
      <c r="B221" s="536"/>
      <c r="C221" s="536"/>
      <c r="D221" s="536"/>
      <c r="E221" s="536"/>
      <c r="F221" s="536"/>
      <c r="G221" s="536"/>
      <c r="H221" s="538"/>
      <c r="I221" s="538"/>
      <c r="J221" s="260"/>
      <c r="K221" s="260"/>
      <c r="L221" s="260"/>
      <c r="M221" s="260"/>
      <c r="N221" s="260"/>
      <c r="O221" s="536"/>
      <c r="P221" s="536"/>
    </row>
    <row r="222" spans="1:16" ht="12.75" customHeight="1">
      <c r="A222" s="535"/>
      <c r="B222" s="536"/>
      <c r="C222" s="536"/>
      <c r="D222" s="536"/>
      <c r="E222" s="536"/>
      <c r="F222" s="536"/>
      <c r="G222" s="536"/>
      <c r="H222" s="538"/>
      <c r="I222" s="538"/>
      <c r="J222" s="260"/>
      <c r="K222" s="260"/>
      <c r="L222" s="260"/>
      <c r="M222" s="260"/>
      <c r="N222" s="260"/>
      <c r="O222" s="536"/>
      <c r="P222" s="536"/>
    </row>
    <row r="223" spans="1:16" ht="12.75" customHeight="1">
      <c r="A223" s="535"/>
      <c r="B223" s="536"/>
      <c r="C223" s="536"/>
      <c r="D223" s="536"/>
      <c r="E223" s="536"/>
      <c r="F223" s="536"/>
      <c r="G223" s="536"/>
      <c r="H223" s="538"/>
      <c r="I223" s="538"/>
      <c r="J223" s="260"/>
      <c r="K223" s="260"/>
      <c r="L223" s="260"/>
      <c r="M223" s="260"/>
      <c r="N223" s="260"/>
      <c r="O223" s="536"/>
      <c r="P223" s="536"/>
    </row>
    <row r="224" spans="1:16" ht="12.75" customHeight="1">
      <c r="A224" s="535"/>
      <c r="B224" s="536"/>
      <c r="C224" s="536"/>
      <c r="D224" s="536"/>
      <c r="E224" s="536"/>
      <c r="F224" s="536"/>
      <c r="G224" s="536"/>
      <c r="H224" s="538"/>
      <c r="I224" s="538"/>
      <c r="J224" s="260"/>
      <c r="K224" s="260"/>
      <c r="L224" s="260"/>
      <c r="M224" s="260"/>
      <c r="N224" s="260"/>
      <c r="O224" s="536"/>
      <c r="P224" s="536"/>
    </row>
    <row r="225" spans="1:16" ht="12.75" customHeight="1">
      <c r="A225" s="535"/>
      <c r="B225" s="536"/>
      <c r="C225" s="536"/>
      <c r="D225" s="536"/>
      <c r="E225" s="536"/>
      <c r="F225" s="536"/>
      <c r="G225" s="536"/>
      <c r="H225" s="538"/>
      <c r="I225" s="538"/>
      <c r="J225" s="260"/>
      <c r="K225" s="260"/>
      <c r="L225" s="260"/>
      <c r="M225" s="260"/>
      <c r="N225" s="260"/>
      <c r="O225" s="536"/>
      <c r="P225" s="536"/>
    </row>
    <row r="226" spans="1:16" ht="12.75" customHeight="1">
      <c r="A226" s="535"/>
      <c r="B226" s="536"/>
      <c r="C226" s="536"/>
      <c r="D226" s="536"/>
      <c r="E226" s="536"/>
      <c r="F226" s="536"/>
      <c r="G226" s="536"/>
      <c r="H226" s="538"/>
      <c r="I226" s="538"/>
      <c r="J226" s="260"/>
      <c r="K226" s="260"/>
      <c r="L226" s="260"/>
      <c r="M226" s="260"/>
      <c r="N226" s="260"/>
      <c r="O226" s="536"/>
      <c r="P226" s="536"/>
    </row>
    <row r="227" spans="1:16" ht="12.75" customHeight="1">
      <c r="A227" s="535"/>
      <c r="B227" s="536"/>
      <c r="C227" s="536"/>
      <c r="D227" s="536"/>
      <c r="E227" s="536"/>
      <c r="F227" s="536"/>
      <c r="G227" s="536"/>
      <c r="H227" s="538"/>
      <c r="I227" s="538"/>
      <c r="J227" s="260"/>
      <c r="K227" s="260"/>
      <c r="L227" s="260"/>
      <c r="M227" s="260"/>
      <c r="N227" s="260"/>
      <c r="O227" s="536"/>
      <c r="P227" s="536"/>
    </row>
    <row r="228" spans="1:16" ht="12.75" customHeight="1">
      <c r="A228" s="535"/>
      <c r="B228" s="536"/>
      <c r="C228" s="536"/>
      <c r="D228" s="536"/>
      <c r="E228" s="536"/>
      <c r="F228" s="536"/>
      <c r="G228" s="536"/>
      <c r="H228" s="538"/>
      <c r="I228" s="538"/>
      <c r="J228" s="260"/>
      <c r="K228" s="260"/>
      <c r="L228" s="260"/>
      <c r="M228" s="260"/>
      <c r="N228" s="260"/>
      <c r="O228" s="536"/>
      <c r="P228" s="536"/>
    </row>
    <row r="229" spans="1:16" ht="12.75" customHeight="1">
      <c r="A229" s="535"/>
      <c r="B229" s="536"/>
      <c r="C229" s="536"/>
      <c r="D229" s="536"/>
      <c r="E229" s="536"/>
      <c r="F229" s="536"/>
      <c r="G229" s="536"/>
      <c r="H229" s="538"/>
      <c r="I229" s="538"/>
      <c r="J229" s="260"/>
      <c r="K229" s="260"/>
      <c r="L229" s="260"/>
      <c r="M229" s="260"/>
      <c r="N229" s="260"/>
      <c r="O229" s="536"/>
      <c r="P229" s="536"/>
    </row>
    <row r="230" spans="1:16" ht="12.75" customHeight="1">
      <c r="A230" s="535"/>
      <c r="B230" s="536"/>
      <c r="C230" s="536"/>
      <c r="D230" s="536"/>
      <c r="E230" s="536"/>
      <c r="F230" s="536"/>
      <c r="G230" s="536"/>
      <c r="H230" s="538"/>
      <c r="I230" s="538"/>
      <c r="J230" s="260"/>
      <c r="K230" s="260"/>
      <c r="L230" s="260"/>
      <c r="M230" s="260"/>
      <c r="N230" s="260"/>
      <c r="O230" s="536"/>
      <c r="P230" s="536"/>
    </row>
    <row r="231" spans="1:16" ht="12.75" customHeight="1">
      <c r="A231" s="535"/>
      <c r="B231" s="536"/>
      <c r="C231" s="536"/>
      <c r="D231" s="536"/>
      <c r="E231" s="536"/>
      <c r="F231" s="536"/>
      <c r="G231" s="536"/>
      <c r="H231" s="538"/>
      <c r="I231" s="538"/>
      <c r="J231" s="260"/>
      <c r="K231" s="260"/>
      <c r="L231" s="260"/>
      <c r="M231" s="260"/>
      <c r="N231" s="260"/>
      <c r="O231" s="536"/>
      <c r="P231" s="536"/>
    </row>
    <row r="232" spans="1:16" ht="12.75" customHeight="1">
      <c r="A232" s="535"/>
      <c r="B232" s="536"/>
      <c r="C232" s="536"/>
      <c r="D232" s="536"/>
      <c r="E232" s="536"/>
      <c r="F232" s="536"/>
      <c r="G232" s="536"/>
      <c r="H232" s="538"/>
      <c r="I232" s="538"/>
      <c r="J232" s="260"/>
      <c r="K232" s="260"/>
      <c r="L232" s="260"/>
      <c r="M232" s="260"/>
      <c r="N232" s="260"/>
      <c r="O232" s="536"/>
      <c r="P232" s="536"/>
    </row>
    <row r="233" spans="1:16" ht="12.75" customHeight="1">
      <c r="A233" s="535"/>
      <c r="B233" s="536"/>
      <c r="C233" s="536"/>
      <c r="D233" s="536"/>
      <c r="E233" s="536"/>
      <c r="F233" s="536"/>
      <c r="G233" s="536"/>
      <c r="H233" s="538"/>
      <c r="I233" s="538"/>
      <c r="J233" s="260"/>
      <c r="K233" s="260"/>
      <c r="L233" s="260"/>
      <c r="M233" s="260"/>
      <c r="N233" s="260"/>
      <c r="O233" s="536"/>
      <c r="P233" s="536"/>
    </row>
    <row r="234" spans="1:16" ht="12.75" customHeight="1">
      <c r="A234" s="535"/>
      <c r="B234" s="536"/>
      <c r="C234" s="536"/>
      <c r="D234" s="536"/>
      <c r="E234" s="536"/>
      <c r="F234" s="536"/>
      <c r="G234" s="536"/>
      <c r="H234" s="538"/>
      <c r="I234" s="538"/>
      <c r="J234" s="260"/>
      <c r="K234" s="260"/>
      <c r="L234" s="260"/>
      <c r="M234" s="260"/>
      <c r="N234" s="260"/>
      <c r="O234" s="536"/>
      <c r="P234" s="536"/>
    </row>
    <row r="235" spans="1:16" ht="12.75" customHeight="1">
      <c r="A235" s="535"/>
      <c r="B235" s="536"/>
      <c r="C235" s="536"/>
      <c r="D235" s="536"/>
      <c r="E235" s="536"/>
      <c r="F235" s="536"/>
      <c r="G235" s="536"/>
      <c r="H235" s="538"/>
      <c r="I235" s="538"/>
      <c r="J235" s="260"/>
      <c r="K235" s="260"/>
      <c r="L235" s="260"/>
      <c r="M235" s="260"/>
      <c r="N235" s="260"/>
      <c r="O235" s="536"/>
      <c r="P235" s="536"/>
    </row>
    <row r="236" spans="1:16" ht="12.75" customHeight="1">
      <c r="A236" s="535"/>
      <c r="B236" s="536"/>
      <c r="C236" s="536"/>
      <c r="D236" s="536"/>
      <c r="E236" s="536"/>
      <c r="F236" s="536"/>
      <c r="G236" s="536"/>
      <c r="H236" s="538"/>
      <c r="I236" s="538"/>
      <c r="J236" s="260"/>
      <c r="K236" s="260"/>
      <c r="L236" s="260"/>
      <c r="M236" s="260"/>
      <c r="N236" s="260"/>
      <c r="O236" s="536"/>
      <c r="P236" s="536"/>
    </row>
    <row r="237" spans="1:16" ht="12.75" customHeight="1">
      <c r="A237" s="535"/>
      <c r="B237" s="536"/>
      <c r="C237" s="536"/>
      <c r="D237" s="536"/>
      <c r="E237" s="536"/>
      <c r="F237" s="536"/>
      <c r="G237" s="536"/>
      <c r="H237" s="538"/>
      <c r="I237" s="538"/>
      <c r="J237" s="260"/>
      <c r="K237" s="260"/>
      <c r="L237" s="260"/>
      <c r="M237" s="260"/>
      <c r="N237" s="260"/>
      <c r="O237" s="536"/>
      <c r="P237" s="536"/>
    </row>
    <row r="238" spans="1:16" ht="12.75" customHeight="1">
      <c r="A238" s="535"/>
      <c r="B238" s="536"/>
      <c r="C238" s="536"/>
      <c r="D238" s="536"/>
      <c r="E238" s="536"/>
      <c r="F238" s="536"/>
      <c r="G238" s="536"/>
      <c r="H238" s="538"/>
      <c r="I238" s="538"/>
      <c r="J238" s="260"/>
      <c r="K238" s="260"/>
      <c r="L238" s="260"/>
      <c r="M238" s="260"/>
      <c r="N238" s="260"/>
      <c r="O238" s="536"/>
      <c r="P238" s="536"/>
    </row>
    <row r="239" spans="1:16" ht="12.75" customHeight="1">
      <c r="A239" s="535"/>
      <c r="B239" s="536"/>
      <c r="C239" s="536"/>
      <c r="D239" s="536"/>
      <c r="E239" s="536"/>
      <c r="F239" s="536"/>
      <c r="G239" s="536"/>
      <c r="H239" s="538"/>
      <c r="I239" s="538"/>
      <c r="J239" s="260"/>
      <c r="K239" s="260"/>
      <c r="L239" s="260"/>
      <c r="M239" s="260"/>
      <c r="N239" s="260"/>
      <c r="O239" s="536"/>
      <c r="P239" s="536"/>
    </row>
    <row r="240" spans="1:16" ht="12.75" customHeight="1">
      <c r="A240" s="535"/>
      <c r="B240" s="536"/>
      <c r="C240" s="536"/>
      <c r="D240" s="536"/>
      <c r="E240" s="536"/>
      <c r="F240" s="536"/>
      <c r="G240" s="536"/>
      <c r="H240" s="538"/>
      <c r="I240" s="538"/>
      <c r="J240" s="260"/>
      <c r="K240" s="260"/>
      <c r="L240" s="260"/>
      <c r="M240" s="260"/>
      <c r="N240" s="260"/>
      <c r="O240" s="536"/>
      <c r="P240" s="536"/>
    </row>
    <row r="241" spans="1:16" ht="12.75" customHeight="1">
      <c r="A241" s="535"/>
      <c r="B241" s="536"/>
      <c r="C241" s="536"/>
      <c r="D241" s="536"/>
      <c r="E241" s="536"/>
      <c r="F241" s="536"/>
      <c r="G241" s="536"/>
      <c r="H241" s="538"/>
      <c r="I241" s="538"/>
      <c r="J241" s="260"/>
      <c r="K241" s="260"/>
      <c r="L241" s="260"/>
      <c r="M241" s="260"/>
      <c r="N241" s="260"/>
      <c r="O241" s="536"/>
      <c r="P241" s="536"/>
    </row>
    <row r="242" spans="1:16" ht="12.75" customHeight="1">
      <c r="A242" s="535"/>
      <c r="B242" s="536"/>
      <c r="C242" s="536"/>
      <c r="D242" s="536"/>
      <c r="E242" s="536"/>
      <c r="F242" s="536"/>
      <c r="G242" s="536"/>
      <c r="H242" s="538"/>
      <c r="I242" s="538"/>
      <c r="J242" s="260"/>
      <c r="K242" s="260"/>
      <c r="L242" s="260"/>
      <c r="M242" s="260"/>
      <c r="N242" s="260"/>
      <c r="O242" s="536"/>
      <c r="P242" s="536"/>
    </row>
    <row r="243" spans="1:16" ht="12.75" customHeight="1">
      <c r="A243" s="535"/>
      <c r="B243" s="536"/>
      <c r="C243" s="536"/>
      <c r="D243" s="536"/>
      <c r="E243" s="536"/>
      <c r="F243" s="536"/>
      <c r="G243" s="536"/>
      <c r="H243" s="538"/>
      <c r="I243" s="538"/>
      <c r="J243" s="260"/>
      <c r="K243" s="260"/>
      <c r="L243" s="260"/>
      <c r="M243" s="260"/>
      <c r="N243" s="260"/>
      <c r="O243" s="536"/>
      <c r="P243" s="536"/>
    </row>
    <row r="244" spans="1:16" ht="12.75" customHeight="1">
      <c r="A244" s="535"/>
      <c r="B244" s="536"/>
      <c r="C244" s="536"/>
      <c r="D244" s="536"/>
      <c r="E244" s="536"/>
      <c r="F244" s="536"/>
      <c r="G244" s="536"/>
      <c r="H244" s="538"/>
      <c r="I244" s="538"/>
      <c r="J244" s="260"/>
      <c r="K244" s="260"/>
      <c r="L244" s="260"/>
      <c r="M244" s="260"/>
      <c r="N244" s="260"/>
      <c r="O244" s="536"/>
      <c r="P244" s="536"/>
    </row>
    <row r="245" spans="1:16" ht="12.75" customHeight="1">
      <c r="A245" s="535"/>
      <c r="B245" s="536"/>
      <c r="C245" s="536"/>
      <c r="D245" s="536"/>
      <c r="E245" s="536"/>
      <c r="F245" s="536"/>
      <c r="G245" s="536"/>
      <c r="H245" s="538"/>
      <c r="I245" s="538"/>
      <c r="J245" s="260"/>
      <c r="K245" s="260"/>
      <c r="L245" s="260"/>
      <c r="M245" s="260"/>
      <c r="N245" s="260"/>
      <c r="O245" s="536"/>
      <c r="P245" s="536"/>
    </row>
    <row r="246" spans="1:16" ht="12.75" customHeight="1">
      <c r="A246" s="535"/>
      <c r="B246" s="536"/>
      <c r="C246" s="536"/>
      <c r="D246" s="536"/>
      <c r="E246" s="536"/>
      <c r="F246" s="536"/>
      <c r="G246" s="536"/>
      <c r="H246" s="538"/>
      <c r="I246" s="538"/>
      <c r="J246" s="260"/>
      <c r="K246" s="260"/>
      <c r="L246" s="260"/>
      <c r="M246" s="260"/>
      <c r="N246" s="260"/>
      <c r="O246" s="536"/>
      <c r="P246" s="536"/>
    </row>
    <row r="247" spans="1:16" ht="12.75" customHeight="1">
      <c r="A247" s="535"/>
      <c r="B247" s="536"/>
      <c r="C247" s="536"/>
      <c r="D247" s="536"/>
      <c r="E247" s="536"/>
      <c r="F247" s="536"/>
      <c r="G247" s="536"/>
      <c r="H247" s="538"/>
      <c r="I247" s="538"/>
      <c r="J247" s="260"/>
      <c r="K247" s="260"/>
      <c r="L247" s="260"/>
      <c r="M247" s="260"/>
      <c r="N247" s="260"/>
      <c r="O247" s="536"/>
      <c r="P247" s="536"/>
    </row>
    <row r="248" spans="1:16" ht="12.75" customHeight="1">
      <c r="A248" s="535"/>
      <c r="B248" s="536"/>
      <c r="C248" s="536"/>
      <c r="D248" s="536"/>
      <c r="E248" s="536"/>
      <c r="F248" s="536"/>
      <c r="G248" s="536"/>
      <c r="H248" s="538"/>
      <c r="I248" s="538"/>
      <c r="J248" s="260"/>
      <c r="K248" s="260"/>
      <c r="L248" s="260"/>
      <c r="M248" s="260"/>
      <c r="N248" s="260"/>
      <c r="O248" s="536"/>
      <c r="P248" s="536"/>
    </row>
    <row r="249" spans="1:16" ht="12.75" customHeight="1">
      <c r="A249" s="535"/>
      <c r="B249" s="536"/>
      <c r="C249" s="536"/>
      <c r="D249" s="536"/>
      <c r="E249" s="536"/>
      <c r="F249" s="536"/>
      <c r="G249" s="536"/>
      <c r="H249" s="538"/>
      <c r="I249" s="538"/>
      <c r="J249" s="260"/>
      <c r="K249" s="260"/>
      <c r="L249" s="260"/>
      <c r="M249" s="260"/>
      <c r="N249" s="260"/>
      <c r="O249" s="536"/>
      <c r="P249" s="536"/>
    </row>
    <row r="250" spans="1:16" ht="12.75" customHeight="1">
      <c r="A250" s="535"/>
      <c r="B250" s="536"/>
      <c r="C250" s="536"/>
      <c r="D250" s="536"/>
      <c r="E250" s="536"/>
      <c r="F250" s="536"/>
      <c r="G250" s="536"/>
      <c r="H250" s="538"/>
      <c r="I250" s="538"/>
      <c r="J250" s="260"/>
      <c r="K250" s="260"/>
      <c r="L250" s="260"/>
      <c r="M250" s="260"/>
      <c r="N250" s="260"/>
      <c r="O250" s="536"/>
      <c r="P250" s="536"/>
    </row>
    <row r="251" spans="1:16" ht="12.75" customHeight="1">
      <c r="A251" s="535"/>
      <c r="B251" s="536"/>
      <c r="C251" s="536"/>
      <c r="D251" s="536"/>
      <c r="E251" s="536"/>
      <c r="F251" s="536"/>
      <c r="G251" s="536"/>
      <c r="H251" s="538"/>
      <c r="I251" s="538"/>
      <c r="J251" s="260"/>
      <c r="K251" s="260"/>
      <c r="L251" s="260"/>
      <c r="M251" s="260"/>
      <c r="N251" s="260"/>
      <c r="O251" s="536"/>
      <c r="P251" s="536"/>
    </row>
    <row r="252" spans="1:16" ht="12.75" customHeight="1">
      <c r="A252" s="535"/>
      <c r="B252" s="536"/>
      <c r="C252" s="536"/>
      <c r="D252" s="536"/>
      <c r="E252" s="536"/>
      <c r="F252" s="536"/>
      <c r="G252" s="536"/>
      <c r="H252" s="538"/>
      <c r="I252" s="538"/>
      <c r="J252" s="260"/>
      <c r="K252" s="260"/>
      <c r="L252" s="260"/>
      <c r="M252" s="260"/>
      <c r="N252" s="260"/>
      <c r="O252" s="536"/>
      <c r="P252" s="536"/>
    </row>
    <row r="253" spans="1:16" ht="12.75" customHeight="1">
      <c r="A253" s="535"/>
      <c r="B253" s="536"/>
      <c r="C253" s="536"/>
      <c r="D253" s="536"/>
      <c r="E253" s="536"/>
      <c r="F253" s="536"/>
      <c r="G253" s="536"/>
      <c r="H253" s="538"/>
      <c r="I253" s="538"/>
      <c r="J253" s="260"/>
      <c r="K253" s="260"/>
      <c r="L253" s="260"/>
      <c r="M253" s="260"/>
      <c r="N253" s="260"/>
      <c r="O253" s="536"/>
      <c r="P253" s="536"/>
    </row>
    <row r="254" spans="1:16" ht="12.75" customHeight="1">
      <c r="A254" s="535"/>
      <c r="B254" s="536"/>
      <c r="C254" s="536"/>
      <c r="D254" s="536"/>
      <c r="E254" s="536"/>
      <c r="F254" s="536"/>
      <c r="G254" s="536"/>
      <c r="H254" s="538"/>
      <c r="I254" s="538"/>
      <c r="J254" s="260"/>
      <c r="K254" s="260"/>
      <c r="L254" s="260"/>
      <c r="M254" s="260"/>
      <c r="N254" s="260"/>
      <c r="O254" s="536"/>
      <c r="P254" s="536"/>
    </row>
    <row r="255" spans="1:16" ht="12.75" customHeight="1">
      <c r="A255" s="535"/>
      <c r="B255" s="536"/>
      <c r="C255" s="536"/>
      <c r="D255" s="536"/>
      <c r="E255" s="536"/>
      <c r="F255" s="536"/>
      <c r="G255" s="536"/>
      <c r="H255" s="538"/>
      <c r="I255" s="538"/>
      <c r="J255" s="260"/>
      <c r="K255" s="260"/>
      <c r="L255" s="260"/>
      <c r="M255" s="260"/>
      <c r="N255" s="260"/>
      <c r="O255" s="536"/>
      <c r="P255" s="536"/>
    </row>
    <row r="256" spans="1:16" ht="12.75" customHeight="1">
      <c r="A256" s="535"/>
      <c r="B256" s="536"/>
      <c r="C256" s="536"/>
      <c r="D256" s="536"/>
      <c r="E256" s="536"/>
      <c r="F256" s="536"/>
      <c r="G256" s="536"/>
      <c r="H256" s="538"/>
      <c r="I256" s="538"/>
      <c r="J256" s="260"/>
      <c r="K256" s="260"/>
      <c r="L256" s="260"/>
      <c r="M256" s="260"/>
      <c r="N256" s="260"/>
      <c r="O256" s="536"/>
      <c r="P256" s="536"/>
    </row>
    <row r="257" spans="1:16" ht="12.75" customHeight="1">
      <c r="A257" s="535"/>
      <c r="B257" s="536"/>
      <c r="C257" s="536"/>
      <c r="D257" s="536"/>
      <c r="E257" s="536"/>
      <c r="F257" s="536"/>
      <c r="G257" s="536"/>
      <c r="H257" s="538"/>
      <c r="I257" s="538"/>
      <c r="J257" s="260"/>
      <c r="K257" s="260"/>
      <c r="L257" s="260"/>
      <c r="M257" s="260"/>
      <c r="N257" s="260"/>
      <c r="O257" s="536"/>
      <c r="P257" s="536"/>
    </row>
    <row r="258" spans="1:16" ht="12.75" customHeight="1">
      <c r="A258" s="535"/>
      <c r="B258" s="536"/>
      <c r="C258" s="536"/>
      <c r="D258" s="536"/>
      <c r="E258" s="536"/>
      <c r="F258" s="536"/>
      <c r="G258" s="536"/>
      <c r="H258" s="538"/>
      <c r="I258" s="538"/>
      <c r="J258" s="260"/>
      <c r="K258" s="260"/>
      <c r="L258" s="260"/>
      <c r="M258" s="260"/>
      <c r="N258" s="260"/>
      <c r="O258" s="536"/>
      <c r="P258" s="536"/>
    </row>
    <row r="259" spans="1:16" ht="12.75" customHeight="1">
      <c r="A259" s="535"/>
      <c r="B259" s="536"/>
      <c r="C259" s="536"/>
      <c r="D259" s="536"/>
      <c r="E259" s="536"/>
      <c r="F259" s="536"/>
      <c r="G259" s="536"/>
      <c r="H259" s="538"/>
      <c r="I259" s="538"/>
      <c r="J259" s="260"/>
      <c r="K259" s="260"/>
      <c r="L259" s="260"/>
      <c r="M259" s="260"/>
      <c r="N259" s="260"/>
      <c r="O259" s="536"/>
      <c r="P259" s="536"/>
    </row>
    <row r="260" spans="1:16" ht="12.75" customHeight="1">
      <c r="A260" s="535"/>
      <c r="B260" s="536"/>
      <c r="C260" s="536"/>
      <c r="D260" s="536"/>
      <c r="E260" s="536"/>
      <c r="F260" s="536"/>
      <c r="G260" s="536"/>
      <c r="H260" s="538"/>
      <c r="I260" s="538"/>
      <c r="J260" s="260"/>
      <c r="K260" s="260"/>
      <c r="L260" s="260"/>
      <c r="M260" s="260"/>
      <c r="N260" s="260"/>
      <c r="O260" s="536"/>
      <c r="P260" s="536"/>
    </row>
    <row r="261" spans="1:16" ht="12.75" customHeight="1">
      <c r="A261" s="535"/>
      <c r="B261" s="536"/>
      <c r="C261" s="536"/>
      <c r="D261" s="536"/>
      <c r="E261" s="536"/>
      <c r="F261" s="536"/>
      <c r="G261" s="536"/>
      <c r="H261" s="538"/>
      <c r="I261" s="538"/>
      <c r="J261" s="260"/>
      <c r="K261" s="260"/>
      <c r="L261" s="260"/>
      <c r="M261" s="260"/>
      <c r="N261" s="260"/>
      <c r="O261" s="536"/>
      <c r="P261" s="536"/>
    </row>
    <row r="262" spans="1:16" ht="12.75" customHeight="1">
      <c r="A262" s="535"/>
      <c r="B262" s="536"/>
      <c r="C262" s="536"/>
      <c r="D262" s="536"/>
      <c r="E262" s="536"/>
      <c r="F262" s="536"/>
      <c r="G262" s="536"/>
      <c r="H262" s="538"/>
      <c r="I262" s="538"/>
      <c r="J262" s="260"/>
      <c r="K262" s="260"/>
      <c r="L262" s="260"/>
      <c r="M262" s="260"/>
      <c r="N262" s="260"/>
      <c r="O262" s="536"/>
      <c r="P262" s="536"/>
    </row>
    <row r="263" spans="1:16" ht="12.75" customHeight="1">
      <c r="A263" s="535"/>
      <c r="B263" s="536"/>
      <c r="C263" s="536"/>
      <c r="D263" s="536"/>
      <c r="E263" s="536"/>
      <c r="F263" s="536"/>
      <c r="G263" s="536"/>
      <c r="H263" s="538"/>
      <c r="I263" s="538"/>
      <c r="J263" s="260"/>
      <c r="K263" s="260"/>
      <c r="L263" s="260"/>
      <c r="M263" s="260"/>
      <c r="N263" s="260"/>
      <c r="O263" s="536"/>
      <c r="P263" s="536"/>
    </row>
    <row r="264" spans="1:16" ht="12.75" customHeight="1">
      <c r="A264" s="535"/>
      <c r="B264" s="536"/>
      <c r="C264" s="536"/>
      <c r="D264" s="536"/>
      <c r="E264" s="536"/>
      <c r="F264" s="536"/>
      <c r="G264" s="536"/>
      <c r="H264" s="538"/>
      <c r="I264" s="538"/>
      <c r="J264" s="260"/>
      <c r="K264" s="260"/>
      <c r="L264" s="260"/>
      <c r="M264" s="260"/>
      <c r="N264" s="260"/>
      <c r="O264" s="536"/>
      <c r="P264" s="536"/>
    </row>
    <row r="265" spans="1:16" ht="12.75" customHeight="1">
      <c r="A265" s="535"/>
      <c r="B265" s="536"/>
      <c r="C265" s="536"/>
      <c r="D265" s="536"/>
      <c r="E265" s="536"/>
      <c r="F265" s="536"/>
      <c r="G265" s="536"/>
      <c r="H265" s="538"/>
      <c r="I265" s="538"/>
      <c r="J265" s="260"/>
      <c r="K265" s="260"/>
      <c r="L265" s="260"/>
      <c r="M265" s="260"/>
      <c r="N265" s="260"/>
      <c r="O265" s="536"/>
      <c r="P265" s="536"/>
    </row>
    <row r="266" spans="1:16" ht="12.75" customHeight="1">
      <c r="A266" s="535"/>
      <c r="B266" s="536"/>
      <c r="C266" s="536"/>
      <c r="D266" s="536"/>
      <c r="E266" s="536"/>
      <c r="F266" s="536"/>
      <c r="G266" s="536"/>
      <c r="H266" s="538"/>
      <c r="I266" s="538"/>
      <c r="J266" s="260"/>
      <c r="K266" s="260"/>
      <c r="L266" s="260"/>
      <c r="M266" s="260"/>
      <c r="N266" s="260"/>
      <c r="O266" s="536"/>
      <c r="P266" s="536"/>
    </row>
    <row r="267" spans="1:16" ht="12.75" customHeight="1">
      <c r="A267" s="535"/>
      <c r="B267" s="536"/>
      <c r="C267" s="536"/>
      <c r="D267" s="536"/>
      <c r="E267" s="536"/>
      <c r="F267" s="536"/>
      <c r="G267" s="536"/>
      <c r="H267" s="538"/>
      <c r="I267" s="538"/>
      <c r="J267" s="260"/>
      <c r="K267" s="260"/>
      <c r="L267" s="260"/>
      <c r="M267" s="260"/>
      <c r="N267" s="260"/>
      <c r="O267" s="536"/>
      <c r="P267" s="536"/>
    </row>
    <row r="268" spans="1:16" ht="12.75" customHeight="1">
      <c r="A268" s="535"/>
      <c r="B268" s="536"/>
      <c r="C268" s="536"/>
      <c r="D268" s="536"/>
      <c r="E268" s="536"/>
      <c r="F268" s="536"/>
      <c r="G268" s="536"/>
      <c r="H268" s="538"/>
      <c r="I268" s="538"/>
      <c r="J268" s="260"/>
      <c r="K268" s="260"/>
      <c r="L268" s="260"/>
      <c r="M268" s="260"/>
      <c r="N268" s="260"/>
      <c r="O268" s="536"/>
      <c r="P268" s="536"/>
    </row>
    <row r="269" spans="1:16" ht="12.75" customHeight="1">
      <c r="A269" s="535"/>
      <c r="B269" s="536"/>
      <c r="C269" s="536"/>
      <c r="D269" s="536"/>
      <c r="E269" s="536"/>
      <c r="F269" s="536"/>
      <c r="G269" s="536"/>
      <c r="H269" s="538"/>
      <c r="I269" s="538"/>
      <c r="J269" s="260"/>
      <c r="K269" s="260"/>
      <c r="L269" s="260"/>
      <c r="M269" s="260"/>
      <c r="N269" s="260"/>
      <c r="O269" s="536"/>
      <c r="P269" s="536"/>
    </row>
    <row r="270" spans="1:16" ht="12.75" customHeight="1">
      <c r="A270" s="535"/>
      <c r="B270" s="536"/>
      <c r="C270" s="536"/>
      <c r="D270" s="536"/>
      <c r="E270" s="536"/>
      <c r="F270" s="536"/>
      <c r="G270" s="536"/>
      <c r="H270" s="538"/>
      <c r="I270" s="538"/>
      <c r="J270" s="260"/>
      <c r="K270" s="260"/>
      <c r="L270" s="260"/>
      <c r="M270" s="260"/>
      <c r="N270" s="260"/>
      <c r="O270" s="536"/>
      <c r="P270" s="536"/>
    </row>
    <row r="271" spans="1:16" ht="12.75" customHeight="1">
      <c r="A271" s="535"/>
      <c r="B271" s="536"/>
      <c r="C271" s="536"/>
      <c r="D271" s="536"/>
      <c r="E271" s="536"/>
      <c r="F271" s="536"/>
      <c r="G271" s="536"/>
      <c r="H271" s="538"/>
      <c r="I271" s="538"/>
      <c r="J271" s="260"/>
      <c r="K271" s="260"/>
      <c r="L271" s="260"/>
      <c r="M271" s="260"/>
      <c r="N271" s="260"/>
      <c r="O271" s="536"/>
      <c r="P271" s="536"/>
    </row>
    <row r="272" spans="1:16" ht="12.75" customHeight="1">
      <c r="A272" s="535"/>
      <c r="B272" s="536"/>
      <c r="C272" s="536"/>
      <c r="D272" s="536"/>
      <c r="E272" s="536"/>
      <c r="F272" s="536"/>
      <c r="G272" s="536"/>
      <c r="H272" s="538"/>
      <c r="I272" s="538"/>
      <c r="J272" s="260"/>
      <c r="K272" s="260"/>
      <c r="L272" s="260"/>
      <c r="M272" s="260"/>
      <c r="N272" s="260"/>
      <c r="O272" s="536"/>
      <c r="P272" s="536"/>
    </row>
    <row r="273" spans="1:16" ht="12.75" customHeight="1">
      <c r="A273" s="535"/>
      <c r="B273" s="536"/>
      <c r="C273" s="536"/>
      <c r="D273" s="536"/>
      <c r="E273" s="536"/>
      <c r="F273" s="536"/>
      <c r="G273" s="536"/>
      <c r="H273" s="538"/>
      <c r="I273" s="538"/>
      <c r="J273" s="260"/>
      <c r="K273" s="260"/>
      <c r="L273" s="260"/>
      <c r="M273" s="260"/>
      <c r="N273" s="260"/>
      <c r="O273" s="536"/>
      <c r="P273" s="536"/>
    </row>
    <row r="274" spans="1:16" ht="12.75" customHeight="1">
      <c r="A274" s="535"/>
      <c r="B274" s="536"/>
      <c r="C274" s="536"/>
      <c r="D274" s="536"/>
      <c r="E274" s="536"/>
      <c r="F274" s="536"/>
      <c r="G274" s="536"/>
      <c r="H274" s="538"/>
      <c r="I274" s="538"/>
      <c r="J274" s="260"/>
      <c r="K274" s="260"/>
      <c r="L274" s="260"/>
      <c r="M274" s="260"/>
      <c r="N274" s="260"/>
      <c r="O274" s="536"/>
      <c r="P274" s="536"/>
    </row>
    <row r="275" spans="1:16" ht="12.75" customHeight="1">
      <c r="A275" s="535"/>
      <c r="B275" s="536"/>
      <c r="C275" s="536"/>
      <c r="D275" s="536"/>
      <c r="E275" s="536"/>
      <c r="F275" s="536"/>
      <c r="G275" s="536"/>
      <c r="H275" s="538"/>
      <c r="I275" s="538"/>
      <c r="J275" s="260"/>
      <c r="K275" s="260"/>
      <c r="L275" s="260"/>
      <c r="M275" s="260"/>
      <c r="N275" s="260"/>
      <c r="O275" s="536"/>
      <c r="P275" s="536"/>
    </row>
    <row r="276" spans="1:16" ht="12.75" customHeight="1">
      <c r="A276" s="535"/>
      <c r="B276" s="536"/>
      <c r="C276" s="536"/>
      <c r="D276" s="536"/>
      <c r="E276" s="536"/>
      <c r="F276" s="536"/>
      <c r="G276" s="536"/>
      <c r="H276" s="538"/>
      <c r="I276" s="538"/>
      <c r="J276" s="260"/>
      <c r="K276" s="260"/>
      <c r="L276" s="260"/>
      <c r="M276" s="260"/>
      <c r="N276" s="260"/>
      <c r="O276" s="536"/>
      <c r="P276" s="536"/>
    </row>
    <row r="277" spans="1:16" ht="12.75" customHeight="1">
      <c r="A277" s="535"/>
      <c r="B277" s="536"/>
      <c r="C277" s="536"/>
      <c r="D277" s="536"/>
      <c r="E277" s="536"/>
      <c r="F277" s="536"/>
      <c r="G277" s="536"/>
      <c r="H277" s="538"/>
      <c r="I277" s="538"/>
      <c r="J277" s="260"/>
      <c r="K277" s="260"/>
      <c r="L277" s="260"/>
      <c r="M277" s="260"/>
      <c r="N277" s="260"/>
      <c r="O277" s="536"/>
      <c r="P277" s="536"/>
    </row>
    <row r="278" spans="1:16" ht="12.75" customHeight="1">
      <c r="A278" s="535"/>
      <c r="B278" s="536"/>
      <c r="C278" s="536"/>
      <c r="D278" s="536"/>
      <c r="E278" s="536"/>
      <c r="F278" s="536"/>
      <c r="G278" s="536"/>
      <c r="H278" s="538"/>
      <c r="I278" s="538"/>
      <c r="J278" s="260"/>
      <c r="K278" s="260"/>
      <c r="L278" s="260"/>
      <c r="M278" s="260"/>
      <c r="N278" s="260"/>
      <c r="O278" s="536"/>
      <c r="P278" s="536"/>
    </row>
    <row r="279" spans="1:16" ht="12.75" customHeight="1">
      <c r="A279" s="535"/>
      <c r="B279" s="536"/>
      <c r="C279" s="536"/>
      <c r="D279" s="536"/>
      <c r="E279" s="536"/>
      <c r="F279" s="536"/>
      <c r="G279" s="536"/>
      <c r="H279" s="538"/>
      <c r="I279" s="538"/>
      <c r="J279" s="260"/>
      <c r="K279" s="260"/>
      <c r="L279" s="260"/>
      <c r="M279" s="260"/>
      <c r="N279" s="260"/>
      <c r="O279" s="536"/>
      <c r="P279" s="536"/>
    </row>
    <row r="280" spans="1:16" ht="12.75" customHeight="1">
      <c r="A280" s="535"/>
      <c r="B280" s="536"/>
      <c r="C280" s="536"/>
      <c r="D280" s="536"/>
      <c r="E280" s="536"/>
      <c r="F280" s="536"/>
      <c r="G280" s="536"/>
      <c r="H280" s="538"/>
      <c r="I280" s="538"/>
      <c r="J280" s="260"/>
      <c r="K280" s="260"/>
      <c r="L280" s="260"/>
      <c r="M280" s="260"/>
      <c r="N280" s="260"/>
      <c r="O280" s="536"/>
      <c r="P280" s="536"/>
    </row>
    <row r="281" spans="1:16" ht="12.75" customHeight="1">
      <c r="A281" s="535"/>
      <c r="B281" s="536"/>
      <c r="C281" s="536"/>
      <c r="D281" s="536"/>
      <c r="E281" s="536"/>
      <c r="F281" s="536"/>
      <c r="G281" s="536"/>
      <c r="H281" s="538"/>
      <c r="I281" s="538"/>
      <c r="J281" s="260"/>
      <c r="K281" s="260"/>
      <c r="L281" s="260"/>
      <c r="M281" s="260"/>
      <c r="N281" s="260"/>
      <c r="O281" s="536"/>
      <c r="P281" s="536"/>
    </row>
    <row r="282" spans="1:16" ht="12.75" customHeight="1">
      <c r="A282" s="535"/>
      <c r="B282" s="536"/>
      <c r="C282" s="536"/>
      <c r="D282" s="536"/>
      <c r="E282" s="536"/>
      <c r="F282" s="536"/>
      <c r="G282" s="536"/>
      <c r="H282" s="538"/>
      <c r="I282" s="538"/>
      <c r="J282" s="260"/>
      <c r="K282" s="260"/>
      <c r="L282" s="260"/>
      <c r="M282" s="260"/>
      <c r="N282" s="260"/>
      <c r="O282" s="536"/>
      <c r="P282" s="536"/>
    </row>
    <row r="283" spans="1:16" ht="12.75" customHeight="1">
      <c r="A283" s="535"/>
      <c r="B283" s="536"/>
      <c r="C283" s="536"/>
      <c r="D283" s="536"/>
      <c r="E283" s="536"/>
      <c r="F283" s="536"/>
      <c r="G283" s="536"/>
      <c r="H283" s="538"/>
      <c r="I283" s="538"/>
      <c r="J283" s="260"/>
      <c r="K283" s="260"/>
      <c r="L283" s="260"/>
      <c r="M283" s="260"/>
      <c r="N283" s="260"/>
      <c r="O283" s="536"/>
      <c r="P283" s="536"/>
    </row>
    <row r="284" spans="1:16" ht="12.75" customHeight="1">
      <c r="A284" s="535"/>
      <c r="B284" s="536"/>
      <c r="C284" s="536"/>
      <c r="D284" s="536"/>
      <c r="E284" s="536"/>
      <c r="F284" s="536"/>
      <c r="G284" s="536"/>
      <c r="H284" s="538"/>
      <c r="I284" s="538"/>
      <c r="J284" s="260"/>
      <c r="K284" s="260"/>
      <c r="L284" s="260"/>
      <c r="M284" s="260"/>
      <c r="N284" s="260"/>
      <c r="O284" s="536"/>
      <c r="P284" s="536"/>
    </row>
    <row r="285" spans="1:16" ht="12.75" customHeight="1">
      <c r="A285" s="535"/>
      <c r="B285" s="536"/>
      <c r="C285" s="536"/>
      <c r="D285" s="536"/>
      <c r="E285" s="536"/>
      <c r="F285" s="536"/>
      <c r="G285" s="536"/>
      <c r="H285" s="538"/>
      <c r="I285" s="538"/>
      <c r="J285" s="260"/>
      <c r="K285" s="260"/>
      <c r="L285" s="260"/>
      <c r="M285" s="260"/>
      <c r="N285" s="260"/>
      <c r="O285" s="536"/>
      <c r="P285" s="536"/>
    </row>
    <row r="286" spans="1:16" ht="12.75" customHeight="1">
      <c r="A286" s="535"/>
      <c r="B286" s="536"/>
      <c r="C286" s="536"/>
      <c r="D286" s="536"/>
      <c r="E286" s="536"/>
      <c r="F286" s="536"/>
      <c r="G286" s="536"/>
      <c r="H286" s="538"/>
      <c r="I286" s="538"/>
      <c r="J286" s="260"/>
      <c r="K286" s="260"/>
      <c r="L286" s="260"/>
      <c r="M286" s="260"/>
      <c r="N286" s="260"/>
      <c r="O286" s="536"/>
      <c r="P286" s="536"/>
    </row>
    <row r="287" spans="1:16" ht="12.75" customHeight="1">
      <c r="A287" s="535"/>
      <c r="B287" s="536"/>
      <c r="C287" s="536"/>
      <c r="D287" s="536"/>
      <c r="E287" s="536"/>
      <c r="F287" s="536"/>
      <c r="G287" s="536"/>
      <c r="H287" s="538"/>
      <c r="I287" s="538"/>
      <c r="J287" s="260"/>
      <c r="K287" s="260"/>
      <c r="L287" s="260"/>
      <c r="M287" s="260"/>
      <c r="N287" s="260"/>
      <c r="O287" s="536"/>
      <c r="P287" s="536"/>
    </row>
    <row r="288" spans="1:16" ht="12.75" customHeight="1">
      <c r="A288" s="535"/>
      <c r="B288" s="536"/>
      <c r="C288" s="536"/>
      <c r="D288" s="536"/>
      <c r="E288" s="536"/>
      <c r="F288" s="536"/>
      <c r="G288" s="536"/>
      <c r="H288" s="538"/>
      <c r="I288" s="538"/>
      <c r="J288" s="260"/>
      <c r="K288" s="260"/>
      <c r="L288" s="260"/>
      <c r="M288" s="260"/>
      <c r="N288" s="260"/>
      <c r="O288" s="536"/>
      <c r="P288" s="536"/>
    </row>
    <row r="289" spans="1:16" ht="12.75" customHeight="1">
      <c r="A289" s="535"/>
      <c r="B289" s="536"/>
      <c r="C289" s="536"/>
      <c r="D289" s="536"/>
      <c r="E289" s="536"/>
      <c r="F289" s="536"/>
      <c r="G289" s="536"/>
      <c r="H289" s="538"/>
      <c r="I289" s="538"/>
      <c r="J289" s="260"/>
      <c r="K289" s="260"/>
      <c r="L289" s="260"/>
      <c r="M289" s="260"/>
      <c r="N289" s="260"/>
      <c r="O289" s="536"/>
      <c r="P289" s="536"/>
    </row>
    <row r="290" spans="1:16" ht="12.75" customHeight="1">
      <c r="A290" s="535"/>
      <c r="B290" s="536"/>
      <c r="C290" s="536"/>
      <c r="D290" s="536"/>
      <c r="E290" s="536"/>
      <c r="F290" s="536"/>
      <c r="G290" s="536"/>
      <c r="H290" s="538"/>
      <c r="I290" s="538"/>
      <c r="J290" s="260"/>
      <c r="K290" s="260"/>
      <c r="L290" s="260"/>
      <c r="M290" s="260"/>
      <c r="N290" s="260"/>
      <c r="O290" s="536"/>
      <c r="P290" s="536"/>
    </row>
    <row r="291" spans="1:16" ht="12.75" customHeight="1">
      <c r="A291" s="535"/>
      <c r="B291" s="536"/>
      <c r="C291" s="536"/>
      <c r="D291" s="536"/>
      <c r="E291" s="536"/>
      <c r="F291" s="536"/>
      <c r="G291" s="536"/>
      <c r="H291" s="538"/>
      <c r="I291" s="538"/>
      <c r="J291" s="260"/>
      <c r="K291" s="260"/>
      <c r="L291" s="260"/>
      <c r="M291" s="260"/>
      <c r="N291" s="260"/>
      <c r="O291" s="536"/>
      <c r="P291" s="536"/>
    </row>
    <row r="292" spans="1:16" ht="12.75" customHeight="1">
      <c r="A292" s="535"/>
      <c r="B292" s="536"/>
      <c r="C292" s="536"/>
      <c r="D292" s="536"/>
      <c r="E292" s="536"/>
      <c r="F292" s="536"/>
      <c r="G292" s="536"/>
      <c r="H292" s="538"/>
      <c r="I292" s="538"/>
      <c r="J292" s="260"/>
      <c r="K292" s="260"/>
      <c r="L292" s="260"/>
      <c r="M292" s="260"/>
      <c r="N292" s="260"/>
      <c r="O292" s="536"/>
      <c r="P292" s="536"/>
    </row>
    <row r="293" spans="1:16" ht="12.75" customHeight="1">
      <c r="A293" s="535"/>
      <c r="B293" s="536"/>
      <c r="C293" s="536"/>
      <c r="D293" s="536"/>
      <c r="E293" s="536"/>
      <c r="F293" s="536"/>
      <c r="G293" s="536"/>
      <c r="H293" s="538"/>
      <c r="I293" s="538"/>
      <c r="J293" s="260"/>
      <c r="K293" s="260"/>
      <c r="L293" s="260"/>
      <c r="M293" s="260"/>
      <c r="N293" s="260"/>
      <c r="O293" s="536"/>
      <c r="P293" s="536"/>
    </row>
    <row r="294" spans="1:16" ht="12.75" customHeight="1">
      <c r="A294" s="535"/>
      <c r="B294" s="536"/>
      <c r="C294" s="536"/>
      <c r="D294" s="536"/>
      <c r="E294" s="536"/>
      <c r="F294" s="536"/>
      <c r="G294" s="536"/>
      <c r="H294" s="538"/>
      <c r="I294" s="538"/>
      <c r="J294" s="260"/>
      <c r="K294" s="260"/>
      <c r="L294" s="260"/>
      <c r="M294" s="260"/>
      <c r="N294" s="260"/>
      <c r="O294" s="536"/>
      <c r="P294" s="536"/>
    </row>
    <row r="295" spans="1:16" ht="12.75" customHeight="1">
      <c r="A295" s="535"/>
      <c r="B295" s="536"/>
      <c r="C295" s="536"/>
      <c r="D295" s="536"/>
      <c r="E295" s="536"/>
      <c r="F295" s="536"/>
      <c r="G295" s="536"/>
      <c r="H295" s="538"/>
      <c r="I295" s="538"/>
      <c r="J295" s="260"/>
      <c r="K295" s="260"/>
      <c r="L295" s="260"/>
      <c r="M295" s="260"/>
      <c r="N295" s="260"/>
      <c r="O295" s="536"/>
      <c r="P295" s="536"/>
    </row>
    <row r="296" spans="1:16" ht="12.75" customHeight="1">
      <c r="A296" s="535"/>
      <c r="B296" s="536"/>
      <c r="C296" s="536"/>
      <c r="D296" s="536"/>
      <c r="E296" s="536"/>
      <c r="F296" s="536"/>
      <c r="G296" s="536"/>
      <c r="H296" s="538"/>
      <c r="I296" s="538"/>
      <c r="J296" s="260"/>
      <c r="K296" s="260"/>
      <c r="L296" s="260"/>
      <c r="M296" s="260"/>
      <c r="N296" s="260"/>
      <c r="O296" s="536"/>
      <c r="P296" s="536"/>
    </row>
    <row r="297" spans="1:16" ht="12.75" customHeight="1">
      <c r="A297" s="535"/>
      <c r="B297" s="536"/>
      <c r="C297" s="536"/>
      <c r="D297" s="536"/>
      <c r="E297" s="536"/>
      <c r="F297" s="536"/>
      <c r="G297" s="536"/>
      <c r="H297" s="538"/>
      <c r="I297" s="538"/>
      <c r="J297" s="260"/>
      <c r="K297" s="260"/>
      <c r="L297" s="260"/>
      <c r="M297" s="260"/>
      <c r="N297" s="260"/>
      <c r="O297" s="536"/>
      <c r="P297" s="536"/>
    </row>
    <row r="298" spans="1:16" ht="12.75" customHeight="1">
      <c r="A298" s="535"/>
      <c r="B298" s="536"/>
      <c r="C298" s="536"/>
      <c r="D298" s="536"/>
      <c r="E298" s="536"/>
      <c r="F298" s="536"/>
      <c r="G298" s="536"/>
      <c r="H298" s="538"/>
      <c r="I298" s="538"/>
      <c r="J298" s="260"/>
      <c r="K298" s="260"/>
      <c r="L298" s="260"/>
      <c r="M298" s="260"/>
      <c r="N298" s="260"/>
      <c r="O298" s="536"/>
      <c r="P298" s="536"/>
    </row>
    <row r="299" spans="1:16" ht="12.75" customHeight="1">
      <c r="A299" s="535"/>
      <c r="B299" s="536"/>
      <c r="C299" s="536"/>
      <c r="D299" s="536"/>
      <c r="E299" s="536"/>
      <c r="F299" s="536"/>
      <c r="G299" s="536"/>
      <c r="H299" s="538"/>
      <c r="I299" s="538"/>
      <c r="J299" s="260"/>
      <c r="K299" s="260"/>
      <c r="L299" s="260"/>
      <c r="M299" s="260"/>
      <c r="N299" s="260"/>
      <c r="O299" s="536"/>
      <c r="P299" s="536"/>
    </row>
    <row r="300" spans="1:16" ht="12.75" customHeight="1">
      <c r="A300" s="535"/>
      <c r="B300" s="536"/>
      <c r="C300" s="536"/>
      <c r="D300" s="536"/>
      <c r="E300" s="536"/>
      <c r="F300" s="536"/>
      <c r="G300" s="536"/>
      <c r="H300" s="538"/>
      <c r="I300" s="538"/>
      <c r="J300" s="260"/>
      <c r="K300" s="260"/>
      <c r="L300" s="260"/>
      <c r="M300" s="260"/>
      <c r="N300" s="260"/>
      <c r="O300" s="536"/>
      <c r="P300" s="536"/>
    </row>
    <row r="301" spans="1:16" ht="12.75" customHeight="1">
      <c r="A301" s="535"/>
      <c r="B301" s="536"/>
      <c r="C301" s="536"/>
      <c r="D301" s="536"/>
      <c r="E301" s="536"/>
      <c r="F301" s="536"/>
      <c r="G301" s="536"/>
      <c r="H301" s="538"/>
      <c r="I301" s="538"/>
      <c r="J301" s="260"/>
      <c r="K301" s="260"/>
      <c r="L301" s="260"/>
      <c r="M301" s="260"/>
      <c r="N301" s="260"/>
      <c r="O301" s="536"/>
      <c r="P301" s="536"/>
    </row>
    <row r="302" spans="1:16" ht="12.75" customHeight="1">
      <c r="A302" s="535"/>
      <c r="B302" s="536"/>
      <c r="C302" s="536"/>
      <c r="D302" s="536"/>
      <c r="E302" s="536"/>
      <c r="F302" s="536"/>
      <c r="G302" s="536"/>
      <c r="H302" s="538"/>
      <c r="I302" s="538"/>
      <c r="J302" s="260"/>
      <c r="K302" s="260"/>
      <c r="L302" s="260"/>
      <c r="M302" s="260"/>
      <c r="N302" s="260"/>
      <c r="O302" s="536"/>
      <c r="P302" s="536"/>
    </row>
    <row r="303" spans="1:16" ht="12.75" customHeight="1">
      <c r="A303" s="535"/>
      <c r="B303" s="536"/>
      <c r="C303" s="536"/>
      <c r="D303" s="536"/>
      <c r="E303" s="536"/>
      <c r="F303" s="536"/>
      <c r="G303" s="536"/>
      <c r="H303" s="538"/>
      <c r="I303" s="538"/>
      <c r="J303" s="260"/>
      <c r="K303" s="260"/>
      <c r="L303" s="260"/>
      <c r="M303" s="260"/>
      <c r="N303" s="260"/>
      <c r="O303" s="536"/>
      <c r="P303" s="536"/>
    </row>
    <row r="304" spans="1:16" ht="12.75" customHeight="1">
      <c r="A304" s="535"/>
      <c r="B304" s="536"/>
      <c r="C304" s="536"/>
      <c r="D304" s="536"/>
      <c r="E304" s="536"/>
      <c r="F304" s="536"/>
      <c r="G304" s="536"/>
      <c r="H304" s="538"/>
      <c r="I304" s="538"/>
      <c r="J304" s="260"/>
      <c r="K304" s="260"/>
      <c r="L304" s="260"/>
      <c r="M304" s="260"/>
      <c r="N304" s="260"/>
      <c r="O304" s="536"/>
      <c r="P304" s="536"/>
    </row>
    <row r="305" spans="1:16" ht="12.75" customHeight="1">
      <c r="A305" s="535"/>
      <c r="B305" s="536"/>
      <c r="C305" s="536"/>
      <c r="D305" s="536"/>
      <c r="E305" s="536"/>
      <c r="F305" s="536"/>
      <c r="G305" s="536"/>
      <c r="H305" s="538"/>
      <c r="I305" s="538"/>
      <c r="J305" s="260"/>
      <c r="K305" s="260"/>
      <c r="L305" s="260"/>
      <c r="M305" s="260"/>
      <c r="N305" s="260"/>
      <c r="O305" s="536"/>
      <c r="P305" s="536"/>
    </row>
    <row r="306" spans="1:16" ht="12.75" customHeight="1">
      <c r="A306" s="535"/>
      <c r="B306" s="536"/>
      <c r="C306" s="536"/>
      <c r="D306" s="536"/>
      <c r="E306" s="536"/>
      <c r="F306" s="536"/>
      <c r="G306" s="536"/>
      <c r="H306" s="538"/>
      <c r="I306" s="538"/>
      <c r="J306" s="260"/>
      <c r="K306" s="260"/>
      <c r="L306" s="260"/>
      <c r="M306" s="260"/>
      <c r="N306" s="260"/>
      <c r="O306" s="536"/>
      <c r="P306" s="536"/>
    </row>
    <row r="307" spans="1:16" ht="12.75" customHeight="1">
      <c r="A307" s="535"/>
      <c r="B307" s="536"/>
      <c r="C307" s="536"/>
      <c r="D307" s="536"/>
      <c r="E307" s="536"/>
      <c r="F307" s="536"/>
      <c r="G307" s="536"/>
      <c r="H307" s="538"/>
      <c r="I307" s="538"/>
      <c r="J307" s="260"/>
      <c r="K307" s="260"/>
      <c r="L307" s="260"/>
      <c r="M307" s="260"/>
      <c r="N307" s="260"/>
      <c r="O307" s="536"/>
      <c r="P307" s="536"/>
    </row>
    <row r="308" spans="1:16" ht="12.75" customHeight="1">
      <c r="A308" s="535"/>
      <c r="B308" s="536"/>
      <c r="C308" s="536"/>
      <c r="D308" s="536"/>
      <c r="E308" s="536"/>
      <c r="F308" s="536"/>
      <c r="G308" s="536"/>
      <c r="H308" s="538"/>
      <c r="I308" s="538"/>
      <c r="J308" s="260"/>
      <c r="K308" s="260"/>
      <c r="L308" s="260"/>
      <c r="M308" s="260"/>
      <c r="N308" s="260"/>
      <c r="O308" s="536"/>
      <c r="P308" s="536"/>
    </row>
    <row r="309" spans="1:16" ht="12.75" customHeight="1">
      <c r="A309" s="535"/>
      <c r="B309" s="536"/>
      <c r="C309" s="536"/>
      <c r="D309" s="536"/>
      <c r="E309" s="536"/>
      <c r="F309" s="536"/>
      <c r="G309" s="536"/>
      <c r="H309" s="538"/>
      <c r="I309" s="538"/>
      <c r="J309" s="260"/>
      <c r="K309" s="260"/>
      <c r="L309" s="260"/>
      <c r="M309" s="260"/>
      <c r="N309" s="260"/>
      <c r="O309" s="536"/>
      <c r="P309" s="536"/>
    </row>
    <row r="310" spans="1:16" ht="12.75" customHeight="1">
      <c r="A310" s="535"/>
      <c r="B310" s="536"/>
      <c r="C310" s="536"/>
      <c r="D310" s="536"/>
      <c r="E310" s="536"/>
      <c r="F310" s="536"/>
      <c r="G310" s="536"/>
      <c r="H310" s="538"/>
      <c r="I310" s="538"/>
      <c r="J310" s="260"/>
      <c r="K310" s="260"/>
      <c r="L310" s="260"/>
      <c r="M310" s="260"/>
      <c r="N310" s="260"/>
      <c r="O310" s="536"/>
      <c r="P310" s="536"/>
    </row>
    <row r="311" spans="1:16" ht="12.75" customHeight="1">
      <c r="A311" s="535"/>
      <c r="B311" s="536"/>
      <c r="C311" s="536"/>
      <c r="D311" s="536"/>
      <c r="E311" s="536"/>
      <c r="F311" s="536"/>
      <c r="G311" s="536"/>
      <c r="H311" s="538"/>
      <c r="I311" s="538"/>
      <c r="J311" s="260"/>
      <c r="K311" s="260"/>
      <c r="L311" s="260"/>
      <c r="M311" s="260"/>
      <c r="N311" s="260"/>
      <c r="O311" s="536"/>
      <c r="P311" s="536"/>
    </row>
    <row r="312" spans="1:16" ht="12.75" customHeight="1">
      <c r="A312" s="535"/>
      <c r="B312" s="536"/>
      <c r="C312" s="536"/>
      <c r="D312" s="536"/>
      <c r="E312" s="536"/>
      <c r="F312" s="536"/>
      <c r="G312" s="536"/>
      <c r="H312" s="538"/>
      <c r="I312" s="538"/>
      <c r="J312" s="260"/>
      <c r="K312" s="260"/>
      <c r="L312" s="260"/>
      <c r="M312" s="260"/>
      <c r="N312" s="260"/>
      <c r="O312" s="536"/>
      <c r="P312" s="536"/>
    </row>
    <row r="313" spans="1:16" ht="12.75" customHeight="1">
      <c r="A313" s="535"/>
      <c r="B313" s="536"/>
      <c r="C313" s="536"/>
      <c r="D313" s="536"/>
      <c r="E313" s="536"/>
      <c r="F313" s="536"/>
      <c r="G313" s="536"/>
      <c r="H313" s="538"/>
      <c r="I313" s="538"/>
      <c r="J313" s="260"/>
      <c r="K313" s="260"/>
      <c r="L313" s="260"/>
      <c r="M313" s="260"/>
      <c r="N313" s="260"/>
      <c r="O313" s="536"/>
      <c r="P313" s="536"/>
    </row>
    <row r="314" spans="1:16" ht="12.75" customHeight="1">
      <c r="A314" s="535"/>
      <c r="B314" s="536"/>
      <c r="C314" s="536"/>
      <c r="D314" s="536"/>
      <c r="E314" s="536"/>
      <c r="F314" s="536"/>
      <c r="G314" s="536"/>
      <c r="H314" s="538"/>
      <c r="I314" s="538"/>
      <c r="J314" s="260"/>
      <c r="K314" s="260"/>
      <c r="L314" s="260"/>
      <c r="M314" s="260"/>
      <c r="N314" s="260"/>
      <c r="O314" s="536"/>
      <c r="P314" s="536"/>
    </row>
    <row r="315" spans="1:16" ht="12.75" customHeight="1">
      <c r="A315" s="535"/>
      <c r="B315" s="536"/>
      <c r="C315" s="536"/>
      <c r="D315" s="536"/>
      <c r="E315" s="536"/>
      <c r="F315" s="536"/>
      <c r="G315" s="536"/>
      <c r="H315" s="538"/>
      <c r="I315" s="538"/>
      <c r="J315" s="260"/>
      <c r="K315" s="260"/>
      <c r="L315" s="260"/>
      <c r="M315" s="260"/>
      <c r="N315" s="260"/>
      <c r="O315" s="536"/>
      <c r="P315" s="536"/>
    </row>
    <row r="316" spans="1:16" ht="12.75" customHeight="1">
      <c r="A316" s="535"/>
      <c r="B316" s="536"/>
      <c r="C316" s="536"/>
      <c r="D316" s="536"/>
      <c r="E316" s="536"/>
      <c r="F316" s="536"/>
      <c r="G316" s="536"/>
      <c r="H316" s="538"/>
      <c r="I316" s="538"/>
      <c r="J316" s="260"/>
      <c r="K316" s="260"/>
      <c r="L316" s="260"/>
      <c r="M316" s="260"/>
      <c r="N316" s="260"/>
      <c r="O316" s="536"/>
      <c r="P316" s="536"/>
    </row>
    <row r="317" spans="1:16" ht="12.75" customHeight="1">
      <c r="A317" s="535"/>
      <c r="B317" s="536"/>
      <c r="C317" s="536"/>
      <c r="D317" s="536"/>
      <c r="E317" s="536"/>
      <c r="F317" s="536"/>
      <c r="G317" s="536"/>
      <c r="H317" s="538"/>
      <c r="I317" s="538"/>
      <c r="J317" s="260"/>
      <c r="K317" s="260"/>
      <c r="L317" s="260"/>
      <c r="M317" s="260"/>
      <c r="N317" s="260"/>
      <c r="O317" s="536"/>
      <c r="P317" s="536"/>
    </row>
    <row r="318" spans="1:16" ht="12.75" customHeight="1">
      <c r="A318" s="535"/>
      <c r="B318" s="536"/>
      <c r="C318" s="536"/>
      <c r="D318" s="536"/>
      <c r="E318" s="536"/>
      <c r="F318" s="536"/>
      <c r="G318" s="536"/>
      <c r="H318" s="538"/>
      <c r="I318" s="538"/>
      <c r="J318" s="260"/>
      <c r="K318" s="260"/>
      <c r="L318" s="260"/>
      <c r="M318" s="260"/>
      <c r="N318" s="260"/>
      <c r="O318" s="536"/>
      <c r="P318" s="536"/>
    </row>
    <row r="319" spans="1:16" ht="12.75" customHeight="1">
      <c r="A319" s="535"/>
      <c r="B319" s="536"/>
      <c r="C319" s="536"/>
      <c r="D319" s="536"/>
      <c r="E319" s="536"/>
      <c r="F319" s="536"/>
      <c r="G319" s="536"/>
      <c r="H319" s="538"/>
      <c r="I319" s="538"/>
      <c r="J319" s="260"/>
      <c r="K319" s="260"/>
      <c r="L319" s="260"/>
      <c r="M319" s="260"/>
      <c r="N319" s="260"/>
      <c r="O319" s="536"/>
      <c r="P319" s="536"/>
    </row>
    <row r="320" spans="1:16" ht="12.75" customHeight="1">
      <c r="A320" s="535"/>
      <c r="B320" s="536"/>
      <c r="C320" s="536"/>
      <c r="D320" s="536"/>
      <c r="E320" s="536"/>
      <c r="F320" s="536"/>
      <c r="G320" s="536"/>
      <c r="H320" s="538"/>
      <c r="I320" s="538"/>
      <c r="J320" s="260"/>
      <c r="K320" s="260"/>
      <c r="L320" s="260"/>
      <c r="M320" s="260"/>
      <c r="N320" s="260"/>
      <c r="O320" s="536"/>
      <c r="P320" s="536"/>
    </row>
    <row r="321" spans="1:16" ht="12.75" customHeight="1">
      <c r="A321" s="535"/>
      <c r="B321" s="536"/>
      <c r="C321" s="536"/>
      <c r="D321" s="536"/>
      <c r="E321" s="536"/>
      <c r="F321" s="536"/>
      <c r="G321" s="536"/>
      <c r="H321" s="538"/>
      <c r="I321" s="538"/>
      <c r="J321" s="260"/>
      <c r="K321" s="260"/>
      <c r="L321" s="260"/>
      <c r="M321" s="260"/>
      <c r="N321" s="260"/>
      <c r="O321" s="536"/>
      <c r="P321" s="536"/>
    </row>
    <row r="322" spans="1:16" ht="12.75" customHeight="1">
      <c r="A322" s="535"/>
      <c r="B322" s="536"/>
      <c r="C322" s="536"/>
      <c r="D322" s="536"/>
      <c r="E322" s="536"/>
      <c r="F322" s="536"/>
      <c r="G322" s="536"/>
      <c r="H322" s="538"/>
      <c r="I322" s="538"/>
      <c r="J322" s="260"/>
      <c r="K322" s="260"/>
      <c r="L322" s="260"/>
      <c r="M322" s="260"/>
      <c r="N322" s="260"/>
      <c r="O322" s="536"/>
      <c r="P322" s="536"/>
    </row>
    <row r="323" spans="1:16" ht="12.75" customHeight="1">
      <c r="A323" s="535"/>
      <c r="B323" s="536"/>
      <c r="C323" s="536"/>
      <c r="D323" s="536"/>
      <c r="E323" s="536"/>
      <c r="F323" s="536"/>
      <c r="G323" s="536"/>
      <c r="H323" s="538"/>
      <c r="I323" s="538"/>
      <c r="J323" s="260"/>
      <c r="K323" s="260"/>
      <c r="L323" s="260"/>
      <c r="M323" s="260"/>
      <c r="N323" s="260"/>
      <c r="O323" s="536"/>
      <c r="P323" s="536"/>
    </row>
    <row r="324" spans="1:16" ht="12.75" customHeight="1">
      <c r="A324" s="535"/>
      <c r="B324" s="536"/>
      <c r="C324" s="536"/>
      <c r="D324" s="536"/>
      <c r="E324" s="536"/>
      <c r="F324" s="536"/>
      <c r="G324" s="536"/>
      <c r="H324" s="538"/>
      <c r="I324" s="538"/>
      <c r="J324" s="260"/>
      <c r="K324" s="260"/>
      <c r="L324" s="260"/>
      <c r="M324" s="260"/>
      <c r="N324" s="260"/>
      <c r="O324" s="536"/>
      <c r="P324" s="536"/>
    </row>
    <row r="325" spans="1:16" ht="12.75" customHeight="1">
      <c r="A325" s="535"/>
      <c r="B325" s="536"/>
      <c r="C325" s="536"/>
      <c r="D325" s="536"/>
      <c r="E325" s="536"/>
      <c r="F325" s="536"/>
      <c r="G325" s="536"/>
      <c r="H325" s="538"/>
      <c r="I325" s="538"/>
      <c r="J325" s="260"/>
      <c r="K325" s="260"/>
      <c r="L325" s="260"/>
      <c r="M325" s="260"/>
      <c r="N325" s="260"/>
      <c r="O325" s="536"/>
      <c r="P325" s="536"/>
    </row>
    <row r="326" spans="1:16" ht="12.75" customHeight="1">
      <c r="A326" s="535"/>
      <c r="B326" s="536"/>
      <c r="C326" s="536"/>
      <c r="D326" s="536"/>
      <c r="E326" s="536"/>
      <c r="F326" s="536"/>
      <c r="G326" s="536"/>
      <c r="H326" s="538"/>
      <c r="I326" s="538"/>
      <c r="J326" s="260"/>
      <c r="K326" s="260"/>
      <c r="L326" s="260"/>
      <c r="M326" s="260"/>
      <c r="N326" s="260"/>
      <c r="O326" s="536"/>
      <c r="P326" s="536"/>
    </row>
    <row r="327" spans="1:16" ht="12.75" customHeight="1">
      <c r="A327" s="535"/>
      <c r="B327" s="536"/>
      <c r="C327" s="536"/>
      <c r="D327" s="536"/>
      <c r="E327" s="536"/>
      <c r="F327" s="536"/>
      <c r="G327" s="536"/>
      <c r="H327" s="538"/>
      <c r="I327" s="538"/>
      <c r="J327" s="260"/>
      <c r="K327" s="260"/>
      <c r="L327" s="260"/>
      <c r="M327" s="260"/>
      <c r="N327" s="260"/>
      <c r="O327" s="536"/>
      <c r="P327" s="536"/>
    </row>
    <row r="328" spans="1:16" ht="12.75" customHeight="1">
      <c r="A328" s="535"/>
      <c r="B328" s="536"/>
      <c r="C328" s="536"/>
      <c r="D328" s="536"/>
      <c r="E328" s="536"/>
      <c r="F328" s="536"/>
      <c r="G328" s="536"/>
      <c r="H328" s="538"/>
      <c r="I328" s="538"/>
      <c r="J328" s="260"/>
      <c r="K328" s="260"/>
      <c r="L328" s="260"/>
      <c r="M328" s="260"/>
      <c r="N328" s="260"/>
      <c r="O328" s="536"/>
      <c r="P328" s="536"/>
    </row>
    <row r="329" spans="1:16" ht="12.75" customHeight="1">
      <c r="A329" s="535"/>
      <c r="B329" s="536"/>
      <c r="C329" s="536"/>
      <c r="D329" s="536"/>
      <c r="E329" s="536"/>
      <c r="F329" s="536"/>
      <c r="G329" s="536"/>
      <c r="H329" s="538"/>
      <c r="I329" s="538"/>
      <c r="J329" s="260"/>
      <c r="K329" s="260"/>
      <c r="L329" s="260"/>
      <c r="M329" s="260"/>
      <c r="N329" s="260"/>
      <c r="O329" s="536"/>
      <c r="P329" s="536"/>
    </row>
    <row r="330" spans="1:16" ht="12.75" customHeight="1">
      <c r="A330" s="535"/>
      <c r="B330" s="536"/>
      <c r="C330" s="536"/>
      <c r="D330" s="536"/>
      <c r="E330" s="536"/>
      <c r="F330" s="536"/>
      <c r="G330" s="536"/>
      <c r="H330" s="538"/>
      <c r="I330" s="538"/>
      <c r="J330" s="260"/>
      <c r="K330" s="260"/>
      <c r="L330" s="260"/>
      <c r="M330" s="260"/>
      <c r="N330" s="260"/>
      <c r="O330" s="536"/>
      <c r="P330" s="536"/>
    </row>
    <row r="331" spans="1:16" ht="12.75" customHeight="1">
      <c r="A331" s="535"/>
      <c r="B331" s="536"/>
      <c r="C331" s="536"/>
      <c r="D331" s="536"/>
      <c r="E331" s="536"/>
      <c r="F331" s="536"/>
      <c r="G331" s="536"/>
      <c r="H331" s="538"/>
      <c r="I331" s="538"/>
      <c r="J331" s="260"/>
      <c r="K331" s="260"/>
      <c r="L331" s="260"/>
      <c r="M331" s="260"/>
      <c r="N331" s="260"/>
      <c r="O331" s="536"/>
      <c r="P331" s="536"/>
    </row>
    <row r="332" spans="1:16" ht="12.75" customHeight="1">
      <c r="A332" s="535"/>
      <c r="B332" s="536"/>
      <c r="C332" s="536"/>
      <c r="D332" s="536"/>
      <c r="E332" s="536"/>
      <c r="F332" s="536"/>
      <c r="G332" s="536"/>
      <c r="H332" s="538"/>
      <c r="I332" s="538"/>
      <c r="J332" s="260"/>
      <c r="K332" s="260"/>
      <c r="L332" s="260"/>
      <c r="M332" s="260"/>
      <c r="N332" s="260"/>
      <c r="O332" s="536"/>
      <c r="P332" s="536"/>
    </row>
    <row r="333" spans="1:16" ht="12.75" customHeight="1">
      <c r="A333" s="535"/>
      <c r="B333" s="536"/>
      <c r="C333" s="536"/>
      <c r="D333" s="536"/>
      <c r="E333" s="536"/>
      <c r="F333" s="536"/>
      <c r="G333" s="536"/>
      <c r="H333" s="538"/>
      <c r="I333" s="538"/>
      <c r="J333" s="260"/>
      <c r="K333" s="260"/>
      <c r="L333" s="260"/>
      <c r="M333" s="260"/>
      <c r="N333" s="260"/>
      <c r="O333" s="536"/>
      <c r="P333" s="536"/>
    </row>
    <row r="334" spans="1:16" ht="12.75" customHeight="1">
      <c r="A334" s="535"/>
      <c r="B334" s="536"/>
      <c r="C334" s="536"/>
      <c r="D334" s="536"/>
      <c r="E334" s="536"/>
      <c r="F334" s="536"/>
      <c r="G334" s="536"/>
      <c r="H334" s="538"/>
      <c r="I334" s="538"/>
      <c r="J334" s="260"/>
      <c r="K334" s="260"/>
      <c r="L334" s="260"/>
      <c r="M334" s="260"/>
      <c r="N334" s="260"/>
      <c r="O334" s="536"/>
      <c r="P334" s="536"/>
    </row>
    <row r="335" spans="1:16" ht="12.75" customHeight="1">
      <c r="A335" s="535"/>
      <c r="B335" s="536"/>
      <c r="C335" s="536"/>
      <c r="D335" s="536"/>
      <c r="E335" s="536"/>
      <c r="F335" s="536"/>
      <c r="G335" s="536"/>
      <c r="H335" s="538"/>
      <c r="I335" s="538"/>
      <c r="J335" s="260"/>
      <c r="K335" s="260"/>
      <c r="L335" s="260"/>
      <c r="M335" s="260"/>
      <c r="N335" s="260"/>
      <c r="O335" s="536"/>
      <c r="P335" s="536"/>
    </row>
    <row r="336" spans="1:16" ht="12.75" customHeight="1">
      <c r="A336" s="535"/>
      <c r="B336" s="536"/>
      <c r="C336" s="536"/>
      <c r="D336" s="536"/>
      <c r="E336" s="536"/>
      <c r="F336" s="536"/>
      <c r="G336" s="536"/>
      <c r="H336" s="538"/>
      <c r="I336" s="538"/>
      <c r="J336" s="260"/>
      <c r="K336" s="260"/>
      <c r="L336" s="260"/>
      <c r="M336" s="260"/>
      <c r="N336" s="260"/>
      <c r="O336" s="536"/>
      <c r="P336" s="536"/>
    </row>
    <row r="337" spans="1:16" ht="12.75" customHeight="1">
      <c r="A337" s="535"/>
      <c r="B337" s="536"/>
      <c r="C337" s="536"/>
      <c r="D337" s="536"/>
      <c r="E337" s="536"/>
      <c r="F337" s="536"/>
      <c r="G337" s="536"/>
      <c r="H337" s="538"/>
      <c r="I337" s="538"/>
      <c r="J337" s="260"/>
      <c r="K337" s="260"/>
      <c r="L337" s="260"/>
      <c r="M337" s="260"/>
      <c r="N337" s="260"/>
      <c r="O337" s="536"/>
      <c r="P337" s="536"/>
    </row>
    <row r="338" spans="1:16" ht="12.75" customHeight="1">
      <c r="A338" s="535"/>
      <c r="B338" s="536"/>
      <c r="C338" s="536"/>
      <c r="D338" s="536"/>
      <c r="E338" s="536"/>
      <c r="F338" s="536"/>
      <c r="G338" s="536"/>
      <c r="H338" s="538"/>
      <c r="I338" s="538"/>
      <c r="J338" s="260"/>
      <c r="K338" s="260"/>
      <c r="L338" s="260"/>
      <c r="M338" s="260"/>
      <c r="N338" s="260"/>
      <c r="O338" s="536"/>
      <c r="P338" s="536"/>
    </row>
    <row r="339" spans="1:16" ht="12.75" customHeight="1">
      <c r="A339" s="535"/>
      <c r="B339" s="536"/>
      <c r="C339" s="536"/>
      <c r="D339" s="536"/>
      <c r="E339" s="536"/>
      <c r="F339" s="536"/>
      <c r="G339" s="536"/>
      <c r="H339" s="538"/>
      <c r="I339" s="538"/>
      <c r="J339" s="260"/>
      <c r="K339" s="260"/>
      <c r="L339" s="260"/>
      <c r="M339" s="260"/>
      <c r="N339" s="260"/>
      <c r="O339" s="536"/>
      <c r="P339" s="536"/>
    </row>
    <row r="340" spans="1:16" ht="12.75" customHeight="1">
      <c r="A340" s="535"/>
      <c r="B340" s="536"/>
      <c r="C340" s="536"/>
      <c r="D340" s="536"/>
      <c r="E340" s="536"/>
      <c r="F340" s="536"/>
      <c r="G340" s="536"/>
      <c r="H340" s="538"/>
      <c r="I340" s="538"/>
      <c r="J340" s="260"/>
      <c r="K340" s="260"/>
      <c r="L340" s="260"/>
      <c r="M340" s="260"/>
      <c r="N340" s="260"/>
      <c r="O340" s="536"/>
      <c r="P340" s="536"/>
    </row>
    <row r="341" spans="1:16" ht="12.75" customHeight="1">
      <c r="A341" s="535"/>
      <c r="B341" s="536"/>
      <c r="C341" s="536"/>
      <c r="D341" s="536"/>
      <c r="E341" s="536"/>
      <c r="F341" s="536"/>
      <c r="G341" s="536"/>
      <c r="H341" s="538"/>
      <c r="I341" s="538"/>
      <c r="J341" s="260"/>
      <c r="K341" s="260"/>
      <c r="L341" s="260"/>
      <c r="M341" s="260"/>
      <c r="N341" s="260"/>
      <c r="O341" s="536"/>
      <c r="P341" s="536"/>
    </row>
    <row r="342" spans="1:16" ht="12.75" customHeight="1">
      <c r="A342" s="535"/>
      <c r="B342" s="536"/>
      <c r="C342" s="536"/>
      <c r="D342" s="536"/>
      <c r="E342" s="536"/>
      <c r="F342" s="536"/>
      <c r="G342" s="536"/>
      <c r="H342" s="538"/>
      <c r="I342" s="538"/>
      <c r="J342" s="260"/>
      <c r="K342" s="260"/>
      <c r="L342" s="260"/>
      <c r="M342" s="260"/>
      <c r="N342" s="260"/>
      <c r="O342" s="536"/>
      <c r="P342" s="536"/>
    </row>
    <row r="343" spans="1:16" ht="12.75" customHeight="1">
      <c r="A343" s="535"/>
      <c r="B343" s="536"/>
      <c r="C343" s="536"/>
      <c r="D343" s="536"/>
      <c r="E343" s="536"/>
      <c r="F343" s="536"/>
      <c r="G343" s="536"/>
      <c r="H343" s="538"/>
      <c r="I343" s="538"/>
      <c r="J343" s="260"/>
      <c r="K343" s="260"/>
      <c r="L343" s="260"/>
      <c r="M343" s="260"/>
      <c r="N343" s="260"/>
      <c r="O343" s="536"/>
      <c r="P343" s="536"/>
    </row>
    <row r="344" spans="1:16" ht="12.75" customHeight="1">
      <c r="A344" s="535"/>
      <c r="B344" s="536"/>
      <c r="C344" s="536"/>
      <c r="D344" s="536"/>
      <c r="E344" s="536"/>
      <c r="F344" s="536"/>
      <c r="G344" s="536"/>
      <c r="H344" s="538"/>
      <c r="I344" s="538"/>
      <c r="J344" s="260"/>
      <c r="K344" s="260"/>
      <c r="L344" s="260"/>
      <c r="M344" s="260"/>
      <c r="N344" s="260"/>
      <c r="O344" s="536"/>
      <c r="P344" s="536"/>
    </row>
    <row r="345" spans="1:16" ht="12.75" customHeight="1">
      <c r="A345" s="535"/>
      <c r="B345" s="536"/>
      <c r="C345" s="536"/>
      <c r="D345" s="536"/>
      <c r="E345" s="536"/>
      <c r="F345" s="536"/>
      <c r="G345" s="536"/>
      <c r="H345" s="538"/>
      <c r="I345" s="538"/>
      <c r="J345" s="260"/>
      <c r="K345" s="260"/>
      <c r="L345" s="260"/>
      <c r="M345" s="260"/>
      <c r="N345" s="260"/>
      <c r="O345" s="536"/>
      <c r="P345" s="536"/>
    </row>
    <row r="346" spans="1:16" ht="12.75" customHeight="1">
      <c r="A346" s="535"/>
      <c r="B346" s="536"/>
      <c r="C346" s="536"/>
      <c r="D346" s="536"/>
      <c r="E346" s="536"/>
      <c r="F346" s="536"/>
      <c r="G346" s="536"/>
      <c r="H346" s="538"/>
      <c r="I346" s="538"/>
      <c r="J346" s="260"/>
      <c r="K346" s="260"/>
      <c r="L346" s="260"/>
      <c r="M346" s="260"/>
      <c r="N346" s="260"/>
      <c r="O346" s="536"/>
      <c r="P346" s="536"/>
    </row>
    <row r="347" spans="1:16" ht="12.75" customHeight="1">
      <c r="A347" s="535"/>
      <c r="B347" s="536"/>
      <c r="C347" s="536"/>
      <c r="D347" s="536"/>
      <c r="E347" s="536"/>
      <c r="F347" s="536"/>
      <c r="G347" s="536"/>
      <c r="H347" s="538"/>
      <c r="I347" s="538"/>
      <c r="J347" s="260"/>
      <c r="K347" s="260"/>
      <c r="L347" s="260"/>
      <c r="M347" s="260"/>
      <c r="N347" s="260"/>
      <c r="O347" s="536"/>
      <c r="P347" s="536"/>
    </row>
    <row r="348" spans="1:16" ht="12.75" customHeight="1">
      <c r="A348" s="535"/>
      <c r="B348" s="536"/>
      <c r="C348" s="536"/>
      <c r="D348" s="536"/>
      <c r="E348" s="536"/>
      <c r="F348" s="536"/>
      <c r="G348" s="536"/>
      <c r="H348" s="538"/>
      <c r="I348" s="538"/>
      <c r="J348" s="260"/>
      <c r="K348" s="260"/>
      <c r="L348" s="260"/>
      <c r="M348" s="260"/>
      <c r="N348" s="260"/>
      <c r="O348" s="536"/>
      <c r="P348" s="536"/>
    </row>
    <row r="349" spans="1:16" ht="12.75" customHeight="1">
      <c r="A349" s="535"/>
      <c r="B349" s="536"/>
      <c r="C349" s="536"/>
      <c r="D349" s="536"/>
      <c r="E349" s="536"/>
      <c r="F349" s="536"/>
      <c r="G349" s="536"/>
      <c r="H349" s="538"/>
      <c r="I349" s="538"/>
      <c r="J349" s="260"/>
      <c r="K349" s="260"/>
      <c r="L349" s="260"/>
      <c r="M349" s="260"/>
      <c r="N349" s="260"/>
      <c r="O349" s="536"/>
      <c r="P349" s="536"/>
    </row>
    <row r="350" spans="1:16" ht="12.75" customHeight="1">
      <c r="A350" s="535"/>
      <c r="B350" s="536"/>
      <c r="C350" s="536"/>
      <c r="D350" s="536"/>
      <c r="E350" s="536"/>
      <c r="F350" s="536"/>
      <c r="G350" s="536"/>
      <c r="H350" s="538"/>
      <c r="I350" s="538"/>
      <c r="J350" s="260"/>
      <c r="K350" s="260"/>
      <c r="L350" s="260"/>
      <c r="M350" s="260"/>
      <c r="N350" s="260"/>
      <c r="O350" s="536"/>
      <c r="P350" s="536"/>
    </row>
    <row r="351" spans="1:16" ht="12.75" customHeight="1">
      <c r="A351" s="535"/>
      <c r="B351" s="536"/>
      <c r="C351" s="536"/>
      <c r="D351" s="536"/>
      <c r="E351" s="536"/>
      <c r="F351" s="536"/>
      <c r="G351" s="536"/>
      <c r="H351" s="538"/>
      <c r="I351" s="538"/>
      <c r="J351" s="260"/>
      <c r="K351" s="260"/>
      <c r="L351" s="260"/>
      <c r="M351" s="260"/>
      <c r="N351" s="260"/>
      <c r="O351" s="536"/>
      <c r="P351" s="536"/>
    </row>
    <row r="352" spans="1:16" ht="12.75" customHeight="1">
      <c r="A352" s="535"/>
      <c r="B352" s="536"/>
      <c r="C352" s="536"/>
      <c r="D352" s="536"/>
      <c r="E352" s="536"/>
      <c r="F352" s="536"/>
      <c r="G352" s="536"/>
      <c r="H352" s="538"/>
      <c r="I352" s="538"/>
      <c r="J352" s="260"/>
      <c r="K352" s="260"/>
      <c r="L352" s="260"/>
      <c r="M352" s="260"/>
      <c r="N352" s="260"/>
      <c r="O352" s="536"/>
      <c r="P352" s="536"/>
    </row>
    <row r="353" spans="1:16" ht="12.75" customHeight="1">
      <c r="A353" s="535"/>
      <c r="B353" s="536"/>
      <c r="C353" s="536"/>
      <c r="D353" s="536"/>
      <c r="E353" s="536"/>
      <c r="F353" s="536"/>
      <c r="G353" s="536"/>
      <c r="H353" s="538"/>
      <c r="I353" s="538"/>
      <c r="J353" s="260"/>
      <c r="K353" s="260"/>
      <c r="L353" s="260"/>
      <c r="M353" s="260"/>
      <c r="N353" s="260"/>
      <c r="O353" s="536"/>
      <c r="P353" s="536"/>
    </row>
    <row r="354" spans="1:16" ht="12.75" customHeight="1">
      <c r="A354" s="535"/>
      <c r="B354" s="536"/>
      <c r="C354" s="536"/>
      <c r="D354" s="536"/>
      <c r="E354" s="536"/>
      <c r="F354" s="536"/>
      <c r="G354" s="536"/>
      <c r="H354" s="538"/>
      <c r="I354" s="538"/>
      <c r="J354" s="260"/>
      <c r="K354" s="260"/>
      <c r="L354" s="260"/>
      <c r="M354" s="260"/>
      <c r="N354" s="260"/>
      <c r="O354" s="536"/>
      <c r="P354" s="536"/>
    </row>
    <row r="355" spans="1:16" ht="12.75" customHeight="1">
      <c r="A355" s="535"/>
      <c r="B355" s="536"/>
      <c r="C355" s="536"/>
      <c r="D355" s="536"/>
      <c r="E355" s="536"/>
      <c r="F355" s="536"/>
      <c r="G355" s="536"/>
      <c r="H355" s="538"/>
      <c r="I355" s="538"/>
      <c r="J355" s="260"/>
      <c r="K355" s="260"/>
      <c r="L355" s="260"/>
      <c r="M355" s="260"/>
      <c r="N355" s="260"/>
      <c r="O355" s="536"/>
      <c r="P355" s="536"/>
    </row>
    <row r="356" spans="1:16" ht="12.75" customHeight="1">
      <c r="A356" s="535"/>
      <c r="B356" s="536"/>
      <c r="C356" s="536"/>
      <c r="D356" s="536"/>
      <c r="E356" s="536"/>
      <c r="F356" s="536"/>
      <c r="G356" s="536"/>
      <c r="H356" s="538"/>
      <c r="I356" s="538"/>
      <c r="J356" s="260"/>
      <c r="K356" s="260"/>
      <c r="L356" s="260"/>
      <c r="M356" s="260"/>
      <c r="N356" s="260"/>
      <c r="O356" s="536"/>
      <c r="P356" s="536"/>
    </row>
    <row r="357" spans="1:16" ht="12.75" customHeight="1">
      <c r="A357" s="535"/>
      <c r="B357" s="536"/>
      <c r="C357" s="536"/>
      <c r="D357" s="536"/>
      <c r="E357" s="536"/>
      <c r="F357" s="536"/>
      <c r="G357" s="536"/>
      <c r="H357" s="538"/>
      <c r="I357" s="538"/>
      <c r="J357" s="260"/>
      <c r="K357" s="260"/>
      <c r="L357" s="260"/>
      <c r="M357" s="260"/>
      <c r="N357" s="260"/>
      <c r="O357" s="536"/>
      <c r="P357" s="536"/>
    </row>
    <row r="358" spans="1:16" ht="12.75" customHeight="1">
      <c r="A358" s="535"/>
      <c r="B358" s="536"/>
      <c r="C358" s="536"/>
      <c r="D358" s="536"/>
      <c r="E358" s="536"/>
      <c r="F358" s="536"/>
      <c r="G358" s="536"/>
      <c r="H358" s="538"/>
      <c r="I358" s="538"/>
      <c r="J358" s="260"/>
      <c r="K358" s="260"/>
      <c r="L358" s="260"/>
      <c r="M358" s="260"/>
      <c r="N358" s="260"/>
      <c r="O358" s="536"/>
      <c r="P358" s="536"/>
    </row>
    <row r="359" spans="1:16" ht="12.75" customHeight="1">
      <c r="A359" s="535"/>
      <c r="B359" s="536"/>
      <c r="C359" s="536"/>
      <c r="D359" s="536"/>
      <c r="E359" s="536"/>
      <c r="F359" s="536"/>
      <c r="G359" s="536"/>
      <c r="H359" s="538"/>
      <c r="I359" s="538"/>
      <c r="J359" s="260"/>
      <c r="K359" s="260"/>
      <c r="L359" s="260"/>
      <c r="M359" s="260"/>
      <c r="N359" s="260"/>
      <c r="O359" s="536"/>
      <c r="P359" s="536"/>
    </row>
    <row r="360" spans="1:16" ht="12.75" customHeight="1">
      <c r="A360" s="535"/>
      <c r="B360" s="536"/>
      <c r="C360" s="536"/>
      <c r="D360" s="536"/>
      <c r="E360" s="536"/>
      <c r="F360" s="536"/>
      <c r="G360" s="536"/>
      <c r="H360" s="538"/>
      <c r="I360" s="538"/>
      <c r="J360" s="260"/>
      <c r="K360" s="260"/>
      <c r="L360" s="260"/>
      <c r="M360" s="260"/>
      <c r="N360" s="260"/>
      <c r="O360" s="536"/>
      <c r="P360" s="536"/>
    </row>
    <row r="361" spans="1:16" ht="12.75" customHeight="1">
      <c r="A361" s="535"/>
      <c r="B361" s="536"/>
      <c r="C361" s="536"/>
      <c r="D361" s="536"/>
      <c r="E361" s="536"/>
      <c r="F361" s="536"/>
      <c r="G361" s="536"/>
      <c r="H361" s="538"/>
      <c r="I361" s="538"/>
      <c r="J361" s="260"/>
      <c r="K361" s="260"/>
      <c r="L361" s="260"/>
      <c r="M361" s="260"/>
      <c r="N361" s="260"/>
      <c r="O361" s="536"/>
      <c r="P361" s="536"/>
    </row>
    <row r="362" spans="1:16" ht="12.75" customHeight="1">
      <c r="A362" s="535"/>
      <c r="B362" s="536"/>
      <c r="C362" s="536"/>
      <c r="D362" s="536"/>
      <c r="E362" s="536"/>
      <c r="F362" s="536"/>
      <c r="G362" s="536"/>
      <c r="H362" s="538"/>
      <c r="I362" s="538"/>
      <c r="J362" s="260"/>
      <c r="K362" s="260"/>
      <c r="L362" s="260"/>
      <c r="M362" s="260"/>
      <c r="N362" s="260"/>
      <c r="O362" s="536"/>
      <c r="P362" s="536"/>
    </row>
    <row r="363" spans="1:16" ht="12.75" customHeight="1">
      <c r="A363" s="535"/>
      <c r="B363" s="536"/>
      <c r="C363" s="536"/>
      <c r="D363" s="536"/>
      <c r="E363" s="536"/>
      <c r="F363" s="536"/>
      <c r="G363" s="536"/>
      <c r="H363" s="538"/>
      <c r="I363" s="538"/>
      <c r="J363" s="260"/>
      <c r="K363" s="260"/>
      <c r="L363" s="260"/>
      <c r="M363" s="260"/>
      <c r="N363" s="260"/>
      <c r="O363" s="536"/>
      <c r="P363" s="536"/>
    </row>
    <row r="364" spans="1:16" ht="12.75" customHeight="1">
      <c r="A364" s="535"/>
      <c r="B364" s="536"/>
      <c r="C364" s="536"/>
      <c r="D364" s="536"/>
      <c r="E364" s="536"/>
      <c r="F364" s="536"/>
      <c r="G364" s="536"/>
      <c r="H364" s="538"/>
      <c r="I364" s="538"/>
      <c r="J364" s="260"/>
      <c r="K364" s="260"/>
      <c r="L364" s="260"/>
      <c r="M364" s="260"/>
      <c r="N364" s="260"/>
      <c r="O364" s="536"/>
      <c r="P364" s="536"/>
    </row>
    <row r="365" spans="1:16" ht="12.75" customHeight="1">
      <c r="A365" s="535"/>
      <c r="B365" s="536"/>
      <c r="C365" s="536"/>
      <c r="D365" s="536"/>
      <c r="E365" s="536"/>
      <c r="F365" s="536"/>
      <c r="G365" s="536"/>
      <c r="H365" s="538"/>
      <c r="I365" s="538"/>
      <c r="J365" s="260"/>
      <c r="K365" s="260"/>
      <c r="L365" s="260"/>
      <c r="M365" s="260"/>
      <c r="N365" s="260"/>
      <c r="O365" s="536"/>
      <c r="P365" s="536"/>
    </row>
    <row r="366" spans="1:16" ht="12.75" customHeight="1">
      <c r="A366" s="535"/>
      <c r="B366" s="536"/>
      <c r="C366" s="536"/>
      <c r="D366" s="536"/>
      <c r="E366" s="536"/>
      <c r="F366" s="536"/>
      <c r="G366" s="536"/>
      <c r="H366" s="538"/>
      <c r="I366" s="538"/>
      <c r="J366" s="260"/>
      <c r="K366" s="260"/>
      <c r="L366" s="260"/>
      <c r="M366" s="260"/>
      <c r="N366" s="260"/>
      <c r="O366" s="536"/>
      <c r="P366" s="536"/>
    </row>
    <row r="367" spans="1:16" ht="12.75" customHeight="1">
      <c r="A367" s="535"/>
      <c r="B367" s="536"/>
      <c r="C367" s="536"/>
      <c r="D367" s="536"/>
      <c r="E367" s="536"/>
      <c r="F367" s="536"/>
      <c r="G367" s="536"/>
      <c r="H367" s="538"/>
      <c r="I367" s="538"/>
      <c r="J367" s="260"/>
      <c r="K367" s="260"/>
      <c r="L367" s="260"/>
      <c r="M367" s="260"/>
      <c r="N367" s="260"/>
      <c r="O367" s="536"/>
      <c r="P367" s="536"/>
    </row>
    <row r="368" spans="1:16" ht="12.75" customHeight="1">
      <c r="A368" s="535"/>
      <c r="B368" s="536"/>
      <c r="C368" s="536"/>
      <c r="D368" s="536"/>
      <c r="E368" s="536"/>
      <c r="F368" s="536"/>
      <c r="G368" s="536"/>
      <c r="H368" s="538"/>
      <c r="I368" s="538"/>
      <c r="J368" s="260"/>
      <c r="K368" s="260"/>
      <c r="L368" s="260"/>
      <c r="M368" s="260"/>
      <c r="N368" s="260"/>
      <c r="O368" s="536"/>
      <c r="P368" s="536"/>
    </row>
    <row r="369" spans="1:16" ht="12.75" customHeight="1">
      <c r="A369" s="535"/>
      <c r="B369" s="536"/>
      <c r="C369" s="536"/>
      <c r="D369" s="536"/>
      <c r="E369" s="536"/>
      <c r="F369" s="536"/>
      <c r="G369" s="536"/>
      <c r="H369" s="538"/>
      <c r="I369" s="538"/>
      <c r="J369" s="260"/>
      <c r="K369" s="260"/>
      <c r="L369" s="260"/>
      <c r="M369" s="260"/>
      <c r="N369" s="260"/>
      <c r="O369" s="536"/>
      <c r="P369" s="536"/>
    </row>
    <row r="370" spans="1:16" ht="12.75" customHeight="1">
      <c r="A370" s="535"/>
      <c r="B370" s="536"/>
      <c r="C370" s="536"/>
      <c r="D370" s="536"/>
      <c r="E370" s="536"/>
      <c r="F370" s="536"/>
      <c r="G370" s="536"/>
      <c r="H370" s="538"/>
      <c r="I370" s="538"/>
      <c r="J370" s="260"/>
      <c r="K370" s="260"/>
      <c r="L370" s="260"/>
      <c r="M370" s="260"/>
      <c r="N370" s="260"/>
      <c r="O370" s="536"/>
      <c r="P370" s="536"/>
    </row>
    <row r="371" spans="1:16" ht="12.75" customHeight="1">
      <c r="A371" s="535"/>
      <c r="B371" s="536"/>
      <c r="C371" s="536"/>
      <c r="D371" s="536"/>
      <c r="E371" s="536"/>
      <c r="F371" s="536"/>
      <c r="G371" s="536"/>
      <c r="H371" s="538"/>
      <c r="I371" s="538"/>
      <c r="J371" s="260"/>
      <c r="K371" s="260"/>
      <c r="L371" s="260"/>
      <c r="M371" s="260"/>
      <c r="N371" s="260"/>
      <c r="O371" s="536"/>
      <c r="P371" s="536"/>
    </row>
    <row r="372" spans="1:16" ht="12.75" customHeight="1">
      <c r="A372" s="535"/>
      <c r="B372" s="536"/>
      <c r="C372" s="536"/>
      <c r="D372" s="536"/>
      <c r="E372" s="536"/>
      <c r="F372" s="536"/>
      <c r="G372" s="536"/>
      <c r="H372" s="538"/>
      <c r="I372" s="538"/>
      <c r="J372" s="260"/>
      <c r="K372" s="260"/>
      <c r="L372" s="260"/>
      <c r="M372" s="260"/>
      <c r="N372" s="260"/>
      <c r="O372" s="536"/>
      <c r="P372" s="536"/>
    </row>
    <row r="373" spans="1:16" ht="12.75" customHeight="1">
      <c r="A373" s="535"/>
      <c r="B373" s="536"/>
      <c r="C373" s="536"/>
      <c r="D373" s="536"/>
      <c r="E373" s="536"/>
      <c r="F373" s="536"/>
      <c r="G373" s="536"/>
      <c r="H373" s="538"/>
      <c r="I373" s="538"/>
      <c r="J373" s="260"/>
      <c r="K373" s="260"/>
      <c r="L373" s="260"/>
      <c r="M373" s="260"/>
      <c r="N373" s="260"/>
      <c r="O373" s="536"/>
      <c r="P373" s="536"/>
    </row>
    <row r="374" spans="1:16" ht="12.75" customHeight="1">
      <c r="A374" s="535"/>
      <c r="B374" s="536"/>
      <c r="C374" s="536"/>
      <c r="D374" s="536"/>
      <c r="E374" s="536"/>
      <c r="F374" s="536"/>
      <c r="G374" s="536"/>
      <c r="H374" s="538"/>
      <c r="I374" s="538"/>
      <c r="J374" s="260"/>
      <c r="K374" s="260"/>
      <c r="L374" s="260"/>
      <c r="M374" s="260"/>
      <c r="N374" s="260"/>
      <c r="O374" s="536"/>
      <c r="P374" s="536"/>
    </row>
    <row r="375" spans="1:16" ht="12.75" customHeight="1">
      <c r="A375" s="535"/>
      <c r="B375" s="536"/>
      <c r="C375" s="536"/>
      <c r="D375" s="536"/>
      <c r="E375" s="536"/>
      <c r="F375" s="536"/>
      <c r="G375" s="536"/>
      <c r="H375" s="538"/>
      <c r="I375" s="538"/>
      <c r="J375" s="260"/>
      <c r="K375" s="260"/>
      <c r="L375" s="260"/>
      <c r="M375" s="260"/>
      <c r="N375" s="260"/>
      <c r="O375" s="536"/>
      <c r="P375" s="536"/>
    </row>
    <row r="376" spans="1:16" ht="12.75" customHeight="1">
      <c r="A376" s="535"/>
      <c r="B376" s="536"/>
      <c r="C376" s="536"/>
      <c r="D376" s="536"/>
      <c r="E376" s="536"/>
      <c r="F376" s="536"/>
      <c r="G376" s="536"/>
      <c r="H376" s="538"/>
      <c r="I376" s="538"/>
      <c r="J376" s="260"/>
      <c r="K376" s="260"/>
      <c r="L376" s="260"/>
      <c r="M376" s="260"/>
      <c r="N376" s="260"/>
      <c r="O376" s="536"/>
      <c r="P376" s="536"/>
    </row>
    <row r="377" spans="1:16" ht="12.75" customHeight="1">
      <c r="A377" s="535"/>
      <c r="B377" s="536"/>
      <c r="C377" s="536"/>
      <c r="D377" s="536"/>
      <c r="E377" s="536"/>
      <c r="F377" s="536"/>
      <c r="G377" s="536"/>
      <c r="H377" s="538"/>
      <c r="I377" s="538"/>
      <c r="J377" s="260"/>
      <c r="K377" s="260"/>
      <c r="L377" s="260"/>
      <c r="M377" s="260"/>
      <c r="N377" s="260"/>
      <c r="O377" s="536"/>
      <c r="P377" s="536"/>
    </row>
    <row r="378" spans="1:16" ht="12.75" customHeight="1">
      <c r="A378" s="535"/>
      <c r="B378" s="536"/>
      <c r="C378" s="536"/>
      <c r="D378" s="536"/>
      <c r="E378" s="536"/>
      <c r="F378" s="536"/>
      <c r="G378" s="536"/>
      <c r="H378" s="538"/>
      <c r="I378" s="538"/>
      <c r="J378" s="260"/>
      <c r="K378" s="260"/>
      <c r="L378" s="260"/>
      <c r="M378" s="260"/>
      <c r="N378" s="260"/>
      <c r="O378" s="536"/>
      <c r="P378" s="536"/>
    </row>
    <row r="379" spans="1:16" ht="12.75" customHeight="1">
      <c r="A379" s="535"/>
      <c r="B379" s="536"/>
      <c r="C379" s="536"/>
      <c r="D379" s="536"/>
      <c r="E379" s="536"/>
      <c r="F379" s="536"/>
      <c r="G379" s="536"/>
      <c r="H379" s="538"/>
      <c r="I379" s="538"/>
      <c r="J379" s="260"/>
      <c r="K379" s="260"/>
      <c r="L379" s="260"/>
      <c r="M379" s="260"/>
      <c r="N379" s="260"/>
      <c r="O379" s="536"/>
      <c r="P379" s="536"/>
    </row>
    <row r="380" spans="1:16" ht="12.75" customHeight="1">
      <c r="A380" s="535"/>
      <c r="B380" s="536"/>
      <c r="C380" s="536"/>
      <c r="D380" s="536"/>
      <c r="E380" s="536"/>
      <c r="F380" s="536"/>
      <c r="G380" s="536"/>
      <c r="H380" s="538"/>
      <c r="I380" s="538"/>
      <c r="J380" s="260"/>
      <c r="K380" s="260"/>
      <c r="L380" s="260"/>
      <c r="M380" s="260"/>
      <c r="N380" s="260"/>
      <c r="O380" s="536"/>
      <c r="P380" s="536"/>
    </row>
    <row r="381" spans="1:16" ht="12.75" customHeight="1">
      <c r="A381" s="535"/>
      <c r="B381" s="536"/>
      <c r="C381" s="536"/>
      <c r="D381" s="536"/>
      <c r="E381" s="536"/>
      <c r="F381" s="536"/>
      <c r="G381" s="536"/>
      <c r="H381" s="538"/>
      <c r="I381" s="538"/>
      <c r="J381" s="260"/>
      <c r="K381" s="260"/>
      <c r="L381" s="260"/>
      <c r="M381" s="260"/>
      <c r="N381" s="260"/>
      <c r="O381" s="536"/>
      <c r="P381" s="536"/>
    </row>
    <row r="382" spans="1:16" ht="12.75" customHeight="1">
      <c r="A382" s="535"/>
      <c r="B382" s="536"/>
      <c r="C382" s="536"/>
      <c r="D382" s="536"/>
      <c r="E382" s="536"/>
      <c r="F382" s="536"/>
      <c r="G382" s="536"/>
      <c r="H382" s="538"/>
      <c r="I382" s="538"/>
      <c r="J382" s="260"/>
      <c r="K382" s="260"/>
      <c r="L382" s="260"/>
      <c r="M382" s="260"/>
      <c r="N382" s="260"/>
      <c r="O382" s="536"/>
      <c r="P382" s="536"/>
    </row>
    <row r="383" spans="1:16" ht="12.75" customHeight="1">
      <c r="A383" s="535"/>
      <c r="B383" s="536"/>
      <c r="C383" s="536"/>
      <c r="D383" s="536"/>
      <c r="E383" s="536"/>
      <c r="F383" s="536"/>
      <c r="G383" s="536"/>
      <c r="H383" s="538"/>
      <c r="I383" s="538"/>
      <c r="J383" s="260"/>
      <c r="K383" s="260"/>
      <c r="L383" s="260"/>
      <c r="M383" s="260"/>
      <c r="N383" s="260"/>
      <c r="O383" s="536"/>
      <c r="P383" s="536"/>
    </row>
    <row r="384" spans="1:16" ht="12.75" customHeight="1">
      <c r="A384" s="535"/>
      <c r="B384" s="536"/>
      <c r="C384" s="536"/>
      <c r="D384" s="536"/>
      <c r="E384" s="536"/>
      <c r="F384" s="536"/>
      <c r="G384" s="536"/>
      <c r="H384" s="538"/>
      <c r="I384" s="538"/>
      <c r="J384" s="260"/>
      <c r="K384" s="260"/>
      <c r="L384" s="260"/>
      <c r="M384" s="260"/>
      <c r="N384" s="260"/>
      <c r="O384" s="536"/>
      <c r="P384" s="536"/>
    </row>
    <row r="385" spans="1:16" ht="12.75" customHeight="1">
      <c r="A385" s="535"/>
      <c r="B385" s="536"/>
      <c r="C385" s="536"/>
      <c r="D385" s="536"/>
      <c r="E385" s="536"/>
      <c r="F385" s="536"/>
      <c r="G385" s="536"/>
      <c r="H385" s="538"/>
      <c r="I385" s="538"/>
      <c r="J385" s="260"/>
      <c r="K385" s="260"/>
      <c r="L385" s="260"/>
      <c r="M385" s="260"/>
      <c r="N385" s="260"/>
      <c r="O385" s="536"/>
      <c r="P385" s="536"/>
    </row>
    <row r="386" spans="1:16" ht="12.75" customHeight="1">
      <c r="A386" s="535"/>
      <c r="B386" s="536"/>
      <c r="C386" s="536"/>
      <c r="D386" s="536"/>
      <c r="E386" s="536"/>
      <c r="F386" s="536"/>
      <c r="G386" s="536"/>
      <c r="H386" s="538"/>
      <c r="I386" s="538"/>
      <c r="J386" s="260"/>
      <c r="K386" s="260"/>
      <c r="L386" s="260"/>
      <c r="M386" s="260"/>
      <c r="N386" s="260"/>
      <c r="O386" s="536"/>
      <c r="P386" s="536"/>
    </row>
    <row r="387" spans="1:16" ht="12.75" customHeight="1">
      <c r="A387" s="535"/>
      <c r="B387" s="536"/>
      <c r="C387" s="536"/>
      <c r="D387" s="536"/>
      <c r="E387" s="536"/>
      <c r="F387" s="536"/>
      <c r="G387" s="536"/>
      <c r="H387" s="538"/>
      <c r="I387" s="538"/>
      <c r="J387" s="260"/>
      <c r="K387" s="260"/>
      <c r="L387" s="260"/>
      <c r="M387" s="260"/>
      <c r="N387" s="260"/>
      <c r="O387" s="536"/>
      <c r="P387" s="536"/>
    </row>
    <row r="388" spans="1:16" ht="12.75" customHeight="1">
      <c r="A388" s="535"/>
      <c r="B388" s="536"/>
      <c r="C388" s="536"/>
      <c r="D388" s="536"/>
      <c r="E388" s="536"/>
      <c r="F388" s="536"/>
      <c r="G388" s="536"/>
      <c r="H388" s="538"/>
      <c r="I388" s="538"/>
      <c r="J388" s="260"/>
      <c r="K388" s="260"/>
      <c r="L388" s="260"/>
      <c r="M388" s="260"/>
      <c r="N388" s="260"/>
      <c r="O388" s="536"/>
      <c r="P388" s="536"/>
    </row>
    <row r="389" spans="1:16" ht="12.75" customHeight="1">
      <c r="A389" s="535"/>
      <c r="B389" s="536"/>
      <c r="C389" s="536"/>
      <c r="D389" s="536"/>
      <c r="E389" s="536"/>
      <c r="F389" s="536"/>
      <c r="G389" s="536"/>
      <c r="H389" s="538"/>
      <c r="I389" s="538"/>
      <c r="J389" s="260"/>
      <c r="K389" s="260"/>
      <c r="L389" s="260"/>
      <c r="M389" s="260"/>
      <c r="N389" s="260"/>
      <c r="O389" s="536"/>
      <c r="P389" s="536"/>
    </row>
    <row r="390" spans="1:16" ht="12.75" customHeight="1">
      <c r="A390" s="535"/>
      <c r="B390" s="536"/>
      <c r="C390" s="536"/>
      <c r="D390" s="536"/>
      <c r="E390" s="536"/>
      <c r="F390" s="536"/>
      <c r="G390" s="536"/>
      <c r="H390" s="538"/>
      <c r="I390" s="538"/>
      <c r="J390" s="260"/>
      <c r="K390" s="260"/>
      <c r="L390" s="260"/>
      <c r="M390" s="260"/>
      <c r="N390" s="260"/>
      <c r="O390" s="536"/>
      <c r="P390" s="536"/>
    </row>
    <row r="391" spans="1:16" ht="12.75" customHeight="1">
      <c r="A391" s="535"/>
      <c r="B391" s="536"/>
      <c r="C391" s="536"/>
      <c r="D391" s="536"/>
      <c r="E391" s="536"/>
      <c r="F391" s="536"/>
      <c r="G391" s="536"/>
      <c r="H391" s="538"/>
      <c r="I391" s="538"/>
      <c r="J391" s="260"/>
      <c r="K391" s="260"/>
      <c r="L391" s="260"/>
      <c r="M391" s="260"/>
      <c r="N391" s="260"/>
      <c r="O391" s="536"/>
      <c r="P391" s="536"/>
    </row>
    <row r="392" spans="1:16" ht="12.75" customHeight="1">
      <c r="A392" s="535"/>
      <c r="B392" s="536"/>
      <c r="C392" s="536"/>
      <c r="D392" s="536"/>
      <c r="E392" s="536"/>
      <c r="F392" s="536"/>
      <c r="G392" s="536"/>
      <c r="H392" s="538"/>
      <c r="I392" s="538"/>
      <c r="J392" s="260"/>
      <c r="K392" s="260"/>
      <c r="L392" s="260"/>
      <c r="M392" s="260"/>
      <c r="N392" s="260"/>
      <c r="O392" s="536"/>
      <c r="P392" s="536"/>
    </row>
    <row r="393" spans="1:16" ht="12.75" customHeight="1">
      <c r="A393" s="535"/>
      <c r="B393" s="536"/>
      <c r="C393" s="536"/>
      <c r="D393" s="536"/>
      <c r="E393" s="536"/>
      <c r="F393" s="536"/>
      <c r="G393" s="536"/>
      <c r="H393" s="538"/>
      <c r="I393" s="538"/>
      <c r="J393" s="260"/>
      <c r="K393" s="260"/>
      <c r="L393" s="260"/>
      <c r="M393" s="260"/>
      <c r="N393" s="260"/>
      <c r="O393" s="536"/>
      <c r="P393" s="536"/>
    </row>
    <row r="394" spans="1:16" ht="12.75" customHeight="1">
      <c r="A394" s="535"/>
      <c r="B394" s="536"/>
      <c r="C394" s="536"/>
      <c r="D394" s="536"/>
      <c r="E394" s="536"/>
      <c r="F394" s="536"/>
      <c r="G394" s="536"/>
      <c r="H394" s="538"/>
      <c r="I394" s="538"/>
      <c r="J394" s="260"/>
      <c r="K394" s="260"/>
      <c r="L394" s="260"/>
      <c r="M394" s="260"/>
      <c r="N394" s="260"/>
      <c r="O394" s="536"/>
      <c r="P394" s="536"/>
    </row>
    <row r="395" spans="1:16" ht="12.75" customHeight="1">
      <c r="A395" s="535"/>
      <c r="B395" s="536"/>
      <c r="C395" s="536"/>
      <c r="D395" s="536"/>
      <c r="E395" s="536"/>
      <c r="F395" s="536"/>
      <c r="G395" s="536"/>
      <c r="H395" s="538"/>
      <c r="I395" s="538"/>
      <c r="J395" s="260"/>
      <c r="K395" s="260"/>
      <c r="L395" s="260"/>
      <c r="M395" s="260"/>
      <c r="N395" s="260"/>
      <c r="O395" s="536"/>
      <c r="P395" s="536"/>
    </row>
    <row r="396" spans="1:16" ht="12.75" customHeight="1">
      <c r="A396" s="535"/>
      <c r="B396" s="536"/>
      <c r="C396" s="536"/>
      <c r="D396" s="536"/>
      <c r="E396" s="536"/>
      <c r="F396" s="536"/>
      <c r="G396" s="536"/>
      <c r="H396" s="538"/>
      <c r="I396" s="538"/>
      <c r="J396" s="260"/>
      <c r="K396" s="260"/>
      <c r="L396" s="260"/>
      <c r="M396" s="260"/>
      <c r="N396" s="260"/>
      <c r="O396" s="536"/>
      <c r="P396" s="536"/>
    </row>
    <row r="397" spans="1:16" ht="12.75" customHeight="1">
      <c r="A397" s="535"/>
      <c r="B397" s="536"/>
      <c r="C397" s="536"/>
      <c r="D397" s="536"/>
      <c r="E397" s="536"/>
      <c r="F397" s="536"/>
      <c r="G397" s="536"/>
      <c r="H397" s="538"/>
      <c r="I397" s="538"/>
      <c r="J397" s="260"/>
      <c r="K397" s="260"/>
      <c r="L397" s="260"/>
      <c r="M397" s="260"/>
      <c r="N397" s="260"/>
      <c r="O397" s="536"/>
      <c r="P397" s="536"/>
    </row>
    <row r="398" spans="1:16" ht="12.75" customHeight="1">
      <c r="A398" s="535"/>
      <c r="B398" s="536"/>
      <c r="C398" s="536"/>
      <c r="D398" s="536"/>
      <c r="E398" s="536"/>
      <c r="F398" s="536"/>
      <c r="G398" s="536"/>
      <c r="H398" s="538"/>
      <c r="I398" s="538"/>
      <c r="J398" s="260"/>
      <c r="K398" s="260"/>
      <c r="L398" s="260"/>
      <c r="M398" s="260"/>
      <c r="N398" s="260"/>
      <c r="O398" s="536"/>
      <c r="P398" s="536"/>
    </row>
    <row r="399" spans="1:16" ht="12.75" customHeight="1">
      <c r="A399" s="535"/>
      <c r="B399" s="536"/>
      <c r="C399" s="536"/>
      <c r="D399" s="536"/>
      <c r="E399" s="536"/>
      <c r="F399" s="536"/>
      <c r="G399" s="536"/>
      <c r="H399" s="538"/>
      <c r="I399" s="538"/>
      <c r="J399" s="260"/>
      <c r="K399" s="260"/>
      <c r="L399" s="260"/>
      <c r="M399" s="260"/>
      <c r="N399" s="260"/>
      <c r="O399" s="536"/>
      <c r="P399" s="536"/>
    </row>
    <row r="400" spans="1:16" ht="12.75" customHeight="1">
      <c r="A400" s="535"/>
      <c r="B400" s="536"/>
      <c r="C400" s="536"/>
      <c r="D400" s="536"/>
      <c r="E400" s="536"/>
      <c r="F400" s="536"/>
      <c r="G400" s="536"/>
      <c r="H400" s="538"/>
      <c r="I400" s="538"/>
      <c r="J400" s="260"/>
      <c r="K400" s="260"/>
      <c r="L400" s="260"/>
      <c r="M400" s="260"/>
      <c r="N400" s="260"/>
      <c r="O400" s="536"/>
      <c r="P400" s="536"/>
    </row>
    <row r="401" spans="1:16" ht="12.75" customHeight="1">
      <c r="A401" s="535"/>
      <c r="B401" s="536"/>
      <c r="C401" s="536"/>
      <c r="D401" s="536"/>
      <c r="E401" s="536"/>
      <c r="F401" s="536"/>
      <c r="G401" s="536"/>
      <c r="H401" s="538"/>
      <c r="I401" s="538"/>
      <c r="J401" s="260"/>
      <c r="K401" s="260"/>
      <c r="L401" s="260"/>
      <c r="M401" s="260"/>
      <c r="N401" s="260"/>
      <c r="O401" s="536"/>
      <c r="P401" s="536"/>
    </row>
    <row r="402" spans="1:16" ht="12.75" customHeight="1">
      <c r="A402" s="535"/>
      <c r="B402" s="536"/>
      <c r="C402" s="536"/>
      <c r="D402" s="536"/>
      <c r="E402" s="536"/>
      <c r="F402" s="536"/>
      <c r="G402" s="536"/>
      <c r="H402" s="538"/>
      <c r="I402" s="538"/>
      <c r="J402" s="260"/>
      <c r="K402" s="260"/>
      <c r="L402" s="260"/>
      <c r="M402" s="260"/>
      <c r="N402" s="260"/>
      <c r="O402" s="536"/>
      <c r="P402" s="536"/>
    </row>
    <row r="403" spans="1:16" ht="12.75" customHeight="1">
      <c r="A403" s="535"/>
      <c r="B403" s="536"/>
      <c r="C403" s="536"/>
      <c r="D403" s="536"/>
      <c r="E403" s="536"/>
      <c r="F403" s="536"/>
      <c r="G403" s="536"/>
      <c r="H403" s="538"/>
      <c r="I403" s="538"/>
      <c r="J403" s="260"/>
      <c r="K403" s="260"/>
      <c r="L403" s="260"/>
      <c r="M403" s="260"/>
      <c r="N403" s="260"/>
      <c r="O403" s="536"/>
      <c r="P403" s="536"/>
    </row>
    <row r="404" spans="1:16" ht="12.75" customHeight="1">
      <c r="A404" s="535"/>
      <c r="B404" s="536"/>
      <c r="C404" s="536"/>
      <c r="D404" s="536"/>
      <c r="E404" s="536"/>
      <c r="F404" s="536"/>
      <c r="G404" s="536"/>
      <c r="H404" s="538"/>
      <c r="I404" s="538"/>
      <c r="J404" s="260"/>
      <c r="K404" s="260"/>
      <c r="L404" s="260"/>
      <c r="M404" s="260"/>
      <c r="N404" s="260"/>
      <c r="O404" s="536"/>
      <c r="P404" s="536"/>
    </row>
    <row r="405" spans="1:16" ht="12.75" customHeight="1">
      <c r="A405" s="535"/>
      <c r="B405" s="536"/>
      <c r="C405" s="536"/>
      <c r="D405" s="536"/>
      <c r="E405" s="536"/>
      <c r="F405" s="536"/>
      <c r="G405" s="536"/>
      <c r="H405" s="538"/>
      <c r="I405" s="538"/>
      <c r="J405" s="260"/>
      <c r="K405" s="260"/>
      <c r="L405" s="260"/>
      <c r="M405" s="260"/>
      <c r="N405" s="260"/>
      <c r="O405" s="536"/>
      <c r="P405" s="536"/>
    </row>
    <row r="406" spans="1:16" ht="12.75" customHeight="1">
      <c r="A406" s="535"/>
      <c r="B406" s="536"/>
      <c r="C406" s="536"/>
      <c r="D406" s="536"/>
      <c r="E406" s="536"/>
      <c r="F406" s="536"/>
      <c r="G406" s="536"/>
      <c r="H406" s="538"/>
      <c r="I406" s="538"/>
      <c r="J406" s="260"/>
      <c r="K406" s="260"/>
      <c r="L406" s="260"/>
      <c r="M406" s="260"/>
      <c r="N406" s="260"/>
      <c r="O406" s="536"/>
      <c r="P406" s="536"/>
    </row>
    <row r="407" spans="1:16" ht="12.75" customHeight="1">
      <c r="A407" s="535"/>
      <c r="B407" s="536"/>
      <c r="C407" s="536"/>
      <c r="D407" s="536"/>
      <c r="E407" s="536"/>
      <c r="F407" s="536"/>
      <c r="G407" s="536"/>
      <c r="H407" s="538"/>
      <c r="I407" s="538"/>
      <c r="J407" s="260"/>
      <c r="K407" s="260"/>
      <c r="L407" s="260"/>
      <c r="M407" s="260"/>
      <c r="N407" s="260"/>
      <c r="O407" s="536"/>
      <c r="P407" s="536"/>
    </row>
    <row r="408" spans="1:16" ht="12.75" customHeight="1">
      <c r="A408" s="535"/>
      <c r="B408" s="536"/>
      <c r="C408" s="536"/>
      <c r="D408" s="536"/>
      <c r="E408" s="536"/>
      <c r="F408" s="536"/>
      <c r="G408" s="536"/>
      <c r="H408" s="538"/>
      <c r="I408" s="538"/>
      <c r="J408" s="260"/>
      <c r="K408" s="260"/>
      <c r="L408" s="260"/>
      <c r="M408" s="260"/>
      <c r="N408" s="260"/>
      <c r="O408" s="536"/>
      <c r="P408" s="536"/>
    </row>
    <row r="409" spans="1:16" ht="12.75" customHeight="1">
      <c r="A409" s="535"/>
      <c r="B409" s="536"/>
      <c r="C409" s="536"/>
      <c r="D409" s="536"/>
      <c r="E409" s="536"/>
      <c r="F409" s="536"/>
      <c r="G409" s="536"/>
      <c r="H409" s="538"/>
      <c r="I409" s="538"/>
      <c r="J409" s="260"/>
      <c r="K409" s="260"/>
      <c r="L409" s="260"/>
      <c r="M409" s="260"/>
      <c r="N409" s="260"/>
      <c r="O409" s="536"/>
      <c r="P409" s="536"/>
    </row>
    <row r="410" spans="1:16" ht="12.75" customHeight="1">
      <c r="A410" s="535"/>
      <c r="B410" s="536"/>
      <c r="C410" s="536"/>
      <c r="D410" s="536"/>
      <c r="E410" s="536"/>
      <c r="F410" s="536"/>
      <c r="G410" s="536"/>
      <c r="H410" s="538"/>
      <c r="I410" s="538"/>
      <c r="J410" s="260"/>
      <c r="K410" s="260"/>
      <c r="L410" s="260"/>
      <c r="M410" s="260"/>
      <c r="N410" s="260"/>
      <c r="O410" s="536"/>
      <c r="P410" s="536"/>
    </row>
    <row r="411" spans="1:16" ht="12.75" customHeight="1">
      <c r="A411" s="535"/>
      <c r="B411" s="536"/>
      <c r="C411" s="536"/>
      <c r="D411" s="536"/>
      <c r="E411" s="536"/>
      <c r="F411" s="536"/>
      <c r="G411" s="536"/>
      <c r="H411" s="538"/>
      <c r="I411" s="538"/>
      <c r="J411" s="260"/>
      <c r="K411" s="260"/>
      <c r="L411" s="260"/>
      <c r="M411" s="260"/>
      <c r="N411" s="260"/>
      <c r="O411" s="536"/>
      <c r="P411" s="536"/>
    </row>
    <row r="412" spans="1:16" ht="12.75" customHeight="1">
      <c r="A412" s="535"/>
      <c r="B412" s="536"/>
      <c r="C412" s="536"/>
      <c r="D412" s="536"/>
      <c r="E412" s="536"/>
      <c r="F412" s="536"/>
      <c r="G412" s="536"/>
      <c r="H412" s="538"/>
      <c r="I412" s="538"/>
      <c r="J412" s="260"/>
      <c r="K412" s="260"/>
      <c r="L412" s="260"/>
      <c r="M412" s="260"/>
      <c r="N412" s="260"/>
      <c r="O412" s="536"/>
      <c r="P412" s="536"/>
    </row>
    <row r="413" spans="1:16" ht="12.75" customHeight="1">
      <c r="A413" s="535"/>
      <c r="B413" s="536"/>
      <c r="C413" s="536"/>
      <c r="D413" s="536"/>
      <c r="E413" s="536"/>
      <c r="F413" s="536"/>
      <c r="G413" s="536"/>
      <c r="H413" s="538"/>
      <c r="I413" s="538"/>
      <c r="J413" s="260"/>
      <c r="K413" s="260"/>
      <c r="L413" s="260"/>
      <c r="M413" s="260"/>
      <c r="N413" s="260"/>
      <c r="O413" s="536"/>
      <c r="P413" s="536"/>
    </row>
    <row r="414" spans="1:16" ht="12.75" customHeight="1">
      <c r="A414" s="535"/>
      <c r="B414" s="536"/>
      <c r="C414" s="536"/>
      <c r="D414" s="536"/>
      <c r="E414" s="536"/>
      <c r="F414" s="536"/>
      <c r="G414" s="536"/>
      <c r="H414" s="538"/>
      <c r="I414" s="538"/>
      <c r="J414" s="260"/>
      <c r="K414" s="260"/>
      <c r="L414" s="260"/>
      <c r="M414" s="260"/>
      <c r="N414" s="260"/>
      <c r="O414" s="536"/>
      <c r="P414" s="536"/>
    </row>
    <row r="415" spans="1:16" ht="12.75" customHeight="1">
      <c r="A415" s="535"/>
      <c r="B415" s="536"/>
      <c r="C415" s="536"/>
      <c r="D415" s="536"/>
      <c r="E415" s="536"/>
      <c r="F415" s="536"/>
      <c r="G415" s="536"/>
      <c r="H415" s="538"/>
      <c r="I415" s="538"/>
      <c r="J415" s="260"/>
      <c r="K415" s="260"/>
      <c r="L415" s="260"/>
      <c r="M415" s="260"/>
      <c r="N415" s="260"/>
      <c r="O415" s="536"/>
      <c r="P415" s="536"/>
    </row>
    <row r="416" spans="1:16" ht="12.75" customHeight="1">
      <c r="A416" s="535"/>
      <c r="B416" s="536"/>
      <c r="C416" s="536"/>
      <c r="D416" s="536"/>
      <c r="E416" s="536"/>
      <c r="F416" s="536"/>
      <c r="G416" s="536"/>
      <c r="H416" s="538"/>
      <c r="I416" s="538"/>
      <c r="J416" s="260"/>
      <c r="K416" s="260"/>
      <c r="L416" s="260"/>
      <c r="M416" s="260"/>
      <c r="N416" s="260"/>
      <c r="O416" s="536"/>
      <c r="P416" s="536"/>
    </row>
    <row r="417" spans="1:16" ht="12.75" customHeight="1">
      <c r="A417" s="535"/>
      <c r="B417" s="536"/>
      <c r="C417" s="536"/>
      <c r="D417" s="536"/>
      <c r="E417" s="536"/>
      <c r="F417" s="536"/>
      <c r="G417" s="536"/>
      <c r="H417" s="538"/>
      <c r="I417" s="538"/>
      <c r="J417" s="260"/>
      <c r="K417" s="260"/>
      <c r="L417" s="260"/>
      <c r="M417" s="260"/>
      <c r="N417" s="260"/>
      <c r="O417" s="536"/>
      <c r="P417" s="536"/>
    </row>
    <row r="418" spans="1:16" ht="12.75" customHeight="1">
      <c r="A418" s="535"/>
      <c r="B418" s="536"/>
      <c r="C418" s="536"/>
      <c r="D418" s="536"/>
      <c r="E418" s="536"/>
      <c r="F418" s="536"/>
      <c r="G418" s="536"/>
      <c r="H418" s="538"/>
      <c r="I418" s="538"/>
      <c r="J418" s="260"/>
      <c r="K418" s="260"/>
      <c r="L418" s="260"/>
      <c r="M418" s="260"/>
      <c r="N418" s="260"/>
      <c r="O418" s="536"/>
      <c r="P418" s="536"/>
    </row>
    <row r="419" spans="1:16" ht="12.75" customHeight="1">
      <c r="A419" s="535"/>
      <c r="B419" s="536"/>
      <c r="C419" s="536"/>
      <c r="D419" s="536"/>
      <c r="E419" s="536"/>
      <c r="F419" s="536"/>
      <c r="G419" s="536"/>
      <c r="H419" s="538"/>
      <c r="I419" s="538"/>
      <c r="J419" s="260"/>
      <c r="K419" s="260"/>
      <c r="L419" s="260"/>
      <c r="M419" s="260"/>
      <c r="N419" s="260"/>
      <c r="O419" s="536"/>
      <c r="P419" s="536"/>
    </row>
    <row r="420" spans="1:16" ht="12.75" customHeight="1">
      <c r="A420" s="535"/>
      <c r="B420" s="536"/>
      <c r="C420" s="536"/>
      <c r="D420" s="536"/>
      <c r="E420" s="536"/>
      <c r="F420" s="536"/>
      <c r="G420" s="536"/>
      <c r="H420" s="538"/>
      <c r="I420" s="538"/>
      <c r="J420" s="260"/>
      <c r="K420" s="260"/>
      <c r="L420" s="260"/>
      <c r="M420" s="260"/>
      <c r="N420" s="260"/>
      <c r="O420" s="536"/>
      <c r="P420" s="536"/>
    </row>
    <row r="421" spans="1:16" ht="12.75" customHeight="1">
      <c r="A421" s="535"/>
      <c r="B421" s="536"/>
      <c r="C421" s="536"/>
      <c r="D421" s="536"/>
      <c r="E421" s="536"/>
      <c r="F421" s="536"/>
      <c r="G421" s="536"/>
      <c r="H421" s="538"/>
      <c r="I421" s="538"/>
      <c r="J421" s="260"/>
      <c r="K421" s="260"/>
      <c r="L421" s="260"/>
      <c r="M421" s="260"/>
      <c r="N421" s="260"/>
      <c r="O421" s="536"/>
      <c r="P421" s="536"/>
    </row>
    <row r="422" spans="1:16" ht="12.75" customHeight="1">
      <c r="A422" s="535"/>
      <c r="B422" s="536"/>
      <c r="C422" s="536"/>
      <c r="D422" s="536"/>
      <c r="E422" s="536"/>
      <c r="F422" s="536"/>
      <c r="G422" s="536"/>
      <c r="H422" s="538"/>
      <c r="I422" s="538"/>
      <c r="J422" s="260"/>
      <c r="K422" s="260"/>
      <c r="L422" s="260"/>
      <c r="M422" s="260"/>
      <c r="N422" s="260"/>
      <c r="O422" s="536"/>
      <c r="P422" s="536"/>
    </row>
    <row r="423" spans="1:16" ht="12.75" customHeight="1">
      <c r="A423" s="535"/>
      <c r="B423" s="536"/>
      <c r="C423" s="536"/>
      <c r="D423" s="536"/>
      <c r="E423" s="536"/>
      <c r="F423" s="536"/>
      <c r="G423" s="536"/>
      <c r="H423" s="538"/>
      <c r="I423" s="538"/>
      <c r="J423" s="260"/>
      <c r="K423" s="260"/>
      <c r="L423" s="260"/>
      <c r="M423" s="260"/>
      <c r="N423" s="260"/>
      <c r="O423" s="536"/>
      <c r="P423" s="536"/>
    </row>
    <row r="424" spans="1:16" ht="12.75" customHeight="1">
      <c r="A424" s="535"/>
      <c r="B424" s="536"/>
      <c r="C424" s="536"/>
      <c r="D424" s="536"/>
      <c r="E424" s="536"/>
      <c r="F424" s="536"/>
      <c r="G424" s="536"/>
      <c r="H424" s="538"/>
      <c r="I424" s="538"/>
      <c r="J424" s="260"/>
      <c r="K424" s="260"/>
      <c r="L424" s="260"/>
      <c r="M424" s="260"/>
      <c r="N424" s="260"/>
      <c r="O424" s="536"/>
      <c r="P424" s="536"/>
    </row>
    <row r="425" spans="1:16" ht="12.75" customHeight="1">
      <c r="A425" s="535"/>
      <c r="B425" s="536"/>
      <c r="C425" s="536"/>
      <c r="D425" s="536"/>
      <c r="E425" s="536"/>
      <c r="F425" s="536"/>
      <c r="G425" s="536"/>
      <c r="H425" s="538"/>
      <c r="I425" s="538"/>
      <c r="J425" s="260"/>
      <c r="K425" s="260"/>
      <c r="L425" s="260"/>
      <c r="M425" s="260"/>
      <c r="N425" s="260"/>
      <c r="O425" s="536"/>
      <c r="P425" s="536"/>
    </row>
    <row r="426" spans="1:16" ht="12.75" customHeight="1">
      <c r="A426" s="535"/>
      <c r="B426" s="536"/>
      <c r="C426" s="536"/>
      <c r="D426" s="536"/>
      <c r="E426" s="536"/>
      <c r="F426" s="536"/>
      <c r="G426" s="536"/>
      <c r="H426" s="538"/>
      <c r="I426" s="538"/>
      <c r="J426" s="260"/>
      <c r="K426" s="260"/>
      <c r="L426" s="260"/>
      <c r="M426" s="260"/>
      <c r="N426" s="260"/>
      <c r="O426" s="536"/>
      <c r="P426" s="536"/>
    </row>
    <row r="427" spans="1:16" ht="12.75" customHeight="1">
      <c r="A427" s="535"/>
      <c r="B427" s="536"/>
      <c r="C427" s="536"/>
      <c r="D427" s="536"/>
      <c r="E427" s="536"/>
      <c r="F427" s="536"/>
      <c r="G427" s="536"/>
      <c r="H427" s="538"/>
      <c r="I427" s="538"/>
      <c r="J427" s="260"/>
      <c r="K427" s="260"/>
      <c r="L427" s="260"/>
      <c r="M427" s="260"/>
      <c r="N427" s="260"/>
      <c r="O427" s="536"/>
      <c r="P427" s="536"/>
    </row>
    <row r="428" spans="1:16" ht="12.75" customHeight="1">
      <c r="A428" s="535"/>
      <c r="B428" s="536"/>
      <c r="C428" s="536"/>
      <c r="D428" s="536"/>
      <c r="E428" s="536"/>
      <c r="F428" s="536"/>
      <c r="G428" s="536"/>
      <c r="H428" s="538"/>
      <c r="I428" s="538"/>
      <c r="J428" s="260"/>
      <c r="K428" s="260"/>
      <c r="L428" s="260"/>
      <c r="M428" s="260"/>
      <c r="N428" s="260"/>
      <c r="O428" s="536"/>
      <c r="P428" s="536"/>
    </row>
    <row r="429" spans="1:16" ht="12.75" customHeight="1">
      <c r="A429" s="535"/>
      <c r="B429" s="536"/>
      <c r="C429" s="536"/>
      <c r="D429" s="536"/>
      <c r="E429" s="536"/>
      <c r="F429" s="536"/>
      <c r="G429" s="536"/>
      <c r="H429" s="538"/>
      <c r="I429" s="538"/>
      <c r="J429" s="260"/>
      <c r="K429" s="260"/>
      <c r="L429" s="260"/>
      <c r="M429" s="260"/>
      <c r="N429" s="260"/>
      <c r="O429" s="536"/>
      <c r="P429" s="536"/>
    </row>
    <row r="430" spans="1:16" ht="12.75" customHeight="1">
      <c r="A430" s="535"/>
      <c r="B430" s="536"/>
      <c r="C430" s="536"/>
      <c r="D430" s="536"/>
      <c r="E430" s="536"/>
      <c r="F430" s="536"/>
      <c r="G430" s="536"/>
      <c r="H430" s="538"/>
      <c r="I430" s="538"/>
      <c r="J430" s="260"/>
      <c r="K430" s="260"/>
      <c r="L430" s="260"/>
      <c r="M430" s="260"/>
      <c r="N430" s="260"/>
      <c r="O430" s="536"/>
      <c r="P430" s="536"/>
    </row>
    <row r="431" spans="1:16" ht="12.75" customHeight="1">
      <c r="A431" s="535"/>
      <c r="B431" s="536"/>
      <c r="C431" s="536"/>
      <c r="D431" s="536"/>
      <c r="E431" s="536"/>
      <c r="F431" s="536"/>
      <c r="G431" s="536"/>
      <c r="H431" s="538"/>
      <c r="I431" s="538"/>
      <c r="J431" s="260"/>
      <c r="K431" s="260"/>
      <c r="L431" s="260"/>
      <c r="M431" s="260"/>
      <c r="N431" s="260"/>
      <c r="O431" s="536"/>
      <c r="P431" s="536"/>
    </row>
    <row r="432" spans="1:16" ht="12.75" customHeight="1">
      <c r="A432" s="535"/>
      <c r="B432" s="536"/>
      <c r="C432" s="536"/>
      <c r="D432" s="536"/>
      <c r="E432" s="536"/>
      <c r="F432" s="536"/>
      <c r="G432" s="536"/>
      <c r="H432" s="538"/>
      <c r="I432" s="538"/>
      <c r="J432" s="260"/>
      <c r="K432" s="260"/>
      <c r="L432" s="260"/>
      <c r="M432" s="260"/>
      <c r="N432" s="260"/>
      <c r="O432" s="536"/>
      <c r="P432" s="536"/>
    </row>
    <row r="433" spans="1:16" ht="12.75" customHeight="1">
      <c r="A433" s="535"/>
      <c r="B433" s="536"/>
      <c r="C433" s="536"/>
      <c r="D433" s="536"/>
      <c r="E433" s="536"/>
      <c r="F433" s="536"/>
      <c r="G433" s="536"/>
      <c r="H433" s="538"/>
      <c r="I433" s="538"/>
      <c r="J433" s="260"/>
      <c r="K433" s="260"/>
      <c r="L433" s="260"/>
      <c r="M433" s="260"/>
      <c r="N433" s="260"/>
      <c r="O433" s="536"/>
      <c r="P433" s="536"/>
    </row>
    <row r="434" spans="1:16" ht="12.75" customHeight="1">
      <c r="A434" s="535"/>
      <c r="B434" s="536"/>
      <c r="C434" s="536"/>
      <c r="D434" s="536"/>
      <c r="E434" s="536"/>
      <c r="F434" s="536"/>
      <c r="G434" s="536"/>
      <c r="H434" s="538"/>
      <c r="I434" s="538"/>
      <c r="J434" s="260"/>
      <c r="K434" s="260"/>
      <c r="L434" s="260"/>
      <c r="M434" s="260"/>
      <c r="N434" s="260"/>
      <c r="O434" s="536"/>
      <c r="P434" s="536"/>
    </row>
    <row r="435" spans="1:16" ht="12.75" customHeight="1">
      <c r="A435" s="535"/>
      <c r="B435" s="536"/>
      <c r="C435" s="536"/>
      <c r="D435" s="536"/>
      <c r="E435" s="536"/>
      <c r="F435" s="536"/>
      <c r="G435" s="536"/>
      <c r="H435" s="538"/>
      <c r="I435" s="538"/>
      <c r="J435" s="260"/>
      <c r="K435" s="260"/>
      <c r="L435" s="260"/>
      <c r="M435" s="260"/>
      <c r="N435" s="260"/>
      <c r="O435" s="536"/>
      <c r="P435" s="536"/>
    </row>
    <row r="436" spans="1:16" ht="12.75" customHeight="1">
      <c r="A436" s="535"/>
      <c r="B436" s="536"/>
      <c r="C436" s="536"/>
      <c r="D436" s="536"/>
      <c r="E436" s="536"/>
      <c r="F436" s="536"/>
      <c r="G436" s="536"/>
      <c r="H436" s="538"/>
      <c r="I436" s="538"/>
      <c r="J436" s="260"/>
      <c r="K436" s="260"/>
      <c r="L436" s="260"/>
      <c r="M436" s="260"/>
      <c r="N436" s="260"/>
      <c r="O436" s="536"/>
      <c r="P436" s="536"/>
    </row>
    <row r="437" spans="1:16" ht="12.75" customHeight="1">
      <c r="A437" s="535"/>
      <c r="B437" s="536"/>
      <c r="C437" s="536"/>
      <c r="D437" s="536"/>
      <c r="E437" s="536"/>
      <c r="F437" s="536"/>
      <c r="G437" s="536"/>
      <c r="H437" s="538"/>
      <c r="I437" s="538"/>
      <c r="J437" s="260"/>
      <c r="K437" s="260"/>
      <c r="L437" s="260"/>
      <c r="M437" s="260"/>
      <c r="N437" s="260"/>
      <c r="O437" s="536"/>
      <c r="P437" s="536"/>
    </row>
    <row r="438" spans="1:16" ht="12.75" customHeight="1">
      <c r="A438" s="535"/>
      <c r="B438" s="536"/>
      <c r="C438" s="536"/>
      <c r="D438" s="536"/>
      <c r="E438" s="536"/>
      <c r="F438" s="536"/>
      <c r="G438" s="536"/>
      <c r="H438" s="538"/>
      <c r="I438" s="538"/>
      <c r="J438" s="260"/>
      <c r="K438" s="260"/>
      <c r="L438" s="260"/>
      <c r="M438" s="260"/>
      <c r="N438" s="260"/>
      <c r="O438" s="536"/>
      <c r="P438" s="536"/>
    </row>
    <row r="439" spans="1:16" ht="12.75" customHeight="1">
      <c r="A439" s="535"/>
      <c r="B439" s="536"/>
      <c r="C439" s="536"/>
      <c r="D439" s="536"/>
      <c r="E439" s="536"/>
      <c r="F439" s="536"/>
      <c r="G439" s="536"/>
      <c r="H439" s="538"/>
      <c r="I439" s="538"/>
      <c r="J439" s="260"/>
      <c r="K439" s="260"/>
      <c r="L439" s="260"/>
      <c r="M439" s="260"/>
      <c r="N439" s="260"/>
      <c r="O439" s="536"/>
      <c r="P439" s="536"/>
    </row>
    <row r="440" spans="1:16" ht="12.75" customHeight="1">
      <c r="A440" s="535"/>
      <c r="B440" s="536"/>
      <c r="C440" s="536"/>
      <c r="D440" s="536"/>
      <c r="E440" s="536"/>
      <c r="F440" s="536"/>
      <c r="G440" s="536"/>
      <c r="H440" s="538"/>
      <c r="I440" s="538"/>
      <c r="J440" s="260"/>
      <c r="K440" s="260"/>
      <c r="L440" s="260"/>
      <c r="M440" s="260"/>
      <c r="N440" s="260"/>
      <c r="O440" s="536"/>
      <c r="P440" s="536"/>
    </row>
    <row r="441" spans="1:16" ht="12.75" customHeight="1">
      <c r="A441" s="535"/>
      <c r="B441" s="536"/>
      <c r="C441" s="536"/>
      <c r="D441" s="536"/>
      <c r="E441" s="536"/>
      <c r="F441" s="536"/>
      <c r="G441" s="536"/>
      <c r="H441" s="538"/>
      <c r="I441" s="538"/>
      <c r="J441" s="260"/>
      <c r="K441" s="260"/>
      <c r="L441" s="260"/>
      <c r="M441" s="260"/>
      <c r="N441" s="260"/>
      <c r="O441" s="536"/>
      <c r="P441" s="536"/>
    </row>
    <row r="442" spans="1:16" ht="12.75" customHeight="1">
      <c r="A442" s="535"/>
      <c r="B442" s="536"/>
      <c r="C442" s="536"/>
      <c r="D442" s="536"/>
      <c r="E442" s="536"/>
      <c r="F442" s="536"/>
      <c r="G442" s="536"/>
      <c r="H442" s="538"/>
      <c r="I442" s="538"/>
      <c r="J442" s="260"/>
      <c r="K442" s="260"/>
      <c r="L442" s="260"/>
      <c r="M442" s="260"/>
      <c r="N442" s="260"/>
      <c r="O442" s="536"/>
      <c r="P442" s="536"/>
    </row>
    <row r="443" spans="1:16" ht="12.75" customHeight="1">
      <c r="A443" s="535"/>
      <c r="B443" s="536"/>
      <c r="C443" s="536"/>
      <c r="D443" s="536"/>
      <c r="E443" s="536"/>
      <c r="F443" s="536"/>
      <c r="G443" s="536"/>
      <c r="H443" s="538"/>
      <c r="I443" s="538"/>
      <c r="J443" s="260"/>
      <c r="K443" s="260"/>
      <c r="L443" s="260"/>
      <c r="M443" s="260"/>
      <c r="N443" s="260"/>
      <c r="O443" s="536"/>
      <c r="P443" s="536"/>
    </row>
    <row r="444" spans="1:16" ht="12.75" customHeight="1">
      <c r="A444" s="535"/>
      <c r="B444" s="536"/>
      <c r="C444" s="536"/>
      <c r="D444" s="536"/>
      <c r="E444" s="536"/>
      <c r="F444" s="536"/>
      <c r="G444" s="536"/>
      <c r="H444" s="538"/>
      <c r="I444" s="538"/>
      <c r="J444" s="260"/>
      <c r="K444" s="260"/>
      <c r="L444" s="260"/>
      <c r="M444" s="260"/>
      <c r="N444" s="260"/>
      <c r="O444" s="536"/>
      <c r="P444" s="536"/>
    </row>
    <row r="445" spans="1:16" ht="12.75" customHeight="1">
      <c r="A445" s="535"/>
      <c r="B445" s="536"/>
      <c r="C445" s="536"/>
      <c r="D445" s="536"/>
      <c r="E445" s="536"/>
      <c r="F445" s="536"/>
      <c r="G445" s="536"/>
      <c r="H445" s="538"/>
      <c r="I445" s="538"/>
      <c r="J445" s="260"/>
      <c r="K445" s="260"/>
      <c r="L445" s="260"/>
      <c r="M445" s="260"/>
      <c r="N445" s="260"/>
      <c r="O445" s="536"/>
      <c r="P445" s="536"/>
    </row>
    <row r="446" spans="1:16" ht="12.75" customHeight="1">
      <c r="A446" s="535"/>
      <c r="B446" s="536"/>
      <c r="C446" s="536"/>
      <c r="D446" s="536"/>
      <c r="E446" s="536"/>
      <c r="F446" s="536"/>
      <c r="G446" s="536"/>
      <c r="H446" s="538"/>
      <c r="I446" s="538"/>
      <c r="J446" s="260"/>
      <c r="K446" s="260"/>
      <c r="L446" s="260"/>
      <c r="M446" s="260"/>
      <c r="N446" s="260"/>
      <c r="O446" s="536"/>
      <c r="P446" s="536"/>
    </row>
    <row r="447" spans="1:16" ht="12.75" customHeight="1">
      <c r="A447" s="535"/>
      <c r="B447" s="536"/>
      <c r="C447" s="536"/>
      <c r="D447" s="536"/>
      <c r="E447" s="536"/>
      <c r="F447" s="536"/>
      <c r="G447" s="536"/>
      <c r="H447" s="538"/>
      <c r="I447" s="538"/>
      <c r="J447" s="260"/>
      <c r="K447" s="260"/>
      <c r="L447" s="260"/>
      <c r="M447" s="260"/>
      <c r="N447" s="260"/>
      <c r="O447" s="536"/>
      <c r="P447" s="536"/>
    </row>
    <row r="448" spans="1:16" ht="12.75" customHeight="1">
      <c r="A448" s="535"/>
      <c r="B448" s="536"/>
      <c r="C448" s="536"/>
      <c r="D448" s="536"/>
      <c r="E448" s="536"/>
      <c r="F448" s="536"/>
      <c r="G448" s="536"/>
      <c r="H448" s="538"/>
      <c r="I448" s="538"/>
      <c r="J448" s="260"/>
      <c r="K448" s="260"/>
      <c r="L448" s="260"/>
      <c r="M448" s="260"/>
      <c r="N448" s="260"/>
      <c r="O448" s="536"/>
      <c r="P448" s="536"/>
    </row>
    <row r="449" spans="1:16" ht="12.75" customHeight="1">
      <c r="A449" s="535"/>
      <c r="B449" s="536"/>
      <c r="C449" s="536"/>
      <c r="D449" s="536"/>
      <c r="E449" s="536"/>
      <c r="F449" s="536"/>
      <c r="G449" s="536"/>
      <c r="H449" s="538"/>
      <c r="I449" s="538"/>
      <c r="J449" s="260"/>
      <c r="K449" s="260"/>
      <c r="L449" s="260"/>
      <c r="M449" s="260"/>
      <c r="N449" s="260"/>
      <c r="O449" s="536"/>
      <c r="P449" s="536"/>
    </row>
    <row r="450" spans="1:16" ht="12.75" customHeight="1">
      <c r="A450" s="535"/>
      <c r="B450" s="536"/>
      <c r="C450" s="536"/>
      <c r="D450" s="536"/>
      <c r="E450" s="536"/>
      <c r="F450" s="536"/>
      <c r="G450" s="536"/>
      <c r="H450" s="538"/>
      <c r="I450" s="538"/>
      <c r="J450" s="260"/>
      <c r="K450" s="260"/>
      <c r="L450" s="260"/>
      <c r="M450" s="260"/>
      <c r="N450" s="260"/>
      <c r="O450" s="536"/>
      <c r="P450" s="536"/>
    </row>
    <row r="451" spans="1:16" ht="12.75" customHeight="1">
      <c r="A451" s="535"/>
      <c r="B451" s="536"/>
      <c r="C451" s="536"/>
      <c r="D451" s="536"/>
      <c r="E451" s="536"/>
      <c r="F451" s="536"/>
      <c r="G451" s="536"/>
      <c r="H451" s="538"/>
      <c r="I451" s="538"/>
      <c r="J451" s="260"/>
      <c r="K451" s="260"/>
      <c r="L451" s="260"/>
      <c r="M451" s="260"/>
      <c r="N451" s="260"/>
      <c r="O451" s="536"/>
      <c r="P451" s="536"/>
    </row>
    <row r="452" spans="1:16" ht="12.75" customHeight="1">
      <c r="A452" s="535"/>
      <c r="B452" s="536"/>
      <c r="C452" s="536"/>
      <c r="D452" s="536"/>
      <c r="E452" s="536"/>
      <c r="F452" s="536"/>
      <c r="G452" s="536"/>
      <c r="H452" s="538"/>
      <c r="I452" s="538"/>
      <c r="J452" s="260"/>
      <c r="K452" s="260"/>
      <c r="L452" s="260"/>
      <c r="M452" s="260"/>
      <c r="N452" s="260"/>
      <c r="O452" s="536"/>
      <c r="P452" s="536"/>
    </row>
    <row r="453" spans="1:16" ht="12.75" customHeight="1">
      <c r="A453" s="535"/>
      <c r="B453" s="536"/>
      <c r="C453" s="536"/>
      <c r="D453" s="536"/>
      <c r="E453" s="536"/>
      <c r="F453" s="536"/>
      <c r="G453" s="536"/>
      <c r="H453" s="538"/>
      <c r="I453" s="538"/>
      <c r="J453" s="260"/>
      <c r="K453" s="260"/>
      <c r="L453" s="260"/>
      <c r="M453" s="260"/>
      <c r="N453" s="260"/>
      <c r="O453" s="536"/>
      <c r="P453" s="536"/>
    </row>
    <row r="454" spans="1:16" ht="12.75" customHeight="1">
      <c r="A454" s="535"/>
      <c r="B454" s="536"/>
      <c r="C454" s="536"/>
      <c r="D454" s="536"/>
      <c r="E454" s="536"/>
      <c r="F454" s="536"/>
      <c r="G454" s="536"/>
      <c r="H454" s="538"/>
      <c r="I454" s="538"/>
      <c r="J454" s="260"/>
      <c r="K454" s="260"/>
      <c r="L454" s="260"/>
      <c r="M454" s="260"/>
      <c r="N454" s="260"/>
      <c r="O454" s="536"/>
      <c r="P454" s="536"/>
    </row>
    <row r="455" spans="1:16" ht="12.75" customHeight="1">
      <c r="A455" s="535"/>
      <c r="B455" s="536"/>
      <c r="C455" s="536"/>
      <c r="D455" s="536"/>
      <c r="E455" s="536"/>
      <c r="F455" s="536"/>
      <c r="G455" s="536"/>
      <c r="H455" s="538"/>
      <c r="I455" s="538"/>
      <c r="J455" s="260"/>
      <c r="K455" s="260"/>
      <c r="L455" s="260"/>
      <c r="M455" s="260"/>
      <c r="N455" s="260"/>
      <c r="O455" s="536"/>
      <c r="P455" s="536"/>
    </row>
    <row r="456" spans="1:16" ht="12.75" customHeight="1">
      <c r="A456" s="535"/>
      <c r="B456" s="536"/>
      <c r="C456" s="536"/>
      <c r="D456" s="536"/>
      <c r="E456" s="536"/>
      <c r="F456" s="536"/>
      <c r="G456" s="536"/>
      <c r="H456" s="538"/>
      <c r="I456" s="538"/>
      <c r="J456" s="260"/>
      <c r="K456" s="260"/>
      <c r="L456" s="260"/>
      <c r="M456" s="260"/>
      <c r="N456" s="260"/>
      <c r="O456" s="536"/>
      <c r="P456" s="536"/>
    </row>
    <row r="457" spans="1:16" ht="12.75" customHeight="1">
      <c r="A457" s="535"/>
      <c r="B457" s="536"/>
      <c r="C457" s="536"/>
      <c r="D457" s="536"/>
      <c r="E457" s="536"/>
      <c r="F457" s="536"/>
      <c r="G457" s="536"/>
      <c r="H457" s="538"/>
      <c r="I457" s="538"/>
      <c r="J457" s="260"/>
      <c r="K457" s="260"/>
      <c r="L457" s="260"/>
      <c r="M457" s="260"/>
      <c r="N457" s="260"/>
      <c r="O457" s="536"/>
      <c r="P457" s="536"/>
    </row>
    <row r="458" spans="1:16" ht="12.75" customHeight="1">
      <c r="A458" s="535"/>
      <c r="B458" s="536"/>
      <c r="C458" s="536"/>
      <c r="D458" s="536"/>
      <c r="E458" s="536"/>
      <c r="F458" s="536"/>
      <c r="G458" s="536"/>
      <c r="H458" s="538"/>
      <c r="I458" s="538"/>
      <c r="J458" s="260"/>
      <c r="K458" s="260"/>
      <c r="L458" s="260"/>
      <c r="M458" s="260"/>
      <c r="N458" s="260"/>
      <c r="O458" s="536"/>
      <c r="P458" s="536"/>
    </row>
    <row r="459" spans="1:16" ht="12.75" customHeight="1">
      <c r="A459" s="535"/>
      <c r="B459" s="536"/>
      <c r="C459" s="536"/>
      <c r="D459" s="536"/>
      <c r="E459" s="536"/>
      <c r="F459" s="536"/>
      <c r="G459" s="536"/>
      <c r="H459" s="538"/>
      <c r="I459" s="538"/>
      <c r="J459" s="260"/>
      <c r="K459" s="260"/>
      <c r="L459" s="260"/>
      <c r="M459" s="260"/>
      <c r="N459" s="260"/>
      <c r="O459" s="536"/>
      <c r="P459" s="536"/>
    </row>
    <row r="460" spans="1:16" ht="12.75" customHeight="1">
      <c r="A460" s="535"/>
      <c r="B460" s="536"/>
      <c r="C460" s="536"/>
      <c r="D460" s="536"/>
      <c r="E460" s="536"/>
      <c r="F460" s="536"/>
      <c r="G460" s="536"/>
      <c r="H460" s="538"/>
      <c r="I460" s="538"/>
      <c r="J460" s="260"/>
      <c r="K460" s="260"/>
      <c r="L460" s="260"/>
      <c r="M460" s="260"/>
      <c r="N460" s="260"/>
      <c r="O460" s="536"/>
      <c r="P460" s="536"/>
    </row>
    <row r="461" spans="1:16" ht="12.75" customHeight="1">
      <c r="A461" s="535"/>
      <c r="B461" s="536"/>
      <c r="C461" s="536"/>
      <c r="D461" s="536"/>
      <c r="E461" s="536"/>
      <c r="F461" s="536"/>
      <c r="G461" s="536"/>
      <c r="H461" s="538"/>
      <c r="I461" s="538"/>
      <c r="J461" s="260"/>
      <c r="K461" s="260"/>
      <c r="L461" s="260"/>
      <c r="M461" s="260"/>
      <c r="N461" s="260"/>
      <c r="O461" s="536"/>
      <c r="P461" s="536"/>
    </row>
    <row r="462" spans="1:16" ht="12.75" customHeight="1">
      <c r="A462" s="535"/>
      <c r="B462" s="536"/>
      <c r="C462" s="536"/>
      <c r="D462" s="536"/>
      <c r="E462" s="536"/>
      <c r="F462" s="536"/>
      <c r="G462" s="536"/>
      <c r="H462" s="538"/>
      <c r="I462" s="538"/>
      <c r="J462" s="260"/>
      <c r="K462" s="260"/>
      <c r="L462" s="260"/>
      <c r="M462" s="260"/>
      <c r="N462" s="260"/>
      <c r="O462" s="536"/>
      <c r="P462" s="536"/>
    </row>
    <row r="463" spans="1:16" ht="12.75" customHeight="1">
      <c r="A463" s="535"/>
      <c r="B463" s="536"/>
      <c r="C463" s="536"/>
      <c r="D463" s="536"/>
      <c r="E463" s="536"/>
      <c r="F463" s="536"/>
      <c r="G463" s="536"/>
      <c r="H463" s="538"/>
      <c r="I463" s="538"/>
      <c r="J463" s="260"/>
      <c r="K463" s="260"/>
      <c r="L463" s="260"/>
      <c r="M463" s="260"/>
      <c r="N463" s="260"/>
      <c r="O463" s="536"/>
      <c r="P463" s="536"/>
    </row>
    <row r="464" spans="1:16" ht="12.75" customHeight="1">
      <c r="A464" s="535"/>
      <c r="B464" s="536"/>
      <c r="C464" s="536"/>
      <c r="D464" s="536"/>
      <c r="E464" s="536"/>
      <c r="F464" s="536"/>
      <c r="G464" s="536"/>
      <c r="H464" s="538"/>
      <c r="I464" s="538"/>
      <c r="J464" s="260"/>
      <c r="K464" s="260"/>
      <c r="L464" s="260"/>
      <c r="M464" s="260"/>
      <c r="N464" s="260"/>
      <c r="O464" s="536"/>
      <c r="P464" s="536"/>
    </row>
    <row r="465" spans="1:16" ht="12.75" customHeight="1">
      <c r="A465" s="535"/>
      <c r="B465" s="536"/>
      <c r="C465" s="536"/>
      <c r="D465" s="536"/>
      <c r="E465" s="536"/>
      <c r="F465" s="536"/>
      <c r="G465" s="536"/>
      <c r="H465" s="538"/>
      <c r="I465" s="538"/>
      <c r="J465" s="260"/>
      <c r="K465" s="260"/>
      <c r="L465" s="260"/>
      <c r="M465" s="260"/>
      <c r="N465" s="260"/>
      <c r="O465" s="536"/>
      <c r="P465" s="536"/>
    </row>
    <row r="466" spans="1:16" ht="12.75" customHeight="1">
      <c r="A466" s="535"/>
      <c r="B466" s="536"/>
      <c r="C466" s="536"/>
      <c r="D466" s="536"/>
      <c r="E466" s="536"/>
      <c r="F466" s="536"/>
      <c r="G466" s="536"/>
      <c r="H466" s="538"/>
      <c r="I466" s="538"/>
      <c r="J466" s="260"/>
      <c r="K466" s="260"/>
      <c r="L466" s="260"/>
      <c r="M466" s="260"/>
      <c r="N466" s="260"/>
      <c r="O466" s="536"/>
      <c r="P466" s="536"/>
    </row>
    <row r="467" spans="1:16" ht="12.75" customHeight="1">
      <c r="A467" s="535"/>
      <c r="B467" s="536"/>
      <c r="C467" s="536"/>
      <c r="D467" s="536"/>
      <c r="E467" s="536"/>
      <c r="F467" s="536"/>
      <c r="G467" s="536"/>
      <c r="H467" s="538"/>
      <c r="I467" s="538"/>
      <c r="J467" s="260"/>
      <c r="K467" s="260"/>
      <c r="L467" s="260"/>
      <c r="M467" s="260"/>
      <c r="N467" s="260"/>
      <c r="O467" s="536"/>
      <c r="P467" s="536"/>
    </row>
    <row r="468" spans="1:16" ht="12.75" customHeight="1">
      <c r="A468" s="535"/>
      <c r="B468" s="536"/>
      <c r="C468" s="536"/>
      <c r="D468" s="536"/>
      <c r="E468" s="536"/>
      <c r="F468" s="536"/>
      <c r="G468" s="536"/>
      <c r="H468" s="538"/>
      <c r="I468" s="538"/>
      <c r="J468" s="260"/>
      <c r="K468" s="260"/>
      <c r="L468" s="260"/>
      <c r="M468" s="260"/>
      <c r="N468" s="260"/>
      <c r="O468" s="536"/>
      <c r="P468" s="536"/>
    </row>
    <row r="469" spans="1:16" ht="12.75" customHeight="1">
      <c r="A469" s="535"/>
      <c r="B469" s="536"/>
      <c r="C469" s="536"/>
      <c r="D469" s="536"/>
      <c r="E469" s="536"/>
      <c r="F469" s="536"/>
      <c r="G469" s="536"/>
      <c r="H469" s="538"/>
      <c r="I469" s="538"/>
      <c r="J469" s="260"/>
      <c r="K469" s="260"/>
      <c r="L469" s="260"/>
      <c r="M469" s="260"/>
      <c r="N469" s="260"/>
      <c r="O469" s="536"/>
      <c r="P469" s="536"/>
    </row>
    <row r="470" spans="1:16" ht="12.75" customHeight="1">
      <c r="A470" s="535"/>
      <c r="B470" s="536"/>
      <c r="C470" s="536"/>
      <c r="D470" s="536"/>
      <c r="E470" s="536"/>
      <c r="F470" s="536"/>
      <c r="G470" s="536"/>
      <c r="H470" s="538"/>
      <c r="I470" s="538"/>
      <c r="J470" s="260"/>
      <c r="K470" s="260"/>
      <c r="L470" s="260"/>
      <c r="M470" s="260"/>
      <c r="N470" s="260"/>
      <c r="O470" s="536"/>
      <c r="P470" s="536"/>
    </row>
    <row r="471" spans="1:16" ht="12.75" customHeight="1">
      <c r="A471" s="535"/>
      <c r="B471" s="536"/>
      <c r="C471" s="536"/>
      <c r="D471" s="536"/>
      <c r="E471" s="536"/>
      <c r="F471" s="536"/>
      <c r="G471" s="536"/>
      <c r="H471" s="538"/>
      <c r="I471" s="538"/>
      <c r="J471" s="260"/>
      <c r="K471" s="260"/>
      <c r="L471" s="260"/>
      <c r="M471" s="260"/>
      <c r="N471" s="260"/>
      <c r="O471" s="536"/>
      <c r="P471" s="536"/>
    </row>
    <row r="472" spans="1:16" ht="12.75" customHeight="1">
      <c r="A472" s="535"/>
      <c r="B472" s="536"/>
      <c r="C472" s="536"/>
      <c r="D472" s="536"/>
      <c r="E472" s="536"/>
      <c r="F472" s="536"/>
      <c r="G472" s="536"/>
      <c r="H472" s="538"/>
      <c r="I472" s="538"/>
      <c r="J472" s="260"/>
      <c r="K472" s="260"/>
      <c r="L472" s="260"/>
      <c r="M472" s="260"/>
      <c r="N472" s="260"/>
      <c r="O472" s="536"/>
      <c r="P472" s="536"/>
    </row>
    <row r="473" spans="1:16" ht="12.75" customHeight="1">
      <c r="A473" s="535"/>
      <c r="B473" s="536"/>
      <c r="C473" s="536"/>
      <c r="D473" s="536"/>
      <c r="E473" s="536"/>
      <c r="F473" s="536"/>
      <c r="G473" s="536"/>
      <c r="H473" s="538"/>
      <c r="I473" s="538"/>
      <c r="J473" s="260"/>
      <c r="K473" s="260"/>
      <c r="L473" s="260"/>
      <c r="M473" s="260"/>
      <c r="N473" s="260"/>
      <c r="O473" s="536"/>
      <c r="P473" s="536"/>
    </row>
    <row r="474" spans="1:16" ht="12.75" customHeight="1">
      <c r="A474" s="535"/>
      <c r="B474" s="536"/>
      <c r="C474" s="536"/>
      <c r="D474" s="536"/>
      <c r="E474" s="536"/>
      <c r="F474" s="536"/>
      <c r="G474" s="536"/>
      <c r="H474" s="538"/>
      <c r="I474" s="538"/>
      <c r="J474" s="260"/>
      <c r="K474" s="260"/>
      <c r="L474" s="260"/>
      <c r="M474" s="260"/>
      <c r="N474" s="260"/>
      <c r="O474" s="536"/>
      <c r="P474" s="536"/>
    </row>
    <row r="475" spans="1:16" ht="12.75" customHeight="1">
      <c r="A475" s="535"/>
      <c r="B475" s="536"/>
      <c r="C475" s="536"/>
      <c r="D475" s="536"/>
      <c r="E475" s="536"/>
      <c r="F475" s="536"/>
      <c r="G475" s="536"/>
      <c r="H475" s="538"/>
      <c r="I475" s="538"/>
      <c r="J475" s="260"/>
      <c r="K475" s="260"/>
      <c r="L475" s="260"/>
      <c r="M475" s="260"/>
      <c r="N475" s="260"/>
      <c r="O475" s="536"/>
      <c r="P475" s="536"/>
    </row>
    <row r="476" spans="1:16" ht="12.75" customHeight="1">
      <c r="A476" s="535"/>
      <c r="B476" s="536"/>
      <c r="C476" s="536"/>
      <c r="D476" s="536"/>
      <c r="E476" s="536"/>
      <c r="F476" s="536"/>
      <c r="G476" s="536"/>
      <c r="H476" s="538"/>
      <c r="I476" s="538"/>
      <c r="J476" s="260"/>
      <c r="K476" s="260"/>
      <c r="L476" s="260"/>
      <c r="M476" s="260"/>
      <c r="N476" s="260"/>
      <c r="O476" s="536"/>
      <c r="P476" s="536"/>
    </row>
    <row r="477" spans="1:16" ht="12.75" customHeight="1">
      <c r="A477" s="535"/>
      <c r="B477" s="536"/>
      <c r="C477" s="536"/>
      <c r="D477" s="536"/>
      <c r="E477" s="536"/>
      <c r="F477" s="536"/>
      <c r="G477" s="536"/>
      <c r="H477" s="538"/>
      <c r="I477" s="538"/>
      <c r="J477" s="260"/>
      <c r="K477" s="260"/>
      <c r="L477" s="260"/>
      <c r="M477" s="260"/>
      <c r="N477" s="260"/>
      <c r="O477" s="536"/>
      <c r="P477" s="536"/>
    </row>
    <row r="478" spans="1:16" ht="12.75" customHeight="1">
      <c r="A478" s="535"/>
      <c r="B478" s="536"/>
      <c r="C478" s="536"/>
      <c r="D478" s="536"/>
      <c r="E478" s="536"/>
      <c r="F478" s="536"/>
      <c r="G478" s="536"/>
      <c r="H478" s="538"/>
      <c r="I478" s="538"/>
      <c r="J478" s="260"/>
      <c r="K478" s="260"/>
      <c r="L478" s="260"/>
      <c r="M478" s="260"/>
      <c r="N478" s="260"/>
      <c r="O478" s="536"/>
      <c r="P478" s="536"/>
    </row>
    <row r="479" spans="1:16" ht="12.75" customHeight="1">
      <c r="A479" s="535"/>
      <c r="B479" s="536"/>
      <c r="C479" s="536"/>
      <c r="D479" s="536"/>
      <c r="E479" s="536"/>
      <c r="F479" s="536"/>
      <c r="G479" s="536"/>
      <c r="H479" s="538"/>
      <c r="I479" s="538"/>
      <c r="J479" s="260"/>
      <c r="K479" s="260"/>
      <c r="L479" s="260"/>
      <c r="M479" s="260"/>
      <c r="N479" s="260"/>
      <c r="O479" s="536"/>
      <c r="P479" s="536"/>
    </row>
    <row r="480" spans="1:16" ht="12.75" customHeight="1">
      <c r="A480" s="535"/>
      <c r="B480" s="536"/>
      <c r="C480" s="536"/>
      <c r="D480" s="536"/>
      <c r="E480" s="536"/>
      <c r="F480" s="536"/>
      <c r="G480" s="536"/>
      <c r="H480" s="538"/>
      <c r="I480" s="538"/>
      <c r="J480" s="260"/>
      <c r="K480" s="260"/>
      <c r="L480" s="260"/>
      <c r="M480" s="260"/>
      <c r="N480" s="260"/>
      <c r="O480" s="536"/>
      <c r="P480" s="536"/>
    </row>
    <row r="481" spans="1:16" ht="12.75" customHeight="1">
      <c r="A481" s="535"/>
      <c r="B481" s="536"/>
      <c r="C481" s="536"/>
      <c r="D481" s="536"/>
      <c r="E481" s="536"/>
      <c r="F481" s="536"/>
      <c r="G481" s="536"/>
      <c r="H481" s="538"/>
      <c r="I481" s="538"/>
      <c r="J481" s="260"/>
      <c r="K481" s="260"/>
      <c r="L481" s="260"/>
      <c r="M481" s="260"/>
      <c r="N481" s="260"/>
      <c r="O481" s="536"/>
      <c r="P481" s="536"/>
    </row>
    <row r="482" spans="1:16" ht="12.75" customHeight="1">
      <c r="A482" s="535"/>
      <c r="B482" s="536"/>
      <c r="C482" s="536"/>
      <c r="D482" s="536"/>
      <c r="E482" s="536"/>
      <c r="F482" s="536"/>
      <c r="G482" s="536"/>
      <c r="H482" s="538"/>
      <c r="I482" s="538"/>
      <c r="J482" s="260"/>
      <c r="K482" s="260"/>
      <c r="L482" s="260"/>
      <c r="M482" s="260"/>
      <c r="N482" s="260"/>
      <c r="O482" s="536"/>
      <c r="P482" s="536"/>
    </row>
    <row r="483" spans="1:16" ht="12.75" customHeight="1">
      <c r="A483" s="535"/>
      <c r="B483" s="536"/>
      <c r="C483" s="536"/>
      <c r="D483" s="536"/>
      <c r="E483" s="536"/>
      <c r="F483" s="536"/>
      <c r="G483" s="536"/>
      <c r="H483" s="538"/>
      <c r="I483" s="538"/>
      <c r="J483" s="260"/>
      <c r="K483" s="260"/>
      <c r="L483" s="260"/>
      <c r="M483" s="260"/>
      <c r="N483" s="260"/>
      <c r="O483" s="536"/>
      <c r="P483" s="536"/>
    </row>
    <row r="484" spans="1:16" ht="12.75" customHeight="1">
      <c r="A484" s="535"/>
      <c r="B484" s="536"/>
      <c r="C484" s="536"/>
      <c r="D484" s="536"/>
      <c r="E484" s="536"/>
      <c r="F484" s="536"/>
      <c r="G484" s="536"/>
      <c r="H484" s="538"/>
      <c r="I484" s="538"/>
      <c r="J484" s="260"/>
      <c r="K484" s="260"/>
      <c r="L484" s="260"/>
      <c r="M484" s="260"/>
      <c r="N484" s="260"/>
      <c r="O484" s="536"/>
      <c r="P484" s="536"/>
    </row>
    <row r="485" spans="1:16" ht="12.75" customHeight="1">
      <c r="A485" s="535"/>
      <c r="B485" s="536"/>
      <c r="C485" s="536"/>
      <c r="D485" s="536"/>
      <c r="E485" s="536"/>
      <c r="F485" s="536"/>
      <c r="G485" s="536"/>
      <c r="H485" s="538"/>
      <c r="I485" s="538"/>
      <c r="J485" s="260"/>
      <c r="K485" s="260"/>
      <c r="L485" s="260"/>
      <c r="M485" s="260"/>
      <c r="N485" s="260"/>
      <c r="O485" s="536"/>
      <c r="P485" s="536"/>
    </row>
    <row r="486" spans="1:16" ht="12.75" customHeight="1">
      <c r="A486" s="535"/>
      <c r="B486" s="536"/>
      <c r="C486" s="536"/>
      <c r="D486" s="536"/>
      <c r="E486" s="536"/>
      <c r="F486" s="536"/>
      <c r="G486" s="536"/>
      <c r="H486" s="538"/>
      <c r="I486" s="538"/>
      <c r="J486" s="260"/>
      <c r="K486" s="260"/>
      <c r="L486" s="260"/>
      <c r="M486" s="260"/>
      <c r="N486" s="260"/>
      <c r="O486" s="536"/>
      <c r="P486" s="536"/>
    </row>
    <row r="487" spans="1:16" ht="12.75" customHeight="1">
      <c r="A487" s="535"/>
      <c r="B487" s="536"/>
      <c r="C487" s="536"/>
      <c r="D487" s="536"/>
      <c r="E487" s="536"/>
      <c r="F487" s="536"/>
      <c r="G487" s="536"/>
      <c r="H487" s="538"/>
      <c r="I487" s="538"/>
      <c r="J487" s="260"/>
      <c r="K487" s="260"/>
      <c r="L487" s="260"/>
      <c r="M487" s="260"/>
      <c r="N487" s="260"/>
      <c r="O487" s="536"/>
      <c r="P487" s="536"/>
    </row>
    <row r="488" spans="1:16" ht="12.75" customHeight="1">
      <c r="A488" s="535"/>
      <c r="B488" s="536"/>
      <c r="C488" s="536"/>
      <c r="D488" s="536"/>
      <c r="E488" s="536"/>
      <c r="F488" s="536"/>
      <c r="G488" s="536"/>
      <c r="H488" s="538"/>
      <c r="I488" s="538"/>
      <c r="J488" s="260"/>
      <c r="K488" s="260"/>
      <c r="L488" s="260"/>
      <c r="M488" s="260"/>
      <c r="N488" s="260"/>
      <c r="O488" s="536"/>
      <c r="P488" s="536"/>
    </row>
    <row r="489" spans="1:16" ht="12.75" customHeight="1">
      <c r="A489" s="535"/>
      <c r="B489" s="536"/>
      <c r="C489" s="536"/>
      <c r="D489" s="536"/>
      <c r="E489" s="536"/>
      <c r="F489" s="536"/>
      <c r="G489" s="536"/>
      <c r="H489" s="538"/>
      <c r="I489" s="538"/>
      <c r="J489" s="260"/>
      <c r="K489" s="260"/>
      <c r="L489" s="260"/>
      <c r="M489" s="260"/>
      <c r="N489" s="260"/>
      <c r="O489" s="536"/>
      <c r="P489" s="536"/>
    </row>
    <row r="490" spans="1:16" ht="12.75" customHeight="1">
      <c r="A490" s="535"/>
      <c r="B490" s="536"/>
      <c r="C490" s="536"/>
      <c r="D490" s="536"/>
      <c r="E490" s="536"/>
      <c r="F490" s="536"/>
      <c r="G490" s="536"/>
      <c r="H490" s="538"/>
      <c r="I490" s="538"/>
      <c r="J490" s="260"/>
      <c r="K490" s="260"/>
      <c r="L490" s="260"/>
      <c r="M490" s="260"/>
      <c r="N490" s="260"/>
      <c r="O490" s="536"/>
      <c r="P490" s="536"/>
    </row>
    <row r="491" spans="1:16" ht="12.75" customHeight="1">
      <c r="A491" s="535"/>
      <c r="B491" s="536"/>
      <c r="C491" s="536"/>
      <c r="D491" s="536"/>
      <c r="E491" s="536"/>
      <c r="F491" s="536"/>
      <c r="G491" s="536"/>
      <c r="H491" s="538"/>
      <c r="I491" s="538"/>
      <c r="J491" s="260"/>
      <c r="K491" s="260"/>
      <c r="L491" s="260"/>
      <c r="M491" s="260"/>
      <c r="N491" s="260"/>
      <c r="O491" s="536"/>
      <c r="P491" s="536"/>
    </row>
    <row r="492" spans="1:16" ht="12.75" customHeight="1">
      <c r="A492" s="535"/>
      <c r="B492" s="536"/>
      <c r="C492" s="536"/>
      <c r="D492" s="536"/>
      <c r="E492" s="536"/>
      <c r="F492" s="536"/>
      <c r="G492" s="536"/>
      <c r="H492" s="538"/>
      <c r="I492" s="538"/>
      <c r="J492" s="260"/>
      <c r="K492" s="260"/>
      <c r="L492" s="260"/>
      <c r="M492" s="260"/>
      <c r="N492" s="260"/>
      <c r="O492" s="536"/>
      <c r="P492" s="536"/>
    </row>
    <row r="493" spans="1:16" ht="12.75" customHeight="1">
      <c r="A493" s="535"/>
      <c r="B493" s="536"/>
      <c r="C493" s="536"/>
      <c r="D493" s="536"/>
      <c r="E493" s="536"/>
      <c r="F493" s="536"/>
      <c r="G493" s="536"/>
      <c r="H493" s="538"/>
      <c r="I493" s="538"/>
      <c r="J493" s="260"/>
      <c r="K493" s="260"/>
      <c r="L493" s="260"/>
      <c r="M493" s="260"/>
      <c r="N493" s="260"/>
      <c r="O493" s="536"/>
      <c r="P493" s="536"/>
    </row>
    <row r="494" spans="1:16" ht="12.75" customHeight="1">
      <c r="A494" s="535"/>
      <c r="B494" s="536"/>
      <c r="C494" s="536"/>
      <c r="D494" s="536"/>
      <c r="E494" s="536"/>
      <c r="F494" s="536"/>
      <c r="G494" s="536"/>
      <c r="H494" s="538"/>
      <c r="I494" s="538"/>
      <c r="J494" s="260"/>
      <c r="K494" s="260"/>
      <c r="L494" s="260"/>
      <c r="M494" s="260"/>
      <c r="N494" s="260"/>
      <c r="O494" s="536"/>
      <c r="P494" s="536"/>
    </row>
    <row r="495" spans="1:16" ht="12.75" customHeight="1">
      <c r="A495" s="535"/>
      <c r="B495" s="536"/>
      <c r="C495" s="536"/>
      <c r="D495" s="536"/>
      <c r="E495" s="536"/>
      <c r="F495" s="536"/>
      <c r="G495" s="536"/>
      <c r="H495" s="538"/>
      <c r="I495" s="538"/>
      <c r="J495" s="260"/>
      <c r="K495" s="260"/>
      <c r="L495" s="260"/>
      <c r="M495" s="260"/>
      <c r="N495" s="260"/>
      <c r="O495" s="536"/>
      <c r="P495" s="536"/>
    </row>
    <row r="496" spans="1:16" ht="12.75" customHeight="1">
      <c r="A496" s="535"/>
      <c r="B496" s="536"/>
      <c r="C496" s="536"/>
      <c r="D496" s="536"/>
      <c r="E496" s="536"/>
      <c r="F496" s="536"/>
      <c r="G496" s="536"/>
      <c r="H496" s="538"/>
      <c r="I496" s="538"/>
      <c r="J496" s="260"/>
      <c r="K496" s="260"/>
      <c r="L496" s="260"/>
      <c r="M496" s="260"/>
      <c r="N496" s="260"/>
      <c r="O496" s="536"/>
      <c r="P496" s="536"/>
    </row>
    <row r="497" spans="1:16" ht="12.75" customHeight="1">
      <c r="A497" s="535"/>
      <c r="B497" s="536"/>
      <c r="C497" s="536"/>
      <c r="D497" s="536"/>
      <c r="E497" s="536"/>
      <c r="F497" s="536"/>
      <c r="G497" s="536"/>
      <c r="H497" s="538"/>
      <c r="I497" s="538"/>
      <c r="J497" s="260"/>
      <c r="K497" s="260"/>
      <c r="L497" s="260"/>
      <c r="M497" s="260"/>
      <c r="N497" s="260"/>
      <c r="O497" s="536"/>
      <c r="P497" s="536"/>
    </row>
    <row r="498" spans="1:16" ht="12.75" customHeight="1">
      <c r="A498" s="535"/>
      <c r="B498" s="536"/>
      <c r="C498" s="536"/>
      <c r="D498" s="536"/>
      <c r="E498" s="536"/>
      <c r="F498" s="536"/>
      <c r="G498" s="536"/>
      <c r="H498" s="538"/>
      <c r="I498" s="538"/>
      <c r="J498" s="260"/>
      <c r="K498" s="260"/>
      <c r="L498" s="260"/>
      <c r="M498" s="260"/>
      <c r="N498" s="260"/>
      <c r="O498" s="536"/>
      <c r="P498" s="536"/>
    </row>
    <row r="499" spans="1:16" ht="12.75" customHeight="1">
      <c r="A499" s="535"/>
      <c r="B499" s="536"/>
      <c r="C499" s="536"/>
      <c r="D499" s="536"/>
      <c r="E499" s="536"/>
      <c r="F499" s="536"/>
      <c r="G499" s="536"/>
      <c r="H499" s="538"/>
      <c r="I499" s="538"/>
      <c r="J499" s="260"/>
      <c r="K499" s="260"/>
      <c r="L499" s="260"/>
      <c r="M499" s="260"/>
      <c r="N499" s="260"/>
      <c r="O499" s="536"/>
      <c r="P499" s="536"/>
    </row>
    <row r="500" spans="1:16" ht="12.75" customHeight="1">
      <c r="A500" s="535"/>
      <c r="B500" s="536"/>
      <c r="C500" s="536"/>
      <c r="D500" s="536"/>
      <c r="E500" s="536"/>
      <c r="F500" s="536"/>
      <c r="G500" s="536"/>
      <c r="H500" s="538"/>
      <c r="I500" s="538"/>
      <c r="J500" s="260"/>
      <c r="K500" s="260"/>
      <c r="L500" s="260"/>
      <c r="M500" s="260"/>
      <c r="N500" s="260"/>
      <c r="O500" s="536"/>
      <c r="P500" s="536"/>
    </row>
    <row r="501" spans="1:16" ht="12.75" customHeight="1">
      <c r="A501" s="535"/>
      <c r="B501" s="536"/>
      <c r="C501" s="536"/>
      <c r="D501" s="536"/>
      <c r="E501" s="536"/>
      <c r="F501" s="536"/>
      <c r="G501" s="536"/>
      <c r="H501" s="538"/>
      <c r="I501" s="538"/>
      <c r="J501" s="260"/>
      <c r="K501" s="260"/>
      <c r="L501" s="260"/>
      <c r="M501" s="260"/>
      <c r="N501" s="260"/>
      <c r="O501" s="536"/>
      <c r="P501" s="536"/>
    </row>
    <row r="502" spans="1:16" ht="12.75" customHeight="1">
      <c r="A502" s="535"/>
      <c r="B502" s="536"/>
      <c r="C502" s="536"/>
      <c r="D502" s="536"/>
      <c r="E502" s="536"/>
      <c r="F502" s="536"/>
      <c r="G502" s="536"/>
      <c r="H502" s="538"/>
      <c r="I502" s="538"/>
      <c r="J502" s="260"/>
      <c r="K502" s="260"/>
      <c r="L502" s="260"/>
      <c r="M502" s="260"/>
      <c r="N502" s="260"/>
      <c r="O502" s="536"/>
      <c r="P502" s="536"/>
    </row>
    <row r="503" spans="1:16" ht="12.75" customHeight="1">
      <c r="A503" s="535"/>
      <c r="B503" s="536"/>
      <c r="C503" s="536"/>
      <c r="D503" s="536"/>
      <c r="E503" s="536"/>
      <c r="F503" s="536"/>
      <c r="G503" s="536"/>
      <c r="H503" s="538"/>
      <c r="I503" s="538"/>
      <c r="J503" s="260"/>
      <c r="K503" s="260"/>
      <c r="L503" s="260"/>
      <c r="M503" s="260"/>
      <c r="N503" s="260"/>
      <c r="O503" s="536"/>
      <c r="P503" s="536"/>
    </row>
    <row r="504" spans="1:16" ht="12.75" customHeight="1">
      <c r="A504" s="535"/>
      <c r="B504" s="536"/>
      <c r="C504" s="536"/>
      <c r="D504" s="536"/>
      <c r="E504" s="536"/>
      <c r="F504" s="536"/>
      <c r="G504" s="536"/>
      <c r="H504" s="538"/>
      <c r="I504" s="538"/>
      <c r="J504" s="260"/>
      <c r="K504" s="260"/>
      <c r="L504" s="260"/>
      <c r="M504" s="260"/>
      <c r="N504" s="260"/>
      <c r="O504" s="536"/>
      <c r="P504" s="536"/>
    </row>
    <row r="505" spans="1:16" ht="12.75" customHeight="1">
      <c r="A505" s="535"/>
      <c r="B505" s="536"/>
      <c r="C505" s="536"/>
      <c r="D505" s="536"/>
      <c r="E505" s="536"/>
      <c r="F505" s="536"/>
      <c r="G505" s="536"/>
      <c r="H505" s="538"/>
      <c r="I505" s="538"/>
      <c r="J505" s="260"/>
      <c r="K505" s="260"/>
      <c r="L505" s="260"/>
      <c r="M505" s="260"/>
      <c r="N505" s="260"/>
      <c r="O505" s="536"/>
      <c r="P505" s="536"/>
    </row>
    <row r="506" spans="1:16" ht="12.75" customHeight="1">
      <c r="A506" s="535"/>
      <c r="B506" s="536"/>
      <c r="C506" s="536"/>
      <c r="D506" s="536"/>
      <c r="E506" s="536"/>
      <c r="F506" s="536"/>
      <c r="G506" s="536"/>
      <c r="H506" s="538"/>
      <c r="I506" s="538"/>
      <c r="J506" s="260"/>
      <c r="K506" s="260"/>
      <c r="L506" s="260"/>
      <c r="M506" s="260"/>
      <c r="N506" s="260"/>
      <c r="O506" s="536"/>
      <c r="P506" s="536"/>
    </row>
    <row r="507" spans="1:16" ht="12.75" customHeight="1">
      <c r="A507" s="535"/>
      <c r="B507" s="536"/>
      <c r="C507" s="536"/>
      <c r="D507" s="536"/>
      <c r="E507" s="536"/>
      <c r="F507" s="536"/>
      <c r="G507" s="536"/>
      <c r="H507" s="538"/>
      <c r="I507" s="538"/>
      <c r="J507" s="260"/>
      <c r="K507" s="260"/>
      <c r="L507" s="260"/>
      <c r="M507" s="260"/>
      <c r="N507" s="260"/>
      <c r="O507" s="536"/>
      <c r="P507" s="536"/>
    </row>
    <row r="508" spans="1:16" ht="12.75" customHeight="1">
      <c r="A508" s="535"/>
      <c r="B508" s="536"/>
      <c r="C508" s="536"/>
      <c r="D508" s="536"/>
      <c r="E508" s="536"/>
      <c r="F508" s="536"/>
      <c r="G508" s="536"/>
      <c r="H508" s="538"/>
      <c r="I508" s="538"/>
      <c r="J508" s="260"/>
      <c r="K508" s="260"/>
      <c r="L508" s="260"/>
      <c r="M508" s="260"/>
      <c r="N508" s="260"/>
      <c r="O508" s="536"/>
      <c r="P508" s="536"/>
    </row>
    <row r="509" spans="1:16" ht="12.75" customHeight="1">
      <c r="A509" s="535"/>
      <c r="B509" s="536"/>
      <c r="C509" s="536"/>
      <c r="D509" s="536"/>
      <c r="E509" s="536"/>
      <c r="F509" s="536"/>
      <c r="G509" s="536"/>
      <c r="H509" s="538"/>
      <c r="I509" s="538"/>
      <c r="J509" s="260"/>
      <c r="K509" s="260"/>
      <c r="L509" s="260"/>
      <c r="M509" s="260"/>
      <c r="N509" s="260"/>
      <c r="O509" s="536"/>
      <c r="P509" s="536"/>
    </row>
    <row r="510" spans="1:16" ht="12.75" customHeight="1">
      <c r="A510" s="535"/>
      <c r="B510" s="536"/>
      <c r="C510" s="536"/>
      <c r="D510" s="536"/>
      <c r="E510" s="536"/>
      <c r="F510" s="536"/>
      <c r="G510" s="536"/>
      <c r="H510" s="538"/>
      <c r="I510" s="538"/>
      <c r="J510" s="260"/>
      <c r="K510" s="260"/>
      <c r="L510" s="260"/>
      <c r="M510" s="260"/>
      <c r="N510" s="260"/>
      <c r="O510" s="536"/>
      <c r="P510" s="536"/>
    </row>
    <row r="511" spans="1:16" ht="12.75" customHeight="1">
      <c r="A511" s="535"/>
      <c r="B511" s="536"/>
      <c r="C511" s="536"/>
      <c r="D511" s="536"/>
      <c r="E511" s="536"/>
      <c r="F511" s="536"/>
      <c r="G511" s="536"/>
      <c r="H511" s="538"/>
      <c r="I511" s="538"/>
      <c r="J511" s="260"/>
      <c r="K511" s="260"/>
      <c r="L511" s="260"/>
      <c r="M511" s="260"/>
      <c r="N511" s="260"/>
      <c r="O511" s="536"/>
      <c r="P511" s="536"/>
    </row>
    <row r="512" spans="1:16" ht="12.75" customHeight="1">
      <c r="A512" s="535"/>
      <c r="B512" s="536"/>
      <c r="C512" s="536"/>
      <c r="D512" s="536"/>
      <c r="E512" s="536"/>
      <c r="F512" s="536"/>
      <c r="G512" s="536"/>
      <c r="H512" s="538"/>
      <c r="I512" s="538"/>
      <c r="J512" s="260"/>
      <c r="K512" s="260"/>
      <c r="L512" s="260"/>
      <c r="M512" s="260"/>
      <c r="N512" s="260"/>
      <c r="O512" s="536"/>
      <c r="P512" s="536"/>
    </row>
    <row r="513" spans="1:16" ht="12.75" customHeight="1">
      <c r="A513" s="535"/>
      <c r="B513" s="536"/>
      <c r="C513" s="536"/>
      <c r="D513" s="536"/>
      <c r="E513" s="536"/>
      <c r="F513" s="536"/>
      <c r="G513" s="536"/>
      <c r="H513" s="538"/>
      <c r="I513" s="538"/>
      <c r="J513" s="260"/>
      <c r="K513" s="260"/>
      <c r="L513" s="260"/>
      <c r="M513" s="260"/>
      <c r="N513" s="260"/>
      <c r="O513" s="536"/>
      <c r="P513" s="536"/>
    </row>
    <row r="514" spans="1:16" ht="12.75" customHeight="1">
      <c r="A514" s="535"/>
      <c r="B514" s="536"/>
      <c r="C514" s="536"/>
      <c r="D514" s="536"/>
      <c r="E514" s="536"/>
      <c r="F514" s="536"/>
      <c r="G514" s="536"/>
      <c r="H514" s="538"/>
      <c r="I514" s="538"/>
      <c r="J514" s="260"/>
      <c r="K514" s="260"/>
      <c r="L514" s="260"/>
      <c r="M514" s="260"/>
      <c r="N514" s="260"/>
      <c r="O514" s="536"/>
      <c r="P514" s="536"/>
    </row>
    <row r="515" spans="1:16" ht="12.75" customHeight="1">
      <c r="A515" s="535"/>
      <c r="B515" s="536"/>
      <c r="C515" s="536"/>
      <c r="D515" s="536"/>
      <c r="E515" s="536"/>
      <c r="F515" s="536"/>
      <c r="G515" s="536"/>
      <c r="H515" s="538"/>
      <c r="I515" s="538"/>
      <c r="J515" s="260"/>
      <c r="K515" s="260"/>
      <c r="L515" s="260"/>
      <c r="M515" s="260"/>
      <c r="N515" s="260"/>
      <c r="O515" s="536"/>
      <c r="P515" s="536"/>
    </row>
    <row r="516" spans="1:16" ht="12.75" customHeight="1">
      <c r="A516" s="535"/>
      <c r="B516" s="536"/>
      <c r="C516" s="536"/>
      <c r="D516" s="536"/>
      <c r="E516" s="536"/>
      <c r="F516" s="536"/>
      <c r="G516" s="536"/>
      <c r="H516" s="538"/>
      <c r="I516" s="538"/>
      <c r="J516" s="260"/>
      <c r="K516" s="260"/>
      <c r="L516" s="260"/>
      <c r="M516" s="260"/>
      <c r="N516" s="260"/>
      <c r="O516" s="536"/>
      <c r="P516" s="536"/>
    </row>
    <row r="517" spans="1:16" ht="12.75" customHeight="1">
      <c r="A517" s="535"/>
      <c r="B517" s="536"/>
      <c r="C517" s="536"/>
      <c r="D517" s="536"/>
      <c r="E517" s="536"/>
      <c r="F517" s="536"/>
      <c r="G517" s="536"/>
      <c r="H517" s="538"/>
      <c r="I517" s="538"/>
      <c r="J517" s="260"/>
      <c r="K517" s="260"/>
      <c r="L517" s="260"/>
      <c r="M517" s="260"/>
      <c r="N517" s="260"/>
      <c r="O517" s="536"/>
      <c r="P517" s="536"/>
    </row>
    <row r="518" spans="1:16" ht="12.75" customHeight="1">
      <c r="A518" s="535"/>
      <c r="B518" s="536"/>
      <c r="C518" s="536"/>
      <c r="D518" s="536"/>
      <c r="E518" s="536"/>
      <c r="F518" s="536"/>
      <c r="G518" s="536"/>
      <c r="H518" s="538"/>
      <c r="I518" s="538"/>
      <c r="J518" s="260"/>
      <c r="K518" s="260"/>
      <c r="L518" s="260"/>
      <c r="M518" s="260"/>
      <c r="N518" s="260"/>
      <c r="O518" s="536"/>
      <c r="P518" s="536"/>
    </row>
    <row r="519" spans="1:16" ht="12.75" customHeight="1">
      <c r="A519" s="535"/>
      <c r="B519" s="536"/>
      <c r="C519" s="536"/>
      <c r="D519" s="536"/>
      <c r="E519" s="536"/>
      <c r="F519" s="536"/>
      <c r="G519" s="536"/>
      <c r="H519" s="538"/>
      <c r="I519" s="538"/>
      <c r="J519" s="260"/>
      <c r="K519" s="260"/>
      <c r="L519" s="260"/>
      <c r="M519" s="260"/>
      <c r="N519" s="260"/>
      <c r="O519" s="536"/>
      <c r="P519" s="536"/>
    </row>
    <row r="520" spans="1:16" ht="12.75" customHeight="1">
      <c r="A520" s="535"/>
      <c r="B520" s="536"/>
      <c r="C520" s="536"/>
      <c r="D520" s="536"/>
      <c r="E520" s="536"/>
      <c r="F520" s="536"/>
      <c r="G520" s="536"/>
      <c r="H520" s="538"/>
      <c r="I520" s="538"/>
      <c r="J520" s="260"/>
      <c r="K520" s="260"/>
      <c r="L520" s="260"/>
      <c r="M520" s="260"/>
      <c r="N520" s="260"/>
      <c r="O520" s="536"/>
      <c r="P520" s="536"/>
    </row>
    <row r="521" spans="1:16" ht="12.75" customHeight="1">
      <c r="A521" s="535"/>
      <c r="B521" s="536"/>
      <c r="C521" s="536"/>
      <c r="D521" s="536"/>
      <c r="E521" s="536"/>
      <c r="F521" s="536"/>
      <c r="G521" s="536"/>
      <c r="H521" s="538"/>
      <c r="I521" s="538"/>
      <c r="J521" s="260"/>
      <c r="K521" s="260"/>
      <c r="L521" s="260"/>
      <c r="M521" s="260"/>
      <c r="N521" s="260"/>
      <c r="O521" s="536"/>
      <c r="P521" s="536"/>
    </row>
    <row r="522" spans="1:16" ht="12.75" customHeight="1">
      <c r="A522" s="535"/>
      <c r="B522" s="536"/>
      <c r="C522" s="536"/>
      <c r="D522" s="536"/>
      <c r="E522" s="536"/>
      <c r="F522" s="536"/>
      <c r="G522" s="536"/>
      <c r="H522" s="538"/>
      <c r="I522" s="538"/>
      <c r="J522" s="260"/>
      <c r="K522" s="260"/>
      <c r="L522" s="260"/>
      <c r="M522" s="260"/>
      <c r="N522" s="260"/>
      <c r="O522" s="536"/>
      <c r="P522" s="536"/>
    </row>
    <row r="523" spans="1:16" ht="12.75" customHeight="1">
      <c r="A523" s="535"/>
      <c r="B523" s="536"/>
      <c r="C523" s="536"/>
      <c r="D523" s="536"/>
      <c r="E523" s="536"/>
      <c r="F523" s="536"/>
      <c r="G523" s="536"/>
      <c r="H523" s="538"/>
      <c r="I523" s="538"/>
      <c r="J523" s="260"/>
      <c r="K523" s="260"/>
      <c r="L523" s="260"/>
      <c r="M523" s="260"/>
      <c r="N523" s="260"/>
      <c r="O523" s="536"/>
      <c r="P523" s="536"/>
    </row>
    <row r="524" spans="1:16" ht="12.75" customHeight="1">
      <c r="A524" s="535"/>
      <c r="B524" s="536"/>
      <c r="C524" s="536"/>
      <c r="D524" s="536"/>
      <c r="E524" s="536"/>
      <c r="F524" s="536"/>
      <c r="G524" s="536"/>
      <c r="H524" s="538"/>
      <c r="I524" s="538"/>
      <c r="J524" s="260"/>
      <c r="K524" s="260"/>
      <c r="L524" s="260"/>
      <c r="M524" s="260"/>
      <c r="N524" s="260"/>
      <c r="O524" s="536"/>
      <c r="P524" s="536"/>
    </row>
    <row r="525" spans="1:16" ht="12.75" customHeight="1">
      <c r="A525" s="535"/>
      <c r="B525" s="536"/>
      <c r="C525" s="536"/>
      <c r="D525" s="536"/>
      <c r="E525" s="536"/>
      <c r="F525" s="536"/>
      <c r="G525" s="536"/>
      <c r="H525" s="538"/>
      <c r="I525" s="538"/>
      <c r="J525" s="260"/>
      <c r="K525" s="260"/>
      <c r="L525" s="260"/>
      <c r="M525" s="260"/>
      <c r="N525" s="260"/>
      <c r="O525" s="536"/>
      <c r="P525" s="536"/>
    </row>
    <row r="526" spans="1:16" ht="12.75" customHeight="1">
      <c r="A526" s="535"/>
      <c r="B526" s="536"/>
      <c r="C526" s="536"/>
      <c r="D526" s="536"/>
      <c r="E526" s="536"/>
      <c r="F526" s="536"/>
      <c r="G526" s="536"/>
      <c r="H526" s="538"/>
      <c r="I526" s="538"/>
      <c r="J526" s="260"/>
      <c r="K526" s="260"/>
      <c r="L526" s="260"/>
      <c r="M526" s="260"/>
      <c r="N526" s="260"/>
      <c r="O526" s="536"/>
      <c r="P526" s="536"/>
    </row>
    <row r="527" spans="1:16" ht="12.75" customHeight="1">
      <c r="A527" s="535"/>
      <c r="B527" s="536"/>
      <c r="C527" s="536"/>
      <c r="D527" s="536"/>
      <c r="E527" s="536"/>
      <c r="F527" s="536"/>
      <c r="G527" s="536"/>
      <c r="H527" s="538"/>
      <c r="I527" s="538"/>
      <c r="J527" s="260"/>
      <c r="K527" s="260"/>
      <c r="L527" s="260"/>
      <c r="M527" s="260"/>
      <c r="N527" s="260"/>
      <c r="O527" s="536"/>
      <c r="P527" s="536"/>
    </row>
    <row r="528" spans="1:16" ht="12.75" customHeight="1">
      <c r="A528" s="535"/>
      <c r="B528" s="536"/>
      <c r="C528" s="536"/>
      <c r="D528" s="536"/>
      <c r="E528" s="536"/>
      <c r="F528" s="536"/>
      <c r="G528" s="536"/>
      <c r="H528" s="538"/>
      <c r="I528" s="538"/>
      <c r="J528" s="260"/>
      <c r="K528" s="260"/>
      <c r="L528" s="260"/>
      <c r="M528" s="260"/>
      <c r="N528" s="260"/>
      <c r="O528" s="536"/>
      <c r="P528" s="536"/>
    </row>
    <row r="529" spans="1:16" ht="12.75" customHeight="1">
      <c r="A529" s="535"/>
      <c r="B529" s="536"/>
      <c r="C529" s="536"/>
      <c r="D529" s="536"/>
      <c r="E529" s="536"/>
      <c r="F529" s="536"/>
      <c r="G529" s="536"/>
      <c r="H529" s="538"/>
      <c r="I529" s="538"/>
      <c r="J529" s="260"/>
      <c r="K529" s="260"/>
      <c r="L529" s="260"/>
      <c r="M529" s="260"/>
      <c r="N529" s="260"/>
      <c r="O529" s="536"/>
      <c r="P529" s="536"/>
    </row>
    <row r="530" spans="1:16" ht="12.75" customHeight="1">
      <c r="A530" s="535"/>
      <c r="B530" s="536"/>
      <c r="C530" s="536"/>
      <c r="D530" s="536"/>
      <c r="E530" s="536"/>
      <c r="F530" s="536"/>
      <c r="G530" s="536"/>
      <c r="H530" s="538"/>
      <c r="I530" s="538"/>
      <c r="J530" s="260"/>
      <c r="K530" s="260"/>
      <c r="L530" s="260"/>
      <c r="M530" s="260"/>
      <c r="N530" s="260"/>
      <c r="O530" s="536"/>
      <c r="P530" s="536"/>
    </row>
    <row r="531" spans="1:16" ht="12.75" customHeight="1">
      <c r="A531" s="535"/>
      <c r="B531" s="536"/>
      <c r="C531" s="536"/>
      <c r="D531" s="536"/>
      <c r="E531" s="536"/>
      <c r="F531" s="536"/>
      <c r="G531" s="536"/>
      <c r="H531" s="538"/>
      <c r="I531" s="538"/>
      <c r="J531" s="260"/>
      <c r="K531" s="260"/>
      <c r="L531" s="260"/>
      <c r="M531" s="260"/>
      <c r="N531" s="260"/>
      <c r="O531" s="536"/>
      <c r="P531" s="536"/>
    </row>
    <row r="532" spans="1:16" ht="12.75" customHeight="1">
      <c r="A532" s="535"/>
      <c r="B532" s="536"/>
      <c r="C532" s="536"/>
      <c r="D532" s="536"/>
      <c r="E532" s="536"/>
      <c r="F532" s="536"/>
      <c r="G532" s="536"/>
      <c r="H532" s="538"/>
      <c r="I532" s="538"/>
      <c r="J532" s="260"/>
      <c r="K532" s="260"/>
      <c r="L532" s="260"/>
      <c r="M532" s="260"/>
      <c r="N532" s="260"/>
      <c r="O532" s="536"/>
      <c r="P532" s="536"/>
    </row>
    <row r="533" spans="1:16" ht="12.75" customHeight="1">
      <c r="A533" s="535"/>
      <c r="B533" s="536"/>
      <c r="C533" s="536"/>
      <c r="D533" s="536"/>
      <c r="E533" s="536"/>
      <c r="F533" s="536"/>
      <c r="G533" s="536"/>
      <c r="H533" s="538"/>
      <c r="I533" s="538"/>
      <c r="J533" s="260"/>
      <c r="K533" s="260"/>
      <c r="L533" s="260"/>
      <c r="M533" s="260"/>
      <c r="N533" s="260"/>
      <c r="O533" s="536"/>
      <c r="P533" s="536"/>
    </row>
    <row r="534" spans="1:16" ht="12.75" customHeight="1">
      <c r="A534" s="535"/>
      <c r="B534" s="536"/>
      <c r="C534" s="536"/>
      <c r="D534" s="536"/>
      <c r="E534" s="536"/>
      <c r="F534" s="536"/>
      <c r="G534" s="536"/>
      <c r="H534" s="538"/>
      <c r="I534" s="538"/>
      <c r="J534" s="260"/>
      <c r="K534" s="260"/>
      <c r="L534" s="260"/>
      <c r="M534" s="260"/>
      <c r="N534" s="260"/>
      <c r="O534" s="536"/>
      <c r="P534" s="536"/>
    </row>
    <row r="535" spans="1:16" ht="12.75" customHeight="1">
      <c r="A535" s="535"/>
      <c r="B535" s="536"/>
      <c r="C535" s="536"/>
      <c r="D535" s="536"/>
      <c r="E535" s="536"/>
      <c r="F535" s="536"/>
      <c r="G535" s="536"/>
      <c r="H535" s="538"/>
      <c r="I535" s="538"/>
      <c r="J535" s="260"/>
      <c r="K535" s="260"/>
      <c r="L535" s="260"/>
      <c r="M535" s="260"/>
      <c r="N535" s="260"/>
      <c r="O535" s="536"/>
      <c r="P535" s="536"/>
    </row>
    <row r="536" spans="1:16" ht="12.75" customHeight="1">
      <c r="A536" s="535"/>
      <c r="B536" s="536"/>
      <c r="C536" s="536"/>
      <c r="D536" s="536"/>
      <c r="E536" s="536"/>
      <c r="F536" s="536"/>
      <c r="G536" s="536"/>
      <c r="H536" s="538"/>
      <c r="I536" s="538"/>
      <c r="J536" s="260"/>
      <c r="K536" s="260"/>
      <c r="L536" s="260"/>
      <c r="M536" s="260"/>
      <c r="N536" s="260"/>
      <c r="O536" s="536"/>
      <c r="P536" s="536"/>
    </row>
    <row r="537" spans="1:16" ht="12.75" customHeight="1">
      <c r="A537" s="535"/>
      <c r="B537" s="536"/>
      <c r="C537" s="536"/>
      <c r="D537" s="536"/>
      <c r="E537" s="536"/>
      <c r="F537" s="536"/>
      <c r="G537" s="536"/>
      <c r="H537" s="538"/>
      <c r="I537" s="538"/>
      <c r="J537" s="260"/>
      <c r="K537" s="260"/>
      <c r="L537" s="260"/>
      <c r="M537" s="260"/>
      <c r="N537" s="260"/>
      <c r="O537" s="536"/>
      <c r="P537" s="536"/>
    </row>
    <row r="538" spans="1:16" ht="12.75" customHeight="1">
      <c r="A538" s="535"/>
      <c r="B538" s="536"/>
      <c r="C538" s="536"/>
      <c r="D538" s="536"/>
      <c r="E538" s="536"/>
      <c r="F538" s="536"/>
      <c r="G538" s="536"/>
      <c r="H538" s="538"/>
      <c r="I538" s="538"/>
      <c r="J538" s="260"/>
      <c r="K538" s="260"/>
      <c r="L538" s="260"/>
      <c r="M538" s="260"/>
      <c r="N538" s="260"/>
      <c r="O538" s="536"/>
      <c r="P538" s="536"/>
    </row>
    <row r="539" spans="1:16" ht="12.75" customHeight="1">
      <c r="A539" s="535"/>
      <c r="B539" s="536"/>
      <c r="C539" s="536"/>
      <c r="D539" s="536"/>
      <c r="E539" s="536"/>
      <c r="F539" s="536"/>
      <c r="G539" s="536"/>
      <c r="H539" s="538"/>
      <c r="I539" s="538"/>
      <c r="J539" s="260"/>
      <c r="K539" s="260"/>
      <c r="L539" s="260"/>
      <c r="M539" s="260"/>
      <c r="N539" s="260"/>
      <c r="O539" s="536"/>
      <c r="P539" s="536"/>
    </row>
    <row r="540" spans="1:16" ht="12.75" customHeight="1">
      <c r="A540" s="535"/>
      <c r="B540" s="536"/>
      <c r="C540" s="536"/>
      <c r="D540" s="536"/>
      <c r="E540" s="536"/>
      <c r="F540" s="536"/>
      <c r="G540" s="536"/>
      <c r="H540" s="538"/>
      <c r="I540" s="538"/>
      <c r="J540" s="260"/>
      <c r="K540" s="260"/>
      <c r="L540" s="260"/>
      <c r="M540" s="260"/>
      <c r="N540" s="260"/>
      <c r="O540" s="536"/>
      <c r="P540" s="536"/>
    </row>
    <row r="541" spans="1:16" ht="12.75" customHeight="1">
      <c r="A541" s="535"/>
      <c r="B541" s="536"/>
      <c r="C541" s="536"/>
      <c r="D541" s="536"/>
      <c r="E541" s="536"/>
      <c r="F541" s="536"/>
      <c r="G541" s="536"/>
      <c r="H541" s="538"/>
      <c r="I541" s="538"/>
      <c r="J541" s="260"/>
      <c r="K541" s="260"/>
      <c r="L541" s="260"/>
      <c r="M541" s="260"/>
      <c r="N541" s="260"/>
      <c r="O541" s="536"/>
      <c r="P541" s="536"/>
    </row>
    <row r="542" spans="1:16" ht="12.75" customHeight="1">
      <c r="A542" s="535"/>
      <c r="B542" s="536"/>
      <c r="C542" s="536"/>
      <c r="D542" s="536"/>
      <c r="E542" s="536"/>
      <c r="F542" s="536"/>
      <c r="G542" s="536"/>
      <c r="H542" s="538"/>
      <c r="I542" s="538"/>
      <c r="J542" s="260"/>
      <c r="K542" s="260"/>
      <c r="L542" s="260"/>
      <c r="M542" s="260"/>
      <c r="N542" s="260"/>
      <c r="O542" s="536"/>
      <c r="P542" s="536"/>
    </row>
    <row r="543" spans="1:16" ht="12.75" customHeight="1">
      <c r="A543" s="535"/>
      <c r="B543" s="536"/>
      <c r="C543" s="536"/>
      <c r="D543" s="536"/>
      <c r="E543" s="536"/>
      <c r="F543" s="536"/>
      <c r="G543" s="536"/>
      <c r="H543" s="538"/>
      <c r="I543" s="538"/>
      <c r="J543" s="260"/>
      <c r="K543" s="260"/>
      <c r="L543" s="260"/>
      <c r="M543" s="260"/>
      <c r="N543" s="260"/>
      <c r="O543" s="536"/>
      <c r="P543" s="536"/>
    </row>
    <row r="544" spans="1:16" ht="12.75" customHeight="1">
      <c r="A544" s="535"/>
      <c r="B544" s="536"/>
      <c r="C544" s="536"/>
      <c r="D544" s="536"/>
      <c r="E544" s="536"/>
      <c r="F544" s="536"/>
      <c r="G544" s="536"/>
      <c r="H544" s="538"/>
      <c r="I544" s="538"/>
      <c r="J544" s="260"/>
      <c r="K544" s="260"/>
      <c r="L544" s="260"/>
      <c r="M544" s="260"/>
      <c r="N544" s="260"/>
      <c r="O544" s="536"/>
      <c r="P544" s="536"/>
    </row>
    <row r="545" spans="1:16" ht="12.75" customHeight="1">
      <c r="A545" s="535"/>
      <c r="B545" s="536"/>
      <c r="C545" s="536"/>
      <c r="D545" s="536"/>
      <c r="E545" s="536"/>
      <c r="F545" s="536"/>
      <c r="G545" s="536"/>
      <c r="H545" s="538"/>
      <c r="I545" s="538"/>
      <c r="J545" s="260"/>
      <c r="K545" s="260"/>
      <c r="L545" s="260"/>
      <c r="M545" s="260"/>
      <c r="N545" s="260"/>
      <c r="O545" s="536"/>
      <c r="P545" s="536"/>
    </row>
    <row r="546" spans="1:16" ht="12.75" customHeight="1">
      <c r="A546" s="535"/>
      <c r="B546" s="536"/>
      <c r="C546" s="536"/>
      <c r="D546" s="536"/>
      <c r="E546" s="536"/>
      <c r="F546" s="536"/>
      <c r="G546" s="536"/>
      <c r="H546" s="538"/>
      <c r="I546" s="538"/>
      <c r="J546" s="260"/>
      <c r="K546" s="260"/>
      <c r="L546" s="260"/>
      <c r="M546" s="260"/>
      <c r="N546" s="260"/>
      <c r="O546" s="536"/>
      <c r="P546" s="536"/>
    </row>
    <row r="547" spans="1:16" ht="12.75" customHeight="1">
      <c r="A547" s="535"/>
      <c r="B547" s="536"/>
      <c r="C547" s="536"/>
      <c r="D547" s="536"/>
      <c r="E547" s="536"/>
      <c r="F547" s="536"/>
      <c r="G547" s="536"/>
      <c r="H547" s="538"/>
      <c r="I547" s="538"/>
      <c r="J547" s="260"/>
      <c r="K547" s="260"/>
      <c r="L547" s="260"/>
      <c r="M547" s="260"/>
      <c r="N547" s="260"/>
      <c r="O547" s="536"/>
      <c r="P547" s="536"/>
    </row>
    <row r="548" spans="1:16" ht="12.75" customHeight="1">
      <c r="A548" s="535"/>
      <c r="B548" s="536"/>
      <c r="C548" s="536"/>
      <c r="D548" s="536"/>
      <c r="E548" s="536"/>
      <c r="F548" s="536"/>
      <c r="G548" s="536"/>
      <c r="H548" s="538"/>
      <c r="I548" s="538"/>
      <c r="J548" s="260"/>
      <c r="K548" s="260"/>
      <c r="L548" s="260"/>
      <c r="M548" s="260"/>
      <c r="N548" s="260"/>
      <c r="O548" s="536"/>
      <c r="P548" s="536"/>
    </row>
    <row r="549" spans="1:16" ht="12.75" customHeight="1">
      <c r="A549" s="535"/>
      <c r="B549" s="536"/>
      <c r="C549" s="536"/>
      <c r="D549" s="536"/>
      <c r="E549" s="536"/>
      <c r="F549" s="536"/>
      <c r="G549" s="536"/>
      <c r="H549" s="538"/>
      <c r="I549" s="538"/>
      <c r="J549" s="260"/>
      <c r="K549" s="260"/>
      <c r="L549" s="260"/>
      <c r="M549" s="260"/>
      <c r="N549" s="260"/>
      <c r="O549" s="536"/>
      <c r="P549" s="536"/>
    </row>
    <row r="550" spans="1:16" ht="12.75" customHeight="1">
      <c r="A550" s="535"/>
      <c r="B550" s="536"/>
      <c r="C550" s="536"/>
      <c r="D550" s="536"/>
      <c r="E550" s="536"/>
      <c r="F550" s="536"/>
      <c r="G550" s="536"/>
      <c r="H550" s="538"/>
      <c r="I550" s="538"/>
      <c r="J550" s="260"/>
      <c r="K550" s="260"/>
      <c r="L550" s="260"/>
      <c r="M550" s="260"/>
      <c r="N550" s="260"/>
      <c r="O550" s="536"/>
      <c r="P550" s="536"/>
    </row>
    <row r="551" spans="1:16" ht="12.75" customHeight="1">
      <c r="A551" s="535"/>
      <c r="B551" s="536"/>
      <c r="C551" s="536"/>
      <c r="D551" s="536"/>
      <c r="E551" s="536"/>
      <c r="F551" s="536"/>
      <c r="G551" s="536"/>
      <c r="H551" s="538"/>
      <c r="I551" s="538"/>
      <c r="J551" s="260"/>
      <c r="K551" s="260"/>
      <c r="L551" s="260"/>
      <c r="M551" s="260"/>
      <c r="N551" s="260"/>
      <c r="O551" s="536"/>
      <c r="P551" s="536"/>
    </row>
    <row r="552" spans="1:16" ht="12.75" customHeight="1">
      <c r="A552" s="535"/>
      <c r="B552" s="536"/>
      <c r="C552" s="536"/>
      <c r="D552" s="536"/>
      <c r="E552" s="536"/>
      <c r="F552" s="536"/>
      <c r="G552" s="536"/>
      <c r="H552" s="538"/>
      <c r="I552" s="538"/>
      <c r="J552" s="260"/>
      <c r="K552" s="260"/>
      <c r="L552" s="260"/>
      <c r="M552" s="260"/>
      <c r="N552" s="260"/>
      <c r="O552" s="536"/>
      <c r="P552" s="536"/>
    </row>
    <row r="553" spans="1:16" ht="12.75" customHeight="1">
      <c r="A553" s="535"/>
      <c r="B553" s="536"/>
      <c r="C553" s="536"/>
      <c r="D553" s="536"/>
      <c r="E553" s="536"/>
      <c r="F553" s="536"/>
      <c r="G553" s="536"/>
      <c r="H553" s="538"/>
      <c r="I553" s="538"/>
      <c r="J553" s="260"/>
      <c r="K553" s="260"/>
      <c r="L553" s="260"/>
      <c r="M553" s="260"/>
      <c r="N553" s="260"/>
      <c r="O553" s="536"/>
      <c r="P553" s="536"/>
    </row>
    <row r="554" spans="1:16" ht="12.75" customHeight="1">
      <c r="A554" s="535"/>
      <c r="B554" s="536"/>
      <c r="C554" s="536"/>
      <c r="D554" s="536"/>
      <c r="E554" s="536"/>
      <c r="F554" s="536"/>
      <c r="G554" s="536"/>
      <c r="H554" s="538"/>
      <c r="I554" s="538"/>
      <c r="J554" s="260"/>
      <c r="K554" s="260"/>
      <c r="L554" s="260"/>
      <c r="M554" s="260"/>
      <c r="N554" s="260"/>
      <c r="O554" s="536"/>
      <c r="P554" s="536"/>
    </row>
    <row r="555" spans="1:16" ht="12.75" customHeight="1">
      <c r="A555" s="535"/>
      <c r="B555" s="536"/>
      <c r="C555" s="536"/>
      <c r="D555" s="536"/>
      <c r="E555" s="536"/>
      <c r="F555" s="536"/>
      <c r="G555" s="536"/>
      <c r="H555" s="538"/>
      <c r="I555" s="538"/>
      <c r="J555" s="260"/>
      <c r="K555" s="260"/>
      <c r="L555" s="260"/>
      <c r="M555" s="260"/>
      <c r="N555" s="260"/>
      <c r="O555" s="536"/>
      <c r="P555" s="536"/>
    </row>
    <row r="556" spans="1:16" ht="12.75" customHeight="1">
      <c r="A556" s="535"/>
      <c r="B556" s="536"/>
      <c r="C556" s="536"/>
      <c r="D556" s="536"/>
      <c r="E556" s="536"/>
      <c r="F556" s="536"/>
      <c r="G556" s="536"/>
      <c r="H556" s="538"/>
      <c r="I556" s="538"/>
      <c r="J556" s="260"/>
      <c r="K556" s="260"/>
      <c r="L556" s="260"/>
      <c r="M556" s="260"/>
      <c r="N556" s="260"/>
      <c r="O556" s="536"/>
      <c r="P556" s="536"/>
    </row>
    <row r="557" spans="1:16" ht="12.75" customHeight="1">
      <c r="A557" s="535"/>
      <c r="B557" s="536"/>
      <c r="C557" s="536"/>
      <c r="D557" s="536"/>
      <c r="E557" s="536"/>
      <c r="F557" s="536"/>
      <c r="G557" s="536"/>
      <c r="H557" s="538"/>
      <c r="I557" s="538"/>
      <c r="J557" s="260"/>
      <c r="K557" s="260"/>
      <c r="L557" s="260"/>
      <c r="M557" s="260"/>
      <c r="N557" s="260"/>
      <c r="O557" s="536"/>
      <c r="P557" s="536"/>
    </row>
    <row r="558" spans="1:16" ht="12.75" customHeight="1">
      <c r="A558" s="535"/>
      <c r="B558" s="536"/>
      <c r="C558" s="536"/>
      <c r="D558" s="536"/>
      <c r="E558" s="536"/>
      <c r="F558" s="536"/>
      <c r="G558" s="536"/>
      <c r="H558" s="538"/>
      <c r="I558" s="538"/>
      <c r="J558" s="260"/>
      <c r="K558" s="260"/>
      <c r="L558" s="260"/>
      <c r="M558" s="260"/>
      <c r="N558" s="260"/>
      <c r="O558" s="536"/>
      <c r="P558" s="536"/>
    </row>
    <row r="559" spans="1:16" ht="12.75" customHeight="1">
      <c r="A559" s="535"/>
      <c r="B559" s="536"/>
      <c r="C559" s="536"/>
      <c r="D559" s="536"/>
      <c r="E559" s="536"/>
      <c r="F559" s="536"/>
      <c r="G559" s="536"/>
      <c r="H559" s="538"/>
      <c r="I559" s="538"/>
      <c r="J559" s="260"/>
      <c r="K559" s="260"/>
      <c r="L559" s="260"/>
      <c r="M559" s="260"/>
      <c r="N559" s="260"/>
      <c r="O559" s="536"/>
      <c r="P559" s="536"/>
    </row>
    <row r="560" spans="1:16" ht="12.75" customHeight="1">
      <c r="A560" s="535"/>
      <c r="B560" s="536"/>
      <c r="C560" s="536"/>
      <c r="D560" s="536"/>
      <c r="E560" s="536"/>
      <c r="F560" s="536"/>
      <c r="G560" s="536"/>
      <c r="H560" s="538"/>
      <c r="I560" s="538"/>
      <c r="J560" s="260"/>
      <c r="K560" s="260"/>
      <c r="L560" s="260"/>
      <c r="M560" s="260"/>
      <c r="N560" s="260"/>
      <c r="O560" s="536"/>
      <c r="P560" s="536"/>
    </row>
    <row r="561" spans="1:16" ht="12.75" customHeight="1">
      <c r="A561" s="535"/>
      <c r="B561" s="536"/>
      <c r="C561" s="536"/>
      <c r="D561" s="536"/>
      <c r="E561" s="536"/>
      <c r="F561" s="536"/>
      <c r="G561" s="536"/>
      <c r="H561" s="538"/>
      <c r="I561" s="538"/>
      <c r="J561" s="260"/>
      <c r="K561" s="260"/>
      <c r="L561" s="260"/>
      <c r="M561" s="260"/>
      <c r="N561" s="260"/>
      <c r="O561" s="536"/>
      <c r="P561" s="536"/>
    </row>
    <row r="562" spans="1:16" ht="12.75" customHeight="1">
      <c r="A562" s="535"/>
      <c r="B562" s="536"/>
      <c r="C562" s="536"/>
      <c r="D562" s="536"/>
      <c r="E562" s="536"/>
      <c r="F562" s="536"/>
      <c r="G562" s="536"/>
      <c r="H562" s="538"/>
      <c r="I562" s="538"/>
      <c r="J562" s="260"/>
      <c r="K562" s="260"/>
      <c r="L562" s="260"/>
      <c r="M562" s="260"/>
      <c r="N562" s="260"/>
      <c r="O562" s="536"/>
      <c r="P562" s="536"/>
    </row>
    <row r="563" spans="1:16" ht="12.75" customHeight="1">
      <c r="A563" s="535"/>
      <c r="B563" s="536"/>
      <c r="C563" s="536"/>
      <c r="D563" s="536"/>
      <c r="E563" s="536"/>
      <c r="F563" s="536"/>
      <c r="G563" s="536"/>
      <c r="H563" s="538"/>
      <c r="I563" s="538"/>
      <c r="J563" s="260"/>
      <c r="K563" s="260"/>
      <c r="L563" s="260"/>
      <c r="M563" s="260"/>
      <c r="N563" s="260"/>
      <c r="O563" s="536"/>
      <c r="P563" s="536"/>
    </row>
    <row r="564" spans="1:16" ht="12.75" customHeight="1">
      <c r="A564" s="535"/>
      <c r="B564" s="536"/>
      <c r="C564" s="536"/>
      <c r="D564" s="536"/>
      <c r="E564" s="536"/>
      <c r="F564" s="536"/>
      <c r="G564" s="536"/>
      <c r="H564" s="538"/>
      <c r="I564" s="538"/>
      <c r="J564" s="260"/>
      <c r="K564" s="260"/>
      <c r="L564" s="260"/>
      <c r="M564" s="260"/>
      <c r="N564" s="260"/>
      <c r="O564" s="536"/>
      <c r="P564" s="536"/>
    </row>
    <row r="565" spans="1:16" ht="12.75" customHeight="1">
      <c r="A565" s="535"/>
      <c r="B565" s="536"/>
      <c r="C565" s="536"/>
      <c r="D565" s="536"/>
      <c r="E565" s="536"/>
      <c r="F565" s="536"/>
      <c r="G565" s="536"/>
      <c r="H565" s="538"/>
      <c r="I565" s="538"/>
      <c r="J565" s="260"/>
      <c r="K565" s="260"/>
      <c r="L565" s="260"/>
      <c r="M565" s="260"/>
      <c r="N565" s="260"/>
      <c r="O565" s="536"/>
      <c r="P565" s="536"/>
    </row>
    <row r="566" spans="1:16" ht="12.75" customHeight="1">
      <c r="A566" s="535"/>
      <c r="B566" s="536"/>
      <c r="C566" s="536"/>
      <c r="D566" s="536"/>
      <c r="E566" s="536"/>
      <c r="F566" s="536"/>
      <c r="G566" s="536"/>
      <c r="H566" s="538"/>
      <c r="I566" s="538"/>
      <c r="J566" s="260"/>
      <c r="K566" s="260"/>
      <c r="L566" s="260"/>
      <c r="M566" s="260"/>
      <c r="N566" s="260"/>
      <c r="O566" s="536"/>
      <c r="P566" s="536"/>
    </row>
    <row r="567" spans="1:16" ht="12.75" customHeight="1">
      <c r="A567" s="535"/>
      <c r="B567" s="536"/>
      <c r="C567" s="536"/>
      <c r="D567" s="536"/>
      <c r="E567" s="536"/>
      <c r="F567" s="536"/>
      <c r="G567" s="536"/>
      <c r="H567" s="538"/>
      <c r="I567" s="538"/>
      <c r="J567" s="260"/>
      <c r="K567" s="260"/>
      <c r="L567" s="260"/>
      <c r="M567" s="260"/>
      <c r="N567" s="260"/>
      <c r="O567" s="536"/>
      <c r="P567" s="536"/>
    </row>
    <row r="568" spans="1:16" ht="12.75" customHeight="1">
      <c r="A568" s="535"/>
      <c r="B568" s="536"/>
      <c r="C568" s="536"/>
      <c r="D568" s="536"/>
      <c r="E568" s="536"/>
      <c r="F568" s="536"/>
      <c r="G568" s="536"/>
      <c r="H568" s="538"/>
      <c r="I568" s="538"/>
      <c r="J568" s="260"/>
      <c r="K568" s="260"/>
      <c r="L568" s="260"/>
      <c r="M568" s="260"/>
      <c r="N568" s="260"/>
      <c r="O568" s="536"/>
      <c r="P568" s="536"/>
    </row>
    <row r="569" spans="1:16" ht="12.75" customHeight="1">
      <c r="A569" s="535"/>
      <c r="B569" s="536"/>
      <c r="C569" s="536"/>
      <c r="D569" s="536"/>
      <c r="E569" s="536"/>
      <c r="F569" s="536"/>
      <c r="G569" s="536"/>
      <c r="H569" s="538"/>
      <c r="I569" s="538"/>
      <c r="J569" s="260"/>
      <c r="K569" s="260"/>
      <c r="L569" s="260"/>
      <c r="M569" s="260"/>
      <c r="N569" s="260"/>
      <c r="O569" s="536"/>
      <c r="P569" s="536"/>
    </row>
    <row r="570" spans="1:16" ht="12.75" customHeight="1">
      <c r="A570" s="535"/>
      <c r="B570" s="536"/>
      <c r="C570" s="536"/>
      <c r="D570" s="536"/>
      <c r="E570" s="536"/>
      <c r="F570" s="536"/>
      <c r="G570" s="536"/>
      <c r="H570" s="538"/>
      <c r="I570" s="538"/>
      <c r="J570" s="260"/>
      <c r="K570" s="260"/>
      <c r="L570" s="260"/>
      <c r="M570" s="260"/>
      <c r="N570" s="260"/>
      <c r="O570" s="536"/>
      <c r="P570" s="536"/>
    </row>
    <row r="571" spans="1:16" ht="12.75" customHeight="1">
      <c r="A571" s="535"/>
      <c r="B571" s="536"/>
      <c r="C571" s="536"/>
      <c r="D571" s="536"/>
      <c r="E571" s="536"/>
      <c r="F571" s="536"/>
      <c r="G571" s="536"/>
      <c r="H571" s="538"/>
      <c r="I571" s="538"/>
      <c r="J571" s="260"/>
      <c r="K571" s="260"/>
      <c r="L571" s="260"/>
      <c r="M571" s="260"/>
      <c r="N571" s="260"/>
      <c r="O571" s="536"/>
      <c r="P571" s="536"/>
    </row>
    <row r="572" spans="1:16" ht="12.75" customHeight="1">
      <c r="A572" s="535"/>
      <c r="B572" s="536"/>
      <c r="C572" s="536"/>
      <c r="D572" s="536"/>
      <c r="E572" s="536"/>
      <c r="F572" s="536"/>
      <c r="G572" s="536"/>
      <c r="H572" s="538"/>
      <c r="I572" s="538"/>
      <c r="J572" s="260"/>
      <c r="K572" s="260"/>
      <c r="L572" s="260"/>
      <c r="M572" s="260"/>
      <c r="N572" s="260"/>
      <c r="O572" s="536"/>
      <c r="P572" s="536"/>
    </row>
    <row r="573" spans="1:16" ht="12.75" customHeight="1">
      <c r="A573" s="535"/>
      <c r="B573" s="536"/>
      <c r="C573" s="536"/>
      <c r="D573" s="536"/>
      <c r="E573" s="536"/>
      <c r="F573" s="536"/>
      <c r="G573" s="536"/>
      <c r="H573" s="538"/>
      <c r="I573" s="538"/>
      <c r="J573" s="260"/>
      <c r="K573" s="260"/>
      <c r="L573" s="260"/>
      <c r="M573" s="260"/>
      <c r="N573" s="260"/>
      <c r="O573" s="536"/>
      <c r="P573" s="536"/>
    </row>
    <row r="574" spans="1:16" ht="12.75" customHeight="1">
      <c r="A574" s="535"/>
      <c r="B574" s="536"/>
      <c r="C574" s="536"/>
      <c r="D574" s="536"/>
      <c r="E574" s="536"/>
      <c r="F574" s="536"/>
      <c r="G574" s="536"/>
      <c r="H574" s="538"/>
      <c r="I574" s="538"/>
      <c r="J574" s="260"/>
      <c r="K574" s="260"/>
      <c r="L574" s="260"/>
      <c r="M574" s="260"/>
      <c r="N574" s="260"/>
      <c r="O574" s="536"/>
      <c r="P574" s="536"/>
    </row>
    <row r="575" spans="1:16" ht="12.75" customHeight="1">
      <c r="A575" s="535"/>
      <c r="B575" s="536"/>
      <c r="C575" s="536"/>
      <c r="D575" s="536"/>
      <c r="E575" s="536"/>
      <c r="F575" s="536"/>
      <c r="G575" s="536"/>
      <c r="H575" s="538"/>
      <c r="I575" s="538"/>
      <c r="J575" s="260"/>
      <c r="K575" s="260"/>
      <c r="L575" s="260"/>
      <c r="M575" s="260"/>
      <c r="N575" s="260"/>
      <c r="O575" s="536"/>
      <c r="P575" s="536"/>
    </row>
    <row r="576" spans="1:16" ht="12.75" customHeight="1">
      <c r="A576" s="535"/>
      <c r="B576" s="536"/>
      <c r="C576" s="536"/>
      <c r="D576" s="536"/>
      <c r="E576" s="536"/>
      <c r="F576" s="536"/>
      <c r="G576" s="536"/>
      <c r="H576" s="538"/>
      <c r="I576" s="538"/>
      <c r="J576" s="260"/>
      <c r="K576" s="260"/>
      <c r="L576" s="260"/>
      <c r="M576" s="260"/>
      <c r="N576" s="260"/>
      <c r="O576" s="536"/>
      <c r="P576" s="536"/>
    </row>
    <row r="577" spans="1:16" ht="12.75" customHeight="1">
      <c r="A577" s="535"/>
      <c r="B577" s="536"/>
      <c r="C577" s="536"/>
      <c r="D577" s="536"/>
      <c r="E577" s="536"/>
      <c r="F577" s="536"/>
      <c r="G577" s="536"/>
      <c r="H577" s="538"/>
      <c r="I577" s="538"/>
      <c r="J577" s="260"/>
      <c r="K577" s="260"/>
      <c r="L577" s="260"/>
      <c r="M577" s="260"/>
      <c r="N577" s="260"/>
      <c r="O577" s="536"/>
      <c r="P577" s="536"/>
    </row>
    <row r="578" spans="1:16" ht="12.75" customHeight="1">
      <c r="A578" s="535"/>
      <c r="B578" s="536"/>
      <c r="C578" s="536"/>
      <c r="D578" s="536"/>
      <c r="E578" s="536"/>
      <c r="F578" s="536"/>
      <c r="G578" s="536"/>
      <c r="H578" s="538"/>
      <c r="I578" s="538"/>
      <c r="J578" s="260"/>
      <c r="K578" s="260"/>
      <c r="L578" s="260"/>
      <c r="M578" s="260"/>
      <c r="N578" s="260"/>
      <c r="O578" s="536"/>
      <c r="P578" s="536"/>
    </row>
    <row r="579" spans="1:16" ht="12.75" customHeight="1">
      <c r="A579" s="535"/>
      <c r="B579" s="536"/>
      <c r="C579" s="536"/>
      <c r="D579" s="536"/>
      <c r="E579" s="536"/>
      <c r="F579" s="536"/>
      <c r="G579" s="536"/>
      <c r="H579" s="538"/>
      <c r="I579" s="538"/>
      <c r="J579" s="260"/>
      <c r="K579" s="260"/>
      <c r="L579" s="260"/>
      <c r="M579" s="260"/>
      <c r="N579" s="260"/>
      <c r="O579" s="536"/>
      <c r="P579" s="536"/>
    </row>
    <row r="580" spans="1:16" ht="12.75" customHeight="1">
      <c r="A580" s="535"/>
      <c r="B580" s="536"/>
      <c r="C580" s="536"/>
      <c r="D580" s="536"/>
      <c r="E580" s="536"/>
      <c r="F580" s="536"/>
      <c r="G580" s="536"/>
      <c r="H580" s="538"/>
      <c r="I580" s="538"/>
      <c r="J580" s="260"/>
      <c r="K580" s="260"/>
      <c r="L580" s="260"/>
      <c r="M580" s="260"/>
      <c r="N580" s="260"/>
      <c r="O580" s="536"/>
      <c r="P580" s="536"/>
    </row>
    <row r="581" spans="1:16" ht="12.75" customHeight="1">
      <c r="A581" s="535"/>
      <c r="B581" s="536"/>
      <c r="C581" s="536"/>
      <c r="D581" s="536"/>
      <c r="E581" s="536"/>
      <c r="F581" s="536"/>
      <c r="G581" s="536"/>
      <c r="H581" s="538"/>
      <c r="I581" s="538"/>
      <c r="J581" s="260"/>
      <c r="K581" s="260"/>
      <c r="L581" s="260"/>
      <c r="M581" s="260"/>
      <c r="N581" s="260"/>
      <c r="O581" s="536"/>
      <c r="P581" s="536"/>
    </row>
    <row r="582" spans="1:16" ht="12.75" customHeight="1">
      <c r="A582" s="535"/>
      <c r="B582" s="536"/>
      <c r="C582" s="536"/>
      <c r="D582" s="536"/>
      <c r="E582" s="536"/>
      <c r="F582" s="536"/>
      <c r="G582" s="536"/>
      <c r="H582" s="538"/>
      <c r="I582" s="538"/>
      <c r="J582" s="260"/>
      <c r="K582" s="260"/>
      <c r="L582" s="260"/>
      <c r="M582" s="260"/>
      <c r="N582" s="260"/>
      <c r="O582" s="536"/>
      <c r="P582" s="536"/>
    </row>
    <row r="583" spans="1:16" ht="12.75" customHeight="1">
      <c r="A583" s="535"/>
      <c r="B583" s="536"/>
      <c r="C583" s="536"/>
      <c r="D583" s="536"/>
      <c r="E583" s="536"/>
      <c r="F583" s="536"/>
      <c r="G583" s="536"/>
      <c r="H583" s="538"/>
      <c r="I583" s="538"/>
      <c r="J583" s="260"/>
      <c r="K583" s="260"/>
      <c r="L583" s="260"/>
      <c r="M583" s="260"/>
      <c r="N583" s="260"/>
      <c r="O583" s="536"/>
      <c r="P583" s="536"/>
    </row>
    <row r="584" spans="1:16" ht="12.75" customHeight="1">
      <c r="A584" s="535"/>
      <c r="B584" s="536"/>
      <c r="C584" s="536"/>
      <c r="D584" s="536"/>
      <c r="E584" s="536"/>
      <c r="F584" s="536"/>
      <c r="G584" s="536"/>
      <c r="H584" s="538"/>
      <c r="I584" s="538"/>
      <c r="J584" s="260"/>
      <c r="K584" s="260"/>
      <c r="L584" s="260"/>
      <c r="M584" s="260"/>
      <c r="N584" s="260"/>
      <c r="O584" s="536"/>
      <c r="P584" s="536"/>
    </row>
    <row r="585" spans="1:16" ht="12.75" customHeight="1">
      <c r="A585" s="535"/>
      <c r="B585" s="536"/>
      <c r="C585" s="536"/>
      <c r="D585" s="536"/>
      <c r="E585" s="536"/>
      <c r="F585" s="536"/>
      <c r="G585" s="536"/>
      <c r="H585" s="538"/>
      <c r="I585" s="538"/>
      <c r="J585" s="260"/>
      <c r="K585" s="260"/>
      <c r="L585" s="260"/>
      <c r="M585" s="260"/>
      <c r="N585" s="260"/>
      <c r="O585" s="536"/>
      <c r="P585" s="536"/>
    </row>
    <row r="586" spans="1:16" ht="12.75" customHeight="1">
      <c r="A586" s="535"/>
      <c r="B586" s="536"/>
      <c r="C586" s="536"/>
      <c r="D586" s="536"/>
      <c r="E586" s="536"/>
      <c r="F586" s="536"/>
      <c r="G586" s="536"/>
      <c r="H586" s="538"/>
      <c r="I586" s="538"/>
      <c r="J586" s="260"/>
      <c r="K586" s="260"/>
      <c r="L586" s="260"/>
      <c r="M586" s="260"/>
      <c r="N586" s="260"/>
      <c r="O586" s="536"/>
      <c r="P586" s="536"/>
    </row>
    <row r="587" spans="1:16" ht="12.75" customHeight="1">
      <c r="A587" s="535"/>
      <c r="B587" s="536"/>
      <c r="C587" s="536"/>
      <c r="D587" s="536"/>
      <c r="E587" s="536"/>
      <c r="F587" s="536"/>
      <c r="G587" s="536"/>
      <c r="H587" s="538"/>
      <c r="I587" s="538"/>
      <c r="J587" s="260"/>
      <c r="K587" s="260"/>
      <c r="L587" s="260"/>
      <c r="M587" s="260"/>
      <c r="N587" s="260"/>
      <c r="O587" s="536"/>
      <c r="P587" s="536"/>
    </row>
    <row r="588" spans="1:16" ht="12.75" customHeight="1">
      <c r="A588" s="535"/>
      <c r="B588" s="536"/>
      <c r="C588" s="536"/>
      <c r="D588" s="536"/>
      <c r="E588" s="536"/>
      <c r="F588" s="536"/>
      <c r="G588" s="536"/>
      <c r="H588" s="538"/>
      <c r="I588" s="538"/>
      <c r="J588" s="260"/>
      <c r="K588" s="260"/>
      <c r="L588" s="260"/>
      <c r="M588" s="260"/>
      <c r="N588" s="260"/>
      <c r="O588" s="536"/>
      <c r="P588" s="536"/>
    </row>
    <row r="589" spans="1:16" ht="12.75" customHeight="1">
      <c r="A589" s="535"/>
      <c r="B589" s="536"/>
      <c r="C589" s="536"/>
      <c r="D589" s="536"/>
      <c r="E589" s="536"/>
      <c r="F589" s="536"/>
      <c r="G589" s="536"/>
      <c r="H589" s="538"/>
      <c r="I589" s="538"/>
      <c r="J589" s="260"/>
      <c r="K589" s="260"/>
      <c r="L589" s="260"/>
      <c r="M589" s="260"/>
      <c r="N589" s="260"/>
      <c r="O589" s="536"/>
      <c r="P589" s="536"/>
    </row>
    <row r="590" spans="1:16" ht="12.75" customHeight="1">
      <c r="A590" s="535"/>
      <c r="B590" s="536"/>
      <c r="C590" s="536"/>
      <c r="D590" s="536"/>
      <c r="E590" s="536"/>
      <c r="F590" s="536"/>
      <c r="G590" s="536"/>
      <c r="H590" s="538"/>
      <c r="I590" s="538"/>
      <c r="J590" s="260"/>
      <c r="K590" s="260"/>
      <c r="L590" s="260"/>
      <c r="M590" s="260"/>
      <c r="N590" s="260"/>
      <c r="O590" s="536"/>
      <c r="P590" s="536"/>
    </row>
    <row r="591" spans="1:16" ht="12.75" customHeight="1">
      <c r="A591" s="535"/>
      <c r="B591" s="536"/>
      <c r="C591" s="536"/>
      <c r="D591" s="536"/>
      <c r="E591" s="536"/>
      <c r="F591" s="536"/>
      <c r="G591" s="536"/>
      <c r="H591" s="538"/>
      <c r="I591" s="538"/>
      <c r="J591" s="260"/>
      <c r="K591" s="260"/>
      <c r="L591" s="260"/>
      <c r="M591" s="260"/>
      <c r="N591" s="260"/>
      <c r="O591" s="536"/>
      <c r="P591" s="536"/>
    </row>
    <row r="592" spans="1:16" ht="12.75" customHeight="1">
      <c r="A592" s="535"/>
      <c r="B592" s="536"/>
      <c r="C592" s="536"/>
      <c r="D592" s="536"/>
      <c r="E592" s="536"/>
      <c r="F592" s="536"/>
      <c r="G592" s="536"/>
      <c r="H592" s="538"/>
      <c r="I592" s="538"/>
      <c r="J592" s="260"/>
      <c r="K592" s="260"/>
      <c r="L592" s="260"/>
      <c r="M592" s="260"/>
      <c r="N592" s="260"/>
      <c r="O592" s="536"/>
      <c r="P592" s="536"/>
    </row>
    <row r="593" spans="1:16" ht="12.75" customHeight="1">
      <c r="A593" s="535"/>
      <c r="B593" s="536"/>
      <c r="C593" s="536"/>
      <c r="D593" s="536"/>
      <c r="E593" s="536"/>
      <c r="F593" s="536"/>
      <c r="G593" s="536"/>
      <c r="H593" s="538"/>
      <c r="I593" s="538"/>
      <c r="J593" s="260"/>
      <c r="K593" s="260"/>
      <c r="L593" s="260"/>
      <c r="M593" s="260"/>
      <c r="N593" s="260"/>
      <c r="O593" s="536"/>
      <c r="P593" s="536"/>
    </row>
    <row r="594" spans="1:16" ht="12.75" customHeight="1">
      <c r="A594" s="535"/>
      <c r="B594" s="536"/>
      <c r="C594" s="536"/>
      <c r="D594" s="536"/>
      <c r="E594" s="536"/>
      <c r="F594" s="536"/>
      <c r="G594" s="536"/>
      <c r="H594" s="538"/>
      <c r="I594" s="538"/>
      <c r="J594" s="260"/>
      <c r="K594" s="260"/>
      <c r="L594" s="260"/>
      <c r="M594" s="260"/>
      <c r="N594" s="260"/>
      <c r="O594" s="536"/>
      <c r="P594" s="536"/>
    </row>
    <row r="595" spans="1:16" ht="12.75" customHeight="1">
      <c r="A595" s="535"/>
      <c r="B595" s="536"/>
      <c r="C595" s="536"/>
      <c r="D595" s="536"/>
      <c r="E595" s="536"/>
      <c r="F595" s="536"/>
      <c r="G595" s="536"/>
      <c r="H595" s="538"/>
      <c r="I595" s="538"/>
      <c r="J595" s="260"/>
      <c r="K595" s="260"/>
      <c r="L595" s="260"/>
      <c r="M595" s="260"/>
      <c r="N595" s="260"/>
      <c r="O595" s="536"/>
      <c r="P595" s="536"/>
    </row>
    <row r="596" spans="1:16" ht="12.75" customHeight="1">
      <c r="A596" s="535"/>
      <c r="B596" s="536"/>
      <c r="C596" s="536"/>
      <c r="D596" s="536"/>
      <c r="E596" s="536"/>
      <c r="F596" s="536"/>
      <c r="G596" s="536"/>
      <c r="H596" s="538"/>
      <c r="I596" s="538"/>
      <c r="J596" s="260"/>
      <c r="K596" s="260"/>
      <c r="L596" s="260"/>
      <c r="M596" s="260"/>
      <c r="N596" s="260"/>
      <c r="O596" s="536"/>
      <c r="P596" s="536"/>
    </row>
    <row r="597" spans="1:16" ht="12.75" customHeight="1">
      <c r="A597" s="535"/>
      <c r="B597" s="536"/>
      <c r="C597" s="536"/>
      <c r="D597" s="536"/>
      <c r="E597" s="536"/>
      <c r="F597" s="536"/>
      <c r="G597" s="536"/>
      <c r="H597" s="538"/>
      <c r="I597" s="538"/>
      <c r="J597" s="260"/>
      <c r="K597" s="260"/>
      <c r="L597" s="260"/>
      <c r="M597" s="260"/>
      <c r="N597" s="260"/>
      <c r="O597" s="536"/>
      <c r="P597" s="536"/>
    </row>
    <row r="598" spans="1:16" ht="12.75" customHeight="1">
      <c r="A598" s="535"/>
      <c r="B598" s="536"/>
      <c r="C598" s="536"/>
      <c r="D598" s="536"/>
      <c r="E598" s="536"/>
      <c r="F598" s="536"/>
      <c r="G598" s="536"/>
      <c r="H598" s="538"/>
      <c r="I598" s="538"/>
      <c r="J598" s="260"/>
      <c r="K598" s="260"/>
      <c r="L598" s="260"/>
      <c r="M598" s="260"/>
      <c r="N598" s="260"/>
      <c r="O598" s="536"/>
      <c r="P598" s="536"/>
    </row>
    <row r="599" spans="1:16" ht="12.75" customHeight="1">
      <c r="A599" s="535"/>
      <c r="B599" s="536"/>
      <c r="C599" s="536"/>
      <c r="D599" s="536"/>
      <c r="E599" s="536"/>
      <c r="F599" s="536"/>
      <c r="G599" s="536"/>
      <c r="H599" s="538"/>
      <c r="I599" s="538"/>
      <c r="J599" s="260"/>
      <c r="K599" s="260"/>
      <c r="L599" s="260"/>
      <c r="M599" s="260"/>
      <c r="N599" s="260"/>
      <c r="O599" s="536"/>
      <c r="P599" s="536"/>
    </row>
    <row r="600" spans="1:16" ht="12.75" customHeight="1">
      <c r="A600" s="535"/>
      <c r="B600" s="536"/>
      <c r="C600" s="536"/>
      <c r="D600" s="536"/>
      <c r="E600" s="536"/>
      <c r="F600" s="536"/>
      <c r="G600" s="536"/>
      <c r="H600" s="538"/>
      <c r="I600" s="538"/>
      <c r="J600" s="260"/>
      <c r="K600" s="260"/>
      <c r="L600" s="260"/>
      <c r="M600" s="260"/>
      <c r="N600" s="260"/>
      <c r="O600" s="536"/>
      <c r="P600" s="536"/>
    </row>
    <row r="601" spans="1:16" ht="12.75" customHeight="1">
      <c r="A601" s="535"/>
      <c r="B601" s="536"/>
      <c r="C601" s="536"/>
      <c r="D601" s="536"/>
      <c r="E601" s="536"/>
      <c r="F601" s="536"/>
      <c r="G601" s="536"/>
      <c r="H601" s="538"/>
      <c r="I601" s="538"/>
      <c r="J601" s="260"/>
      <c r="K601" s="260"/>
      <c r="L601" s="260"/>
      <c r="M601" s="260"/>
      <c r="N601" s="260"/>
      <c r="O601" s="536"/>
      <c r="P601" s="536"/>
    </row>
    <row r="602" spans="1:16" ht="12.75" customHeight="1">
      <c r="A602" s="535"/>
      <c r="B602" s="536"/>
      <c r="C602" s="536"/>
      <c r="D602" s="536"/>
      <c r="E602" s="536"/>
      <c r="F602" s="536"/>
      <c r="G602" s="536"/>
      <c r="H602" s="538"/>
      <c r="I602" s="538"/>
      <c r="J602" s="260"/>
      <c r="K602" s="260"/>
      <c r="L602" s="260"/>
      <c r="M602" s="260"/>
      <c r="N602" s="260"/>
      <c r="O602" s="536"/>
      <c r="P602" s="536"/>
    </row>
    <row r="603" spans="1:16" ht="12.75" customHeight="1">
      <c r="A603" s="535"/>
      <c r="B603" s="536"/>
      <c r="C603" s="536"/>
      <c r="D603" s="536"/>
      <c r="E603" s="536"/>
      <c r="F603" s="536"/>
      <c r="G603" s="536"/>
      <c r="H603" s="538"/>
      <c r="I603" s="538"/>
      <c r="J603" s="260"/>
      <c r="K603" s="260"/>
      <c r="L603" s="260"/>
      <c r="M603" s="260"/>
      <c r="N603" s="260"/>
      <c r="O603" s="536"/>
      <c r="P603" s="536"/>
    </row>
    <row r="604" spans="1:16" ht="12.75" customHeight="1">
      <c r="A604" s="535"/>
      <c r="B604" s="536"/>
      <c r="C604" s="536"/>
      <c r="D604" s="536"/>
      <c r="E604" s="536"/>
      <c r="F604" s="536"/>
      <c r="G604" s="536"/>
      <c r="H604" s="538"/>
      <c r="I604" s="538"/>
      <c r="J604" s="260"/>
      <c r="K604" s="260"/>
      <c r="L604" s="260"/>
      <c r="M604" s="260"/>
      <c r="N604" s="260"/>
      <c r="O604" s="536"/>
      <c r="P604" s="536"/>
    </row>
    <row r="605" spans="1:16" ht="12.75" customHeight="1">
      <c r="A605" s="535"/>
      <c r="B605" s="536"/>
      <c r="C605" s="536"/>
      <c r="D605" s="536"/>
      <c r="E605" s="536"/>
      <c r="F605" s="536"/>
      <c r="G605" s="536"/>
      <c r="H605" s="538"/>
      <c r="I605" s="538"/>
      <c r="J605" s="260"/>
      <c r="K605" s="260"/>
      <c r="L605" s="260"/>
      <c r="M605" s="260"/>
      <c r="N605" s="260"/>
      <c r="O605" s="536"/>
      <c r="P605" s="536"/>
    </row>
    <row r="606" spans="1:16" ht="12.75" customHeight="1">
      <c r="A606" s="535"/>
      <c r="B606" s="536"/>
      <c r="C606" s="536"/>
      <c r="D606" s="536"/>
      <c r="E606" s="536"/>
      <c r="F606" s="536"/>
      <c r="G606" s="536"/>
      <c r="H606" s="538"/>
      <c r="I606" s="538"/>
      <c r="J606" s="260"/>
      <c r="K606" s="260"/>
      <c r="L606" s="260"/>
      <c r="M606" s="260"/>
      <c r="N606" s="260"/>
      <c r="O606" s="536"/>
      <c r="P606" s="536"/>
    </row>
    <row r="607" spans="1:16" ht="12.75" customHeight="1">
      <c r="A607" s="535"/>
      <c r="B607" s="536"/>
      <c r="C607" s="536"/>
      <c r="D607" s="536"/>
      <c r="E607" s="536"/>
      <c r="F607" s="536"/>
      <c r="G607" s="536"/>
      <c r="H607" s="538"/>
      <c r="I607" s="538"/>
      <c r="J607" s="260"/>
      <c r="K607" s="260"/>
      <c r="L607" s="260"/>
      <c r="M607" s="260"/>
      <c r="N607" s="260"/>
      <c r="O607" s="536"/>
      <c r="P607" s="536"/>
    </row>
    <row r="608" spans="1:16" ht="12.75" customHeight="1">
      <c r="A608" s="535"/>
      <c r="B608" s="536"/>
      <c r="C608" s="536"/>
      <c r="D608" s="536"/>
      <c r="E608" s="536"/>
      <c r="F608" s="536"/>
      <c r="G608" s="536"/>
      <c r="H608" s="538"/>
      <c r="I608" s="538"/>
      <c r="J608" s="260"/>
      <c r="K608" s="260"/>
      <c r="L608" s="260"/>
      <c r="M608" s="260"/>
      <c r="N608" s="260"/>
      <c r="O608" s="536"/>
      <c r="P608" s="536"/>
    </row>
    <row r="609" spans="1:16" ht="12.75" customHeight="1">
      <c r="A609" s="535"/>
      <c r="B609" s="536"/>
      <c r="C609" s="536"/>
      <c r="D609" s="536"/>
      <c r="E609" s="536"/>
      <c r="F609" s="536"/>
      <c r="G609" s="536"/>
      <c r="H609" s="538"/>
      <c r="I609" s="538"/>
      <c r="J609" s="260"/>
      <c r="K609" s="260"/>
      <c r="L609" s="260"/>
      <c r="M609" s="260"/>
      <c r="N609" s="260"/>
      <c r="O609" s="536"/>
      <c r="P609" s="536"/>
    </row>
    <row r="610" spans="1:16" ht="12.75" customHeight="1">
      <c r="A610" s="535"/>
      <c r="B610" s="536"/>
      <c r="C610" s="536"/>
      <c r="D610" s="536"/>
      <c r="E610" s="536"/>
      <c r="F610" s="536"/>
      <c r="G610" s="536"/>
      <c r="H610" s="538"/>
      <c r="I610" s="538"/>
      <c r="J610" s="260"/>
      <c r="K610" s="260"/>
      <c r="L610" s="260"/>
      <c r="M610" s="260"/>
      <c r="N610" s="260"/>
      <c r="O610" s="536"/>
      <c r="P610" s="536"/>
    </row>
    <row r="611" spans="1:16" ht="12.75" customHeight="1">
      <c r="A611" s="535"/>
      <c r="B611" s="536"/>
      <c r="C611" s="536"/>
      <c r="D611" s="536"/>
      <c r="E611" s="536"/>
      <c r="F611" s="536"/>
      <c r="G611" s="536"/>
      <c r="H611" s="538"/>
      <c r="I611" s="538"/>
      <c r="J611" s="260"/>
      <c r="K611" s="260"/>
      <c r="L611" s="260"/>
      <c r="M611" s="260"/>
      <c r="N611" s="260"/>
      <c r="O611" s="536"/>
      <c r="P611" s="536"/>
    </row>
    <row r="612" spans="1:16" ht="12.75" customHeight="1">
      <c r="A612" s="535"/>
      <c r="B612" s="536"/>
      <c r="C612" s="536"/>
      <c r="D612" s="536"/>
      <c r="E612" s="536"/>
      <c r="F612" s="536"/>
      <c r="G612" s="536"/>
      <c r="H612" s="538"/>
      <c r="I612" s="538"/>
      <c r="J612" s="260"/>
      <c r="K612" s="260"/>
      <c r="L612" s="260"/>
      <c r="M612" s="260"/>
      <c r="N612" s="260"/>
      <c r="O612" s="536"/>
      <c r="P612" s="536"/>
    </row>
    <row r="613" spans="1:16" ht="12.75" customHeight="1">
      <c r="A613" s="535"/>
      <c r="B613" s="536"/>
      <c r="C613" s="536"/>
      <c r="D613" s="536"/>
      <c r="E613" s="536"/>
      <c r="F613" s="536"/>
      <c r="G613" s="536"/>
      <c r="H613" s="538"/>
      <c r="I613" s="538"/>
      <c r="J613" s="260"/>
      <c r="K613" s="260"/>
      <c r="L613" s="260"/>
      <c r="M613" s="260"/>
      <c r="N613" s="260"/>
      <c r="O613" s="536"/>
      <c r="P613" s="536"/>
    </row>
    <row r="614" spans="1:16" ht="12.75" customHeight="1">
      <c r="A614" s="535"/>
      <c r="B614" s="536"/>
      <c r="C614" s="536"/>
      <c r="D614" s="536"/>
      <c r="E614" s="536"/>
      <c r="F614" s="536"/>
      <c r="G614" s="536"/>
      <c r="H614" s="538"/>
      <c r="I614" s="538"/>
      <c r="J614" s="260"/>
      <c r="K614" s="260"/>
      <c r="L614" s="260"/>
      <c r="M614" s="260"/>
      <c r="N614" s="260"/>
      <c r="O614" s="536"/>
      <c r="P614" s="536"/>
    </row>
    <row r="615" spans="1:16" ht="12.75" customHeight="1">
      <c r="A615" s="535"/>
      <c r="B615" s="536"/>
      <c r="C615" s="536"/>
      <c r="D615" s="536"/>
      <c r="E615" s="536"/>
      <c r="F615" s="536"/>
      <c r="G615" s="536"/>
      <c r="H615" s="538"/>
      <c r="I615" s="538"/>
      <c r="J615" s="260"/>
      <c r="K615" s="260"/>
      <c r="L615" s="260"/>
      <c r="M615" s="260"/>
      <c r="N615" s="260"/>
      <c r="O615" s="536"/>
      <c r="P615" s="536"/>
    </row>
    <row r="616" spans="1:16" ht="12.75" customHeight="1">
      <c r="A616" s="535"/>
      <c r="B616" s="536"/>
      <c r="C616" s="536"/>
      <c r="D616" s="536"/>
      <c r="E616" s="536"/>
      <c r="F616" s="536"/>
      <c r="G616" s="536"/>
      <c r="H616" s="538"/>
      <c r="I616" s="538"/>
      <c r="J616" s="260"/>
      <c r="K616" s="260"/>
      <c r="L616" s="260"/>
      <c r="M616" s="260"/>
      <c r="N616" s="260"/>
      <c r="O616" s="536"/>
      <c r="P616" s="536"/>
    </row>
    <row r="617" spans="1:16" ht="12.75" customHeight="1">
      <c r="A617" s="535"/>
      <c r="B617" s="536"/>
      <c r="C617" s="536"/>
      <c r="D617" s="536"/>
      <c r="E617" s="536"/>
      <c r="F617" s="536"/>
      <c r="G617" s="536"/>
      <c r="H617" s="538"/>
      <c r="I617" s="538"/>
      <c r="J617" s="260"/>
      <c r="K617" s="260"/>
      <c r="L617" s="260"/>
      <c r="M617" s="260"/>
      <c r="N617" s="260"/>
      <c r="O617" s="536"/>
      <c r="P617" s="536"/>
    </row>
    <row r="618" spans="1:16" ht="12.75" customHeight="1">
      <c r="A618" s="535"/>
      <c r="B618" s="536"/>
      <c r="C618" s="536"/>
      <c r="D618" s="536"/>
      <c r="E618" s="536"/>
      <c r="F618" s="536"/>
      <c r="G618" s="536"/>
      <c r="H618" s="538"/>
      <c r="I618" s="538"/>
      <c r="J618" s="260"/>
      <c r="K618" s="260"/>
      <c r="L618" s="260"/>
      <c r="M618" s="260"/>
      <c r="N618" s="260"/>
      <c r="O618" s="536"/>
      <c r="P618" s="536"/>
    </row>
    <row r="619" spans="1:16" ht="12.75" customHeight="1">
      <c r="A619" s="535"/>
      <c r="B619" s="536"/>
      <c r="C619" s="536"/>
      <c r="D619" s="536"/>
      <c r="E619" s="536"/>
      <c r="F619" s="536"/>
      <c r="G619" s="536"/>
      <c r="H619" s="538"/>
      <c r="I619" s="538"/>
      <c r="J619" s="260"/>
      <c r="K619" s="260"/>
      <c r="L619" s="260"/>
      <c r="M619" s="260"/>
      <c r="N619" s="260"/>
      <c r="O619" s="536"/>
      <c r="P619" s="536"/>
    </row>
    <row r="620" spans="1:16" ht="12.75" customHeight="1">
      <c r="A620" s="535"/>
      <c r="B620" s="536"/>
      <c r="C620" s="536"/>
      <c r="D620" s="536"/>
      <c r="E620" s="536"/>
      <c r="F620" s="536"/>
      <c r="G620" s="536"/>
      <c r="H620" s="538"/>
      <c r="I620" s="538"/>
      <c r="J620" s="260"/>
      <c r="K620" s="260"/>
      <c r="L620" s="260"/>
      <c r="M620" s="260"/>
      <c r="N620" s="260"/>
      <c r="O620" s="536"/>
      <c r="P620" s="536"/>
    </row>
    <row r="621" spans="1:16" ht="12.75" customHeight="1">
      <c r="A621" s="535"/>
      <c r="B621" s="536"/>
      <c r="C621" s="536"/>
      <c r="D621" s="536"/>
      <c r="E621" s="536"/>
      <c r="F621" s="536"/>
      <c r="G621" s="536"/>
      <c r="H621" s="538"/>
      <c r="I621" s="538"/>
      <c r="J621" s="260"/>
      <c r="K621" s="260"/>
      <c r="L621" s="260"/>
      <c r="M621" s="260"/>
      <c r="N621" s="260"/>
      <c r="O621" s="536"/>
      <c r="P621" s="536"/>
    </row>
    <row r="622" spans="1:16" ht="12.75" customHeight="1">
      <c r="A622" s="535"/>
      <c r="B622" s="536"/>
      <c r="C622" s="536"/>
      <c r="D622" s="536"/>
      <c r="E622" s="536"/>
      <c r="F622" s="536"/>
      <c r="G622" s="536"/>
      <c r="H622" s="538"/>
      <c r="I622" s="538"/>
      <c r="J622" s="260"/>
      <c r="K622" s="260"/>
      <c r="L622" s="260"/>
      <c r="M622" s="260"/>
      <c r="N622" s="260"/>
      <c r="O622" s="536"/>
      <c r="P622" s="536"/>
    </row>
    <row r="623" spans="1:16" ht="12.75" customHeight="1">
      <c r="A623" s="535"/>
      <c r="B623" s="536"/>
      <c r="C623" s="536"/>
      <c r="D623" s="536"/>
      <c r="E623" s="536"/>
      <c r="F623" s="536"/>
      <c r="G623" s="536"/>
      <c r="H623" s="538"/>
      <c r="I623" s="538"/>
      <c r="J623" s="260"/>
      <c r="K623" s="260"/>
      <c r="L623" s="260"/>
      <c r="M623" s="260"/>
      <c r="N623" s="260"/>
      <c r="O623" s="536"/>
      <c r="P623" s="536"/>
    </row>
    <row r="624" spans="1:16" ht="12.75" customHeight="1">
      <c r="A624" s="535"/>
      <c r="B624" s="536"/>
      <c r="C624" s="536"/>
      <c r="D624" s="536"/>
      <c r="E624" s="536"/>
      <c r="F624" s="536"/>
      <c r="G624" s="536"/>
      <c r="H624" s="538"/>
      <c r="I624" s="538"/>
      <c r="J624" s="260"/>
      <c r="K624" s="260"/>
      <c r="L624" s="260"/>
      <c r="M624" s="260"/>
      <c r="N624" s="260"/>
      <c r="O624" s="536"/>
      <c r="P624" s="536"/>
    </row>
    <row r="625" spans="1:16" ht="12.75" customHeight="1">
      <c r="A625" s="535"/>
      <c r="B625" s="536"/>
      <c r="C625" s="536"/>
      <c r="D625" s="536"/>
      <c r="E625" s="536"/>
      <c r="F625" s="536"/>
      <c r="G625" s="536"/>
      <c r="H625" s="538"/>
      <c r="I625" s="538"/>
      <c r="J625" s="260"/>
      <c r="K625" s="260"/>
      <c r="L625" s="260"/>
      <c r="M625" s="260"/>
      <c r="N625" s="260"/>
      <c r="O625" s="536"/>
      <c r="P625" s="536"/>
    </row>
    <row r="626" spans="1:16" ht="12.75" customHeight="1">
      <c r="A626" s="535"/>
      <c r="B626" s="536"/>
      <c r="C626" s="536"/>
      <c r="D626" s="536"/>
      <c r="E626" s="536"/>
      <c r="F626" s="536"/>
      <c r="G626" s="536"/>
      <c r="H626" s="538"/>
      <c r="I626" s="538"/>
      <c r="J626" s="260"/>
      <c r="K626" s="260"/>
      <c r="L626" s="260"/>
      <c r="M626" s="260"/>
      <c r="N626" s="260"/>
      <c r="O626" s="536"/>
      <c r="P626" s="536"/>
    </row>
    <row r="627" spans="1:16" ht="12.75" customHeight="1">
      <c r="A627" s="535"/>
      <c r="B627" s="536"/>
      <c r="C627" s="536"/>
      <c r="D627" s="536"/>
      <c r="E627" s="536"/>
      <c r="F627" s="536"/>
      <c r="G627" s="536"/>
      <c r="H627" s="538"/>
      <c r="I627" s="538"/>
      <c r="J627" s="260"/>
      <c r="K627" s="260"/>
      <c r="L627" s="260"/>
      <c r="M627" s="260"/>
      <c r="N627" s="260"/>
      <c r="O627" s="536"/>
      <c r="P627" s="536"/>
    </row>
    <row r="628" spans="1:16" ht="12.75" customHeight="1">
      <c r="A628" s="535"/>
      <c r="B628" s="536"/>
      <c r="C628" s="536"/>
      <c r="D628" s="536"/>
      <c r="E628" s="536"/>
      <c r="F628" s="536"/>
      <c r="G628" s="536"/>
      <c r="H628" s="538"/>
      <c r="I628" s="538"/>
      <c r="J628" s="260"/>
      <c r="K628" s="260"/>
      <c r="L628" s="260"/>
      <c r="M628" s="260"/>
      <c r="N628" s="260"/>
      <c r="O628" s="536"/>
      <c r="P628" s="536"/>
    </row>
    <row r="629" spans="1:16" ht="12.75" customHeight="1">
      <c r="A629" s="535"/>
      <c r="B629" s="536"/>
      <c r="C629" s="536"/>
      <c r="D629" s="536"/>
      <c r="E629" s="536"/>
      <c r="F629" s="536"/>
      <c r="G629" s="536"/>
      <c r="H629" s="538"/>
      <c r="I629" s="538"/>
      <c r="J629" s="260"/>
      <c r="K629" s="260"/>
      <c r="L629" s="260"/>
      <c r="M629" s="260"/>
      <c r="N629" s="260"/>
      <c r="O629" s="536"/>
      <c r="P629" s="536"/>
    </row>
    <row r="630" spans="1:16" ht="12.75" customHeight="1">
      <c r="A630" s="535"/>
      <c r="B630" s="536"/>
      <c r="C630" s="536"/>
      <c r="D630" s="536"/>
      <c r="E630" s="536"/>
      <c r="F630" s="536"/>
      <c r="G630" s="536"/>
      <c r="H630" s="538"/>
      <c r="I630" s="538"/>
      <c r="J630" s="260"/>
      <c r="K630" s="260"/>
      <c r="L630" s="260"/>
      <c r="M630" s="260"/>
      <c r="N630" s="260"/>
      <c r="O630" s="536"/>
      <c r="P630" s="536"/>
    </row>
    <row r="631" spans="1:16" ht="12.75" customHeight="1">
      <c r="A631" s="535"/>
      <c r="B631" s="536"/>
      <c r="C631" s="536"/>
      <c r="D631" s="536"/>
      <c r="E631" s="536"/>
      <c r="F631" s="536"/>
      <c r="G631" s="536"/>
      <c r="H631" s="538"/>
      <c r="I631" s="538"/>
      <c r="J631" s="260"/>
      <c r="K631" s="260"/>
      <c r="L631" s="260"/>
      <c r="M631" s="260"/>
      <c r="N631" s="260"/>
      <c r="O631" s="536"/>
      <c r="P631" s="536"/>
    </row>
    <row r="632" spans="1:16" ht="12.75" customHeight="1">
      <c r="A632" s="535"/>
      <c r="B632" s="536"/>
      <c r="C632" s="536"/>
      <c r="D632" s="536"/>
      <c r="E632" s="536"/>
      <c r="F632" s="536"/>
      <c r="G632" s="536"/>
      <c r="H632" s="538"/>
      <c r="I632" s="538"/>
      <c r="J632" s="260"/>
      <c r="K632" s="260"/>
      <c r="L632" s="260"/>
      <c r="M632" s="260"/>
      <c r="N632" s="260"/>
      <c r="O632" s="536"/>
      <c r="P632" s="536"/>
    </row>
    <row r="633" spans="1:16" ht="12.75" customHeight="1">
      <c r="A633" s="535"/>
      <c r="B633" s="536"/>
      <c r="C633" s="536"/>
      <c r="D633" s="536"/>
      <c r="E633" s="536"/>
      <c r="F633" s="536"/>
      <c r="G633" s="536"/>
      <c r="H633" s="538"/>
      <c r="I633" s="538"/>
      <c r="J633" s="260"/>
      <c r="K633" s="260"/>
      <c r="L633" s="260"/>
      <c r="M633" s="260"/>
      <c r="N633" s="260"/>
      <c r="O633" s="536"/>
      <c r="P633" s="536"/>
    </row>
    <row r="634" spans="1:16" ht="12.75" customHeight="1">
      <c r="A634" s="535"/>
      <c r="B634" s="536"/>
      <c r="C634" s="536"/>
      <c r="D634" s="536"/>
      <c r="E634" s="536"/>
      <c r="F634" s="536"/>
      <c r="G634" s="536"/>
      <c r="H634" s="538"/>
      <c r="I634" s="538"/>
      <c r="J634" s="260"/>
      <c r="K634" s="260"/>
      <c r="L634" s="260"/>
      <c r="M634" s="260"/>
      <c r="N634" s="260"/>
      <c r="O634" s="536"/>
      <c r="P634" s="536"/>
    </row>
    <row r="635" spans="1:16" ht="12.75" customHeight="1">
      <c r="A635" s="535"/>
      <c r="B635" s="536"/>
      <c r="C635" s="536"/>
      <c r="D635" s="536"/>
      <c r="E635" s="536"/>
      <c r="F635" s="536"/>
      <c r="G635" s="536"/>
      <c r="H635" s="538"/>
      <c r="I635" s="538"/>
      <c r="J635" s="260"/>
      <c r="K635" s="260"/>
      <c r="L635" s="260"/>
      <c r="M635" s="260"/>
      <c r="N635" s="260"/>
      <c r="O635" s="536"/>
      <c r="P635" s="536"/>
    </row>
    <row r="636" spans="1:16" ht="12.75" customHeight="1">
      <c r="A636" s="535"/>
      <c r="B636" s="536"/>
      <c r="C636" s="536"/>
      <c r="D636" s="536"/>
      <c r="E636" s="536"/>
      <c r="F636" s="536"/>
      <c r="G636" s="536"/>
      <c r="H636" s="538"/>
      <c r="I636" s="538"/>
      <c r="J636" s="260"/>
      <c r="K636" s="260"/>
      <c r="L636" s="260"/>
      <c r="M636" s="260"/>
      <c r="N636" s="260"/>
      <c r="O636" s="536"/>
      <c r="P636" s="536"/>
    </row>
    <row r="637" spans="1:16" ht="12.75" customHeight="1">
      <c r="A637" s="535"/>
      <c r="B637" s="536"/>
      <c r="C637" s="536"/>
      <c r="D637" s="536"/>
      <c r="E637" s="536"/>
      <c r="F637" s="536"/>
      <c r="G637" s="536"/>
      <c r="H637" s="538"/>
      <c r="I637" s="538"/>
      <c r="J637" s="260"/>
      <c r="K637" s="260"/>
      <c r="L637" s="260"/>
      <c r="M637" s="260"/>
      <c r="N637" s="260"/>
      <c r="O637" s="536"/>
      <c r="P637" s="536"/>
    </row>
    <row r="638" spans="1:16" ht="12.75" customHeight="1">
      <c r="A638" s="535"/>
      <c r="B638" s="536"/>
      <c r="C638" s="536"/>
      <c r="D638" s="536"/>
      <c r="E638" s="536"/>
      <c r="F638" s="536"/>
      <c r="G638" s="536"/>
      <c r="H638" s="538"/>
      <c r="I638" s="538"/>
      <c r="J638" s="260"/>
      <c r="K638" s="260"/>
      <c r="L638" s="260"/>
      <c r="M638" s="260"/>
      <c r="N638" s="260"/>
      <c r="O638" s="536"/>
      <c r="P638" s="536"/>
    </row>
    <row r="639" spans="1:16" ht="12.75" customHeight="1">
      <c r="A639" s="535"/>
      <c r="B639" s="536"/>
      <c r="C639" s="536"/>
      <c r="D639" s="536"/>
      <c r="E639" s="536"/>
      <c r="F639" s="536"/>
      <c r="G639" s="536"/>
      <c r="H639" s="538"/>
      <c r="I639" s="538"/>
      <c r="J639" s="260"/>
      <c r="K639" s="260"/>
      <c r="L639" s="260"/>
      <c r="M639" s="260"/>
      <c r="N639" s="260"/>
      <c r="O639" s="536"/>
      <c r="P639" s="536"/>
    </row>
    <row r="640" spans="1:16" ht="12.75" customHeight="1">
      <c r="A640" s="535"/>
      <c r="B640" s="536"/>
      <c r="C640" s="536"/>
      <c r="D640" s="536"/>
      <c r="E640" s="536"/>
      <c r="F640" s="536"/>
      <c r="G640" s="536"/>
      <c r="H640" s="538"/>
      <c r="I640" s="538"/>
      <c r="J640" s="260"/>
      <c r="K640" s="260"/>
      <c r="L640" s="260"/>
      <c r="M640" s="260"/>
      <c r="N640" s="260"/>
      <c r="O640" s="536"/>
      <c r="P640" s="536"/>
    </row>
    <row r="641" spans="1:16" ht="12.75" customHeight="1">
      <c r="A641" s="535"/>
      <c r="B641" s="536"/>
      <c r="C641" s="536"/>
      <c r="D641" s="536"/>
      <c r="E641" s="536"/>
      <c r="F641" s="536"/>
      <c r="G641" s="536"/>
      <c r="H641" s="538"/>
      <c r="I641" s="538"/>
      <c r="J641" s="260"/>
      <c r="K641" s="260"/>
      <c r="L641" s="260"/>
      <c r="M641" s="260"/>
      <c r="N641" s="260"/>
      <c r="O641" s="536"/>
      <c r="P641" s="536"/>
    </row>
    <row r="642" spans="1:16" ht="12.75" customHeight="1">
      <c r="A642" s="535"/>
      <c r="B642" s="536"/>
      <c r="C642" s="536"/>
      <c r="D642" s="536"/>
      <c r="E642" s="536"/>
      <c r="F642" s="536"/>
      <c r="G642" s="536"/>
      <c r="H642" s="538"/>
      <c r="I642" s="538"/>
      <c r="J642" s="260"/>
      <c r="K642" s="260"/>
      <c r="L642" s="260"/>
      <c r="M642" s="260"/>
      <c r="N642" s="260"/>
      <c r="O642" s="536"/>
      <c r="P642" s="536"/>
    </row>
    <row r="643" spans="1:16" ht="12.75" customHeight="1">
      <c r="A643" s="535"/>
      <c r="B643" s="536"/>
      <c r="C643" s="536"/>
      <c r="D643" s="536"/>
      <c r="E643" s="536"/>
      <c r="F643" s="536"/>
      <c r="G643" s="536"/>
      <c r="H643" s="538"/>
      <c r="I643" s="538"/>
      <c r="J643" s="260"/>
      <c r="K643" s="260"/>
      <c r="L643" s="260"/>
      <c r="M643" s="260"/>
      <c r="N643" s="260"/>
      <c r="O643" s="536"/>
      <c r="P643" s="536"/>
    </row>
    <row r="644" spans="1:16" ht="12.75" customHeight="1">
      <c r="A644" s="535"/>
      <c r="B644" s="536"/>
      <c r="C644" s="536"/>
      <c r="D644" s="536"/>
      <c r="E644" s="536"/>
      <c r="F644" s="536"/>
      <c r="G644" s="536"/>
      <c r="H644" s="538"/>
      <c r="I644" s="538"/>
      <c r="J644" s="260"/>
      <c r="K644" s="260"/>
      <c r="L644" s="260"/>
      <c r="M644" s="260"/>
      <c r="N644" s="260"/>
      <c r="O644" s="536"/>
      <c r="P644" s="536"/>
    </row>
    <row r="645" spans="1:16" ht="12.75" customHeight="1">
      <c r="A645" s="535"/>
      <c r="B645" s="536"/>
      <c r="C645" s="536"/>
      <c r="D645" s="536"/>
      <c r="E645" s="536"/>
      <c r="F645" s="536"/>
      <c r="G645" s="536"/>
      <c r="H645" s="538"/>
      <c r="I645" s="538"/>
      <c r="J645" s="260"/>
      <c r="K645" s="260"/>
      <c r="L645" s="260"/>
      <c r="M645" s="260"/>
      <c r="N645" s="260"/>
      <c r="O645" s="536"/>
      <c r="P645" s="536"/>
    </row>
    <row r="646" spans="1:16" ht="12.75" customHeight="1">
      <c r="A646" s="535"/>
      <c r="B646" s="536"/>
      <c r="C646" s="536"/>
      <c r="D646" s="536"/>
      <c r="E646" s="536"/>
      <c r="F646" s="536"/>
      <c r="G646" s="536"/>
      <c r="H646" s="538"/>
      <c r="I646" s="538"/>
      <c r="J646" s="260"/>
      <c r="K646" s="260"/>
      <c r="L646" s="260"/>
      <c r="M646" s="260"/>
      <c r="N646" s="260"/>
      <c r="O646" s="536"/>
      <c r="P646" s="536"/>
    </row>
    <row r="647" spans="1:16" ht="12.75" customHeight="1">
      <c r="A647" s="535"/>
      <c r="B647" s="536"/>
      <c r="C647" s="536"/>
      <c r="D647" s="536"/>
      <c r="E647" s="536"/>
      <c r="F647" s="536"/>
      <c r="G647" s="536"/>
      <c r="H647" s="538"/>
      <c r="I647" s="538"/>
      <c r="J647" s="260"/>
      <c r="K647" s="260"/>
      <c r="L647" s="260"/>
      <c r="M647" s="260"/>
      <c r="N647" s="260"/>
      <c r="O647" s="536"/>
      <c r="P647" s="536"/>
    </row>
    <row r="648" spans="1:16" ht="12.75" customHeight="1">
      <c r="A648" s="535"/>
      <c r="B648" s="536"/>
      <c r="C648" s="536"/>
      <c r="D648" s="536"/>
      <c r="E648" s="536"/>
      <c r="F648" s="536"/>
      <c r="G648" s="536"/>
      <c r="H648" s="538"/>
      <c r="I648" s="538"/>
      <c r="J648" s="260"/>
      <c r="K648" s="260"/>
      <c r="L648" s="260"/>
      <c r="M648" s="260"/>
      <c r="N648" s="260"/>
      <c r="O648" s="536"/>
      <c r="P648" s="536"/>
    </row>
    <row r="649" spans="1:16" ht="12.75" customHeight="1">
      <c r="A649" s="535"/>
      <c r="B649" s="536"/>
      <c r="C649" s="536"/>
      <c r="D649" s="536"/>
      <c r="E649" s="536"/>
      <c r="F649" s="536"/>
      <c r="G649" s="536"/>
      <c r="H649" s="538"/>
      <c r="I649" s="538"/>
      <c r="J649" s="260"/>
      <c r="K649" s="260"/>
      <c r="L649" s="260"/>
      <c r="M649" s="260"/>
      <c r="N649" s="260"/>
      <c r="O649" s="536"/>
      <c r="P649" s="536"/>
    </row>
    <row r="650" spans="1:16" ht="12.75" customHeight="1">
      <c r="A650" s="535"/>
      <c r="B650" s="536"/>
      <c r="C650" s="536"/>
      <c r="D650" s="536"/>
      <c r="E650" s="536"/>
      <c r="F650" s="536"/>
      <c r="G650" s="536"/>
      <c r="H650" s="538"/>
      <c r="I650" s="538"/>
      <c r="J650" s="260"/>
      <c r="K650" s="260"/>
      <c r="L650" s="260"/>
      <c r="M650" s="260"/>
      <c r="N650" s="260"/>
      <c r="O650" s="536"/>
      <c r="P650" s="536"/>
    </row>
    <row r="651" spans="1:16" ht="12.75" customHeight="1">
      <c r="A651" s="535"/>
      <c r="B651" s="536"/>
      <c r="C651" s="536"/>
      <c r="D651" s="536"/>
      <c r="E651" s="536"/>
      <c r="F651" s="536"/>
      <c r="G651" s="536"/>
      <c r="H651" s="538"/>
      <c r="I651" s="538"/>
      <c r="J651" s="260"/>
      <c r="K651" s="260"/>
      <c r="L651" s="260"/>
      <c r="M651" s="260"/>
      <c r="N651" s="260"/>
      <c r="O651" s="536"/>
      <c r="P651" s="536"/>
    </row>
    <row r="652" spans="1:16" ht="12.75" customHeight="1">
      <c r="A652" s="535"/>
      <c r="B652" s="536"/>
      <c r="C652" s="536"/>
      <c r="D652" s="536"/>
      <c r="E652" s="536"/>
      <c r="F652" s="536"/>
      <c r="G652" s="536"/>
      <c r="H652" s="538"/>
      <c r="I652" s="538"/>
      <c r="J652" s="260"/>
      <c r="K652" s="260"/>
      <c r="L652" s="260"/>
      <c r="M652" s="260"/>
      <c r="N652" s="260"/>
      <c r="O652" s="536"/>
      <c r="P652" s="536"/>
    </row>
    <row r="653" spans="1:16" ht="12.75" customHeight="1">
      <c r="A653" s="535"/>
      <c r="B653" s="536"/>
      <c r="C653" s="536"/>
      <c r="D653" s="536"/>
      <c r="E653" s="536"/>
      <c r="F653" s="536"/>
      <c r="G653" s="536"/>
      <c r="H653" s="538"/>
      <c r="I653" s="538"/>
      <c r="J653" s="260"/>
      <c r="K653" s="260"/>
      <c r="L653" s="260"/>
      <c r="M653" s="260"/>
      <c r="N653" s="260"/>
      <c r="O653" s="536"/>
      <c r="P653" s="536"/>
    </row>
    <row r="654" spans="1:16" ht="12.75" customHeight="1">
      <c r="A654" s="535"/>
      <c r="B654" s="536"/>
      <c r="C654" s="536"/>
      <c r="D654" s="536"/>
      <c r="E654" s="536"/>
      <c r="F654" s="536"/>
      <c r="G654" s="536"/>
      <c r="H654" s="538"/>
      <c r="I654" s="538"/>
      <c r="J654" s="260"/>
      <c r="K654" s="260"/>
      <c r="L654" s="260"/>
      <c r="M654" s="260"/>
      <c r="N654" s="260"/>
      <c r="O654" s="536"/>
      <c r="P654" s="536"/>
    </row>
    <row r="655" spans="1:16" ht="12.75" customHeight="1">
      <c r="A655" s="535"/>
      <c r="B655" s="536"/>
      <c r="C655" s="536"/>
      <c r="D655" s="536"/>
      <c r="E655" s="536"/>
      <c r="F655" s="536"/>
      <c r="G655" s="536"/>
      <c r="H655" s="538"/>
      <c r="I655" s="538"/>
      <c r="J655" s="260"/>
      <c r="K655" s="260"/>
      <c r="L655" s="260"/>
      <c r="M655" s="260"/>
      <c r="N655" s="260"/>
      <c r="O655" s="536"/>
      <c r="P655" s="536"/>
    </row>
    <row r="656" spans="1:16" ht="12.75" customHeight="1">
      <c r="A656" s="535"/>
      <c r="B656" s="536"/>
      <c r="C656" s="536"/>
      <c r="D656" s="536"/>
      <c r="E656" s="536"/>
      <c r="F656" s="536"/>
      <c r="G656" s="536"/>
      <c r="H656" s="538"/>
      <c r="I656" s="538"/>
      <c r="J656" s="260"/>
      <c r="K656" s="260"/>
      <c r="L656" s="260"/>
      <c r="M656" s="260"/>
      <c r="N656" s="260"/>
      <c r="O656" s="536"/>
      <c r="P656" s="536"/>
    </row>
    <row r="657" spans="1:16" ht="12.75" customHeight="1">
      <c r="A657" s="535"/>
      <c r="B657" s="536"/>
      <c r="C657" s="536"/>
      <c r="D657" s="536"/>
      <c r="E657" s="536"/>
      <c r="F657" s="536"/>
      <c r="G657" s="536"/>
      <c r="H657" s="538"/>
      <c r="I657" s="538"/>
      <c r="J657" s="260"/>
      <c r="K657" s="260"/>
      <c r="L657" s="260"/>
      <c r="M657" s="260"/>
      <c r="N657" s="260"/>
      <c r="O657" s="536"/>
      <c r="P657" s="536"/>
    </row>
    <row r="658" spans="1:16" ht="12.75" customHeight="1">
      <c r="A658" s="535"/>
      <c r="B658" s="536"/>
      <c r="C658" s="536"/>
      <c r="D658" s="536"/>
      <c r="E658" s="536"/>
      <c r="F658" s="536"/>
      <c r="G658" s="536"/>
      <c r="H658" s="538"/>
      <c r="I658" s="538"/>
      <c r="J658" s="260"/>
      <c r="K658" s="260"/>
      <c r="L658" s="260"/>
      <c r="M658" s="260"/>
      <c r="N658" s="260"/>
      <c r="O658" s="536"/>
      <c r="P658" s="536"/>
    </row>
    <row r="659" spans="1:16" ht="12.75" customHeight="1">
      <c r="A659" s="535"/>
      <c r="B659" s="536"/>
      <c r="C659" s="536"/>
      <c r="D659" s="536"/>
      <c r="E659" s="536"/>
      <c r="F659" s="536"/>
      <c r="G659" s="536"/>
      <c r="H659" s="538"/>
      <c r="I659" s="538"/>
      <c r="J659" s="260"/>
      <c r="K659" s="260"/>
      <c r="L659" s="260"/>
      <c r="M659" s="260"/>
      <c r="N659" s="260"/>
      <c r="O659" s="536"/>
      <c r="P659" s="536"/>
    </row>
    <row r="660" spans="1:16" ht="12.75" customHeight="1">
      <c r="A660" s="535"/>
      <c r="B660" s="536"/>
      <c r="C660" s="536"/>
      <c r="D660" s="536"/>
      <c r="E660" s="536"/>
      <c r="F660" s="536"/>
      <c r="G660" s="536"/>
      <c r="H660" s="538"/>
      <c r="I660" s="538"/>
      <c r="J660" s="260"/>
      <c r="K660" s="260"/>
      <c r="L660" s="260"/>
      <c r="M660" s="260"/>
      <c r="N660" s="260"/>
      <c r="O660" s="536"/>
      <c r="P660" s="536"/>
    </row>
    <row r="661" spans="1:16" ht="12.75" customHeight="1">
      <c r="A661" s="535"/>
      <c r="B661" s="536"/>
      <c r="C661" s="536"/>
      <c r="D661" s="536"/>
      <c r="E661" s="536"/>
      <c r="F661" s="536"/>
      <c r="G661" s="536"/>
      <c r="H661" s="538"/>
      <c r="I661" s="538"/>
      <c r="J661" s="260"/>
      <c r="K661" s="260"/>
      <c r="L661" s="260"/>
      <c r="M661" s="260"/>
      <c r="N661" s="260"/>
      <c r="O661" s="536"/>
      <c r="P661" s="536"/>
    </row>
    <row r="662" spans="1:16" ht="12.75" customHeight="1">
      <c r="A662" s="535"/>
      <c r="B662" s="536"/>
      <c r="C662" s="536"/>
      <c r="D662" s="536"/>
      <c r="E662" s="536"/>
      <c r="F662" s="536"/>
      <c r="G662" s="536"/>
      <c r="H662" s="538"/>
      <c r="I662" s="538"/>
      <c r="J662" s="260"/>
      <c r="K662" s="260"/>
      <c r="L662" s="260"/>
      <c r="M662" s="260"/>
      <c r="N662" s="260"/>
      <c r="O662" s="536"/>
      <c r="P662" s="536"/>
    </row>
    <row r="663" spans="1:16" ht="12.75" customHeight="1">
      <c r="A663" s="535"/>
      <c r="B663" s="536"/>
      <c r="C663" s="536"/>
      <c r="D663" s="536"/>
      <c r="E663" s="536"/>
      <c r="F663" s="536"/>
      <c r="G663" s="536"/>
      <c r="H663" s="538"/>
      <c r="I663" s="538"/>
      <c r="J663" s="260"/>
      <c r="K663" s="260"/>
      <c r="L663" s="260"/>
      <c r="M663" s="260"/>
      <c r="N663" s="260"/>
      <c r="O663" s="536"/>
      <c r="P663" s="536"/>
    </row>
    <row r="664" spans="1:16" ht="12.75" customHeight="1">
      <c r="A664" s="535"/>
      <c r="B664" s="536"/>
      <c r="C664" s="536"/>
      <c r="D664" s="536"/>
      <c r="E664" s="536"/>
      <c r="F664" s="536"/>
      <c r="G664" s="536"/>
      <c r="H664" s="538"/>
      <c r="I664" s="538"/>
      <c r="J664" s="260"/>
      <c r="K664" s="260"/>
      <c r="L664" s="260"/>
      <c r="M664" s="260"/>
      <c r="N664" s="260"/>
      <c r="O664" s="536"/>
      <c r="P664" s="536"/>
    </row>
    <row r="665" spans="1:16" ht="12.75" customHeight="1">
      <c r="A665" s="535"/>
      <c r="B665" s="536"/>
      <c r="C665" s="536"/>
      <c r="D665" s="536"/>
      <c r="E665" s="536"/>
      <c r="F665" s="536"/>
      <c r="G665" s="536"/>
      <c r="H665" s="538"/>
      <c r="I665" s="538"/>
      <c r="J665" s="260"/>
      <c r="K665" s="260"/>
      <c r="L665" s="260"/>
      <c r="M665" s="260"/>
      <c r="N665" s="260"/>
      <c r="O665" s="536"/>
      <c r="P665" s="536"/>
    </row>
    <row r="666" spans="1:16" ht="12.75" customHeight="1">
      <c r="A666" s="535"/>
      <c r="B666" s="536"/>
      <c r="C666" s="536"/>
      <c r="D666" s="536"/>
      <c r="E666" s="536"/>
      <c r="F666" s="536"/>
      <c r="G666" s="536"/>
      <c r="H666" s="538"/>
      <c r="I666" s="538"/>
      <c r="J666" s="260"/>
      <c r="K666" s="260"/>
      <c r="L666" s="260"/>
      <c r="M666" s="260"/>
      <c r="N666" s="260"/>
      <c r="O666" s="536"/>
      <c r="P666" s="536"/>
    </row>
    <row r="667" spans="1:16" ht="12.75" customHeight="1">
      <c r="A667" s="535"/>
      <c r="B667" s="536"/>
      <c r="C667" s="536"/>
      <c r="D667" s="536"/>
      <c r="E667" s="536"/>
      <c r="F667" s="536"/>
      <c r="G667" s="536"/>
      <c r="H667" s="538"/>
      <c r="I667" s="538"/>
      <c r="J667" s="260"/>
      <c r="K667" s="260"/>
      <c r="L667" s="260"/>
      <c r="M667" s="260"/>
      <c r="N667" s="260"/>
      <c r="O667" s="536"/>
      <c r="P667" s="536"/>
    </row>
    <row r="668" spans="1:16" ht="12.75" customHeight="1">
      <c r="A668" s="535"/>
      <c r="B668" s="536"/>
      <c r="C668" s="536"/>
      <c r="D668" s="536"/>
      <c r="E668" s="536"/>
      <c r="F668" s="536"/>
      <c r="G668" s="536"/>
      <c r="H668" s="538"/>
      <c r="I668" s="538"/>
      <c r="J668" s="260"/>
      <c r="K668" s="260"/>
      <c r="L668" s="260"/>
      <c r="M668" s="260"/>
      <c r="N668" s="260"/>
      <c r="O668" s="536"/>
      <c r="P668" s="536"/>
    </row>
    <row r="669" spans="1:16" ht="12.75" customHeight="1">
      <c r="A669" s="535"/>
      <c r="B669" s="536"/>
      <c r="C669" s="536"/>
      <c r="D669" s="536"/>
      <c r="E669" s="536"/>
      <c r="F669" s="536"/>
      <c r="G669" s="536"/>
      <c r="H669" s="538"/>
      <c r="I669" s="538"/>
      <c r="J669" s="260"/>
      <c r="K669" s="260"/>
      <c r="L669" s="260"/>
      <c r="M669" s="260"/>
      <c r="N669" s="260"/>
      <c r="O669" s="536"/>
      <c r="P669" s="536"/>
    </row>
    <row r="670" spans="1:16" ht="12.75" customHeight="1">
      <c r="A670" s="535"/>
      <c r="B670" s="536"/>
      <c r="C670" s="536"/>
      <c r="D670" s="536"/>
      <c r="E670" s="536"/>
      <c r="F670" s="536"/>
      <c r="G670" s="536"/>
      <c r="H670" s="538"/>
      <c r="I670" s="538"/>
      <c r="J670" s="260"/>
      <c r="K670" s="260"/>
      <c r="L670" s="260"/>
      <c r="M670" s="260"/>
      <c r="N670" s="260"/>
      <c r="O670" s="536"/>
      <c r="P670" s="536"/>
    </row>
    <row r="671" spans="1:16" ht="12.75" customHeight="1">
      <c r="A671" s="535"/>
      <c r="B671" s="536"/>
      <c r="C671" s="536"/>
      <c r="D671" s="536"/>
      <c r="E671" s="536"/>
      <c r="F671" s="536"/>
      <c r="G671" s="536"/>
      <c r="H671" s="538"/>
      <c r="I671" s="538"/>
      <c r="J671" s="260"/>
      <c r="K671" s="260"/>
      <c r="L671" s="260"/>
      <c r="M671" s="260"/>
      <c r="N671" s="260"/>
      <c r="O671" s="536"/>
      <c r="P671" s="536"/>
    </row>
    <row r="672" spans="1:16" ht="12.75" customHeight="1">
      <c r="A672" s="535"/>
      <c r="B672" s="536"/>
      <c r="C672" s="536"/>
      <c r="D672" s="536"/>
      <c r="E672" s="536"/>
      <c r="F672" s="536"/>
      <c r="G672" s="536"/>
      <c r="H672" s="538"/>
      <c r="I672" s="538"/>
      <c r="J672" s="260"/>
      <c r="K672" s="260"/>
      <c r="L672" s="260"/>
      <c r="M672" s="260"/>
      <c r="N672" s="260"/>
      <c r="O672" s="536"/>
      <c r="P672" s="536"/>
    </row>
    <row r="673" spans="1:16" ht="12.75" customHeight="1">
      <c r="A673" s="535"/>
      <c r="B673" s="536"/>
      <c r="C673" s="536"/>
      <c r="D673" s="536"/>
      <c r="E673" s="536"/>
      <c r="F673" s="536"/>
      <c r="G673" s="536"/>
      <c r="H673" s="538"/>
      <c r="I673" s="538"/>
      <c r="J673" s="260"/>
      <c r="K673" s="260"/>
      <c r="L673" s="260"/>
      <c r="M673" s="260"/>
      <c r="N673" s="260"/>
      <c r="O673" s="536"/>
      <c r="P673" s="536"/>
    </row>
    <row r="674" spans="1:16" ht="12.75" customHeight="1">
      <c r="A674" s="535"/>
      <c r="B674" s="536"/>
      <c r="C674" s="536"/>
      <c r="D674" s="536"/>
      <c r="E674" s="536"/>
      <c r="F674" s="536"/>
      <c r="G674" s="536"/>
      <c r="H674" s="538"/>
      <c r="I674" s="538"/>
      <c r="J674" s="260"/>
      <c r="K674" s="260"/>
      <c r="L674" s="260"/>
      <c r="M674" s="260"/>
      <c r="N674" s="260"/>
      <c r="O674" s="536"/>
      <c r="P674" s="536"/>
    </row>
    <row r="675" spans="1:16" ht="12.75" customHeight="1">
      <c r="A675" s="535"/>
      <c r="B675" s="536"/>
      <c r="C675" s="536"/>
      <c r="D675" s="536"/>
      <c r="E675" s="536"/>
      <c r="F675" s="536"/>
      <c r="G675" s="536"/>
      <c r="H675" s="538"/>
      <c r="I675" s="538"/>
      <c r="J675" s="260"/>
      <c r="K675" s="260"/>
      <c r="L675" s="260"/>
      <c r="M675" s="260"/>
      <c r="N675" s="260"/>
      <c r="O675" s="536"/>
      <c r="P675" s="536"/>
    </row>
    <row r="676" spans="1:16" ht="12.75" customHeight="1">
      <c r="A676" s="535"/>
      <c r="B676" s="536"/>
      <c r="C676" s="536"/>
      <c r="D676" s="536"/>
      <c r="E676" s="536"/>
      <c r="F676" s="536"/>
      <c r="G676" s="536"/>
      <c r="H676" s="538"/>
      <c r="I676" s="538"/>
      <c r="J676" s="260"/>
      <c r="K676" s="260"/>
      <c r="L676" s="260"/>
      <c r="M676" s="260"/>
      <c r="N676" s="260"/>
      <c r="O676" s="536"/>
      <c r="P676" s="536"/>
    </row>
    <row r="677" spans="1:16" ht="12.75" customHeight="1">
      <c r="A677" s="535"/>
      <c r="B677" s="536"/>
      <c r="C677" s="536"/>
      <c r="D677" s="536"/>
      <c r="E677" s="536"/>
      <c r="F677" s="536"/>
      <c r="G677" s="536"/>
      <c r="H677" s="538"/>
      <c r="I677" s="538"/>
      <c r="J677" s="260"/>
      <c r="K677" s="260"/>
      <c r="L677" s="260"/>
      <c r="M677" s="260"/>
      <c r="N677" s="260"/>
      <c r="O677" s="536"/>
      <c r="P677" s="536"/>
    </row>
    <row r="678" spans="1:16" ht="12.75" customHeight="1">
      <c r="A678" s="535"/>
      <c r="B678" s="536"/>
      <c r="C678" s="536"/>
      <c r="D678" s="536"/>
      <c r="E678" s="536"/>
      <c r="F678" s="536"/>
      <c r="G678" s="536"/>
      <c r="H678" s="538"/>
      <c r="I678" s="538"/>
      <c r="J678" s="260"/>
      <c r="K678" s="260"/>
      <c r="L678" s="260"/>
      <c r="M678" s="260"/>
      <c r="N678" s="260"/>
      <c r="O678" s="536"/>
      <c r="P678" s="536"/>
    </row>
    <row r="679" spans="1:16" ht="12.75" customHeight="1">
      <c r="A679" s="535"/>
      <c r="B679" s="536"/>
      <c r="C679" s="536"/>
      <c r="D679" s="536"/>
      <c r="E679" s="536"/>
      <c r="F679" s="536"/>
      <c r="G679" s="536"/>
      <c r="H679" s="538"/>
      <c r="I679" s="538"/>
      <c r="J679" s="260"/>
      <c r="K679" s="260"/>
      <c r="L679" s="260"/>
      <c r="M679" s="260"/>
      <c r="N679" s="260"/>
      <c r="O679" s="536"/>
      <c r="P679" s="536"/>
    </row>
    <row r="680" spans="1:16" ht="12.75" customHeight="1">
      <c r="A680" s="535"/>
      <c r="B680" s="536"/>
      <c r="C680" s="536"/>
      <c r="D680" s="536"/>
      <c r="E680" s="536"/>
      <c r="F680" s="536"/>
      <c r="G680" s="536"/>
      <c r="H680" s="538"/>
      <c r="I680" s="538"/>
      <c r="J680" s="260"/>
      <c r="K680" s="260"/>
      <c r="L680" s="260"/>
      <c r="M680" s="260"/>
      <c r="N680" s="260"/>
      <c r="O680" s="536"/>
      <c r="P680" s="536"/>
    </row>
    <row r="681" spans="1:16" ht="12.75" customHeight="1">
      <c r="A681" s="535"/>
      <c r="B681" s="536"/>
      <c r="C681" s="536"/>
      <c r="D681" s="536"/>
      <c r="E681" s="536"/>
      <c r="F681" s="536"/>
      <c r="G681" s="536"/>
      <c r="H681" s="538"/>
      <c r="I681" s="538"/>
      <c r="J681" s="260"/>
      <c r="K681" s="260"/>
      <c r="L681" s="260"/>
      <c r="M681" s="260"/>
      <c r="N681" s="260"/>
      <c r="O681" s="536"/>
      <c r="P681" s="536"/>
    </row>
    <row r="682" spans="1:16" ht="12.75" customHeight="1">
      <c r="A682" s="535"/>
      <c r="B682" s="536"/>
      <c r="C682" s="536"/>
      <c r="D682" s="536"/>
      <c r="E682" s="536"/>
      <c r="F682" s="536"/>
      <c r="G682" s="536"/>
      <c r="H682" s="538"/>
      <c r="I682" s="538"/>
      <c r="J682" s="260"/>
      <c r="K682" s="260"/>
      <c r="L682" s="260"/>
      <c r="M682" s="260"/>
      <c r="N682" s="260"/>
      <c r="O682" s="536"/>
      <c r="P682" s="536"/>
    </row>
    <row r="683" spans="1:16" ht="12.75" customHeight="1">
      <c r="A683" s="535"/>
      <c r="B683" s="536"/>
      <c r="C683" s="536"/>
      <c r="D683" s="536"/>
      <c r="E683" s="536"/>
      <c r="F683" s="536"/>
      <c r="G683" s="536"/>
      <c r="H683" s="538"/>
      <c r="I683" s="538"/>
      <c r="J683" s="260"/>
      <c r="K683" s="260"/>
      <c r="L683" s="260"/>
      <c r="M683" s="260"/>
      <c r="N683" s="260"/>
      <c r="O683" s="536"/>
      <c r="P683" s="536"/>
    </row>
    <row r="684" spans="1:16" ht="12.75" customHeight="1">
      <c r="A684" s="535"/>
      <c r="B684" s="536"/>
      <c r="C684" s="536"/>
      <c r="D684" s="536"/>
      <c r="E684" s="536"/>
      <c r="F684" s="536"/>
      <c r="G684" s="536"/>
      <c r="H684" s="538"/>
      <c r="I684" s="538"/>
      <c r="J684" s="260"/>
      <c r="K684" s="260"/>
      <c r="L684" s="260"/>
      <c r="M684" s="260"/>
      <c r="N684" s="260"/>
      <c r="O684" s="536"/>
      <c r="P684" s="536"/>
    </row>
    <row r="685" spans="1:16" ht="12.75" customHeight="1">
      <c r="A685" s="535"/>
      <c r="B685" s="536"/>
      <c r="C685" s="536"/>
      <c r="D685" s="536"/>
      <c r="E685" s="536"/>
      <c r="F685" s="536"/>
      <c r="G685" s="536"/>
      <c r="H685" s="538"/>
      <c r="I685" s="538"/>
      <c r="J685" s="260"/>
      <c r="K685" s="260"/>
      <c r="L685" s="260"/>
      <c r="M685" s="260"/>
      <c r="N685" s="260"/>
      <c r="O685" s="536"/>
      <c r="P685" s="536"/>
    </row>
    <row r="686" spans="1:16" ht="12.75" customHeight="1">
      <c r="A686" s="535"/>
      <c r="B686" s="536"/>
      <c r="C686" s="536"/>
      <c r="D686" s="536"/>
      <c r="E686" s="536"/>
      <c r="F686" s="536"/>
      <c r="G686" s="536"/>
      <c r="H686" s="538"/>
      <c r="I686" s="538"/>
      <c r="J686" s="260"/>
      <c r="K686" s="260"/>
      <c r="L686" s="260"/>
      <c r="M686" s="260"/>
      <c r="N686" s="260"/>
      <c r="O686" s="536"/>
      <c r="P686" s="536"/>
    </row>
    <row r="687" spans="1:16" ht="12.75" customHeight="1">
      <c r="A687" s="535"/>
      <c r="B687" s="536"/>
      <c r="C687" s="536"/>
      <c r="D687" s="536"/>
      <c r="E687" s="536"/>
      <c r="F687" s="536"/>
      <c r="G687" s="536"/>
      <c r="H687" s="538"/>
      <c r="I687" s="538"/>
      <c r="J687" s="260"/>
      <c r="K687" s="260"/>
      <c r="L687" s="260"/>
      <c r="M687" s="260"/>
      <c r="N687" s="260"/>
      <c r="O687" s="536"/>
      <c r="P687" s="536"/>
    </row>
    <row r="688" spans="1:16" ht="12.75" customHeight="1">
      <c r="A688" s="535"/>
      <c r="B688" s="536"/>
      <c r="C688" s="536"/>
      <c r="D688" s="536"/>
      <c r="E688" s="536"/>
      <c r="F688" s="536"/>
      <c r="G688" s="536"/>
      <c r="H688" s="538"/>
      <c r="I688" s="538"/>
      <c r="J688" s="260"/>
      <c r="K688" s="260"/>
      <c r="L688" s="260"/>
      <c r="M688" s="260"/>
      <c r="N688" s="260"/>
      <c r="O688" s="536"/>
      <c r="P688" s="536"/>
    </row>
    <row r="689" spans="1:16" ht="12.75" customHeight="1">
      <c r="A689" s="535"/>
      <c r="B689" s="536"/>
      <c r="C689" s="536"/>
      <c r="D689" s="536"/>
      <c r="E689" s="536"/>
      <c r="F689" s="536"/>
      <c r="G689" s="536"/>
      <c r="H689" s="538"/>
      <c r="I689" s="538"/>
      <c r="J689" s="260"/>
      <c r="K689" s="260"/>
      <c r="L689" s="260"/>
      <c r="M689" s="260"/>
      <c r="N689" s="260"/>
      <c r="O689" s="536"/>
      <c r="P689" s="536"/>
    </row>
    <row r="690" spans="1:16" ht="12.75" customHeight="1">
      <c r="A690" s="535"/>
      <c r="B690" s="536"/>
      <c r="C690" s="536"/>
      <c r="D690" s="536"/>
      <c r="E690" s="536"/>
      <c r="F690" s="536"/>
      <c r="G690" s="536"/>
      <c r="H690" s="538"/>
      <c r="I690" s="538"/>
      <c r="J690" s="260"/>
      <c r="K690" s="260"/>
      <c r="L690" s="260"/>
      <c r="M690" s="260"/>
      <c r="N690" s="260"/>
      <c r="O690" s="536"/>
      <c r="P690" s="536"/>
    </row>
    <row r="691" spans="1:16" ht="12.75" customHeight="1">
      <c r="A691" s="535"/>
      <c r="B691" s="536"/>
      <c r="C691" s="536"/>
      <c r="D691" s="536"/>
      <c r="E691" s="536"/>
      <c r="F691" s="536"/>
      <c r="G691" s="536"/>
      <c r="H691" s="538"/>
      <c r="I691" s="538"/>
      <c r="J691" s="260"/>
      <c r="K691" s="260"/>
      <c r="L691" s="260"/>
      <c r="M691" s="260"/>
      <c r="N691" s="260"/>
      <c r="O691" s="536"/>
      <c r="P691" s="536"/>
    </row>
    <row r="692" spans="1:16" ht="12.75" customHeight="1">
      <c r="A692" s="535"/>
      <c r="B692" s="536"/>
      <c r="C692" s="536"/>
      <c r="D692" s="536"/>
      <c r="E692" s="536"/>
      <c r="F692" s="536"/>
      <c r="G692" s="536"/>
      <c r="H692" s="538"/>
      <c r="I692" s="538"/>
      <c r="J692" s="260"/>
      <c r="K692" s="260"/>
      <c r="L692" s="260"/>
      <c r="M692" s="260"/>
      <c r="N692" s="260"/>
      <c r="O692" s="536"/>
      <c r="P692" s="536"/>
    </row>
    <row r="693" spans="1:16" ht="12.75" customHeight="1">
      <c r="A693" s="535"/>
      <c r="B693" s="536"/>
      <c r="C693" s="536"/>
      <c r="D693" s="536"/>
      <c r="E693" s="536"/>
      <c r="F693" s="536"/>
      <c r="G693" s="536"/>
      <c r="H693" s="538"/>
      <c r="I693" s="538"/>
      <c r="J693" s="260"/>
      <c r="K693" s="260"/>
      <c r="L693" s="260"/>
      <c r="M693" s="260"/>
      <c r="N693" s="260"/>
      <c r="O693" s="536"/>
      <c r="P693" s="536"/>
    </row>
    <row r="694" spans="1:16" ht="12.75" customHeight="1">
      <c r="A694" s="535"/>
      <c r="B694" s="536"/>
      <c r="C694" s="536"/>
      <c r="D694" s="536"/>
      <c r="E694" s="536"/>
      <c r="F694" s="536"/>
      <c r="G694" s="536"/>
      <c r="H694" s="538"/>
      <c r="I694" s="538"/>
      <c r="J694" s="260"/>
      <c r="K694" s="260"/>
      <c r="L694" s="260"/>
      <c r="M694" s="260"/>
      <c r="N694" s="260"/>
      <c r="O694" s="536"/>
      <c r="P694" s="536"/>
    </row>
    <row r="695" spans="1:16" ht="12.75" customHeight="1">
      <c r="A695" s="535"/>
      <c r="B695" s="536"/>
      <c r="C695" s="536"/>
      <c r="D695" s="536"/>
      <c r="E695" s="536"/>
      <c r="F695" s="536"/>
      <c r="G695" s="536"/>
      <c r="H695" s="538"/>
      <c r="I695" s="538"/>
      <c r="J695" s="260"/>
      <c r="K695" s="260"/>
      <c r="L695" s="260"/>
      <c r="M695" s="260"/>
      <c r="N695" s="260"/>
      <c r="O695" s="536"/>
      <c r="P695" s="536"/>
    </row>
    <row r="696" spans="1:16" ht="12.75" customHeight="1">
      <c r="A696" s="535"/>
      <c r="B696" s="536"/>
      <c r="C696" s="536"/>
      <c r="D696" s="536"/>
      <c r="E696" s="536"/>
      <c r="F696" s="536"/>
      <c r="G696" s="536"/>
      <c r="H696" s="538"/>
      <c r="I696" s="538"/>
      <c r="J696" s="260"/>
      <c r="K696" s="260"/>
      <c r="L696" s="260"/>
      <c r="M696" s="260"/>
      <c r="N696" s="260"/>
      <c r="O696" s="536"/>
      <c r="P696" s="536"/>
    </row>
    <row r="697" spans="1:16" ht="12.75" customHeight="1">
      <c r="A697" s="535"/>
      <c r="B697" s="536"/>
      <c r="C697" s="536"/>
      <c r="D697" s="536"/>
      <c r="E697" s="536"/>
      <c r="F697" s="536"/>
      <c r="G697" s="536"/>
      <c r="H697" s="538"/>
      <c r="I697" s="538"/>
      <c r="J697" s="260"/>
      <c r="K697" s="260"/>
      <c r="L697" s="260"/>
      <c r="M697" s="260"/>
      <c r="N697" s="260"/>
      <c r="O697" s="536"/>
      <c r="P697" s="536"/>
    </row>
    <row r="698" spans="1:16" ht="12.75" customHeight="1">
      <c r="A698" s="535"/>
      <c r="B698" s="536"/>
      <c r="C698" s="536"/>
      <c r="D698" s="536"/>
      <c r="E698" s="536"/>
      <c r="F698" s="536"/>
      <c r="G698" s="536"/>
      <c r="H698" s="538"/>
      <c r="I698" s="538"/>
      <c r="J698" s="260"/>
      <c r="K698" s="260"/>
      <c r="L698" s="260"/>
      <c r="M698" s="260"/>
      <c r="N698" s="260"/>
      <c r="O698" s="536"/>
      <c r="P698" s="536"/>
    </row>
    <row r="699" spans="1:16" ht="12.75" customHeight="1">
      <c r="A699" s="535"/>
      <c r="B699" s="536"/>
      <c r="C699" s="536"/>
      <c r="D699" s="536"/>
      <c r="E699" s="536"/>
      <c r="F699" s="536"/>
      <c r="G699" s="536"/>
      <c r="H699" s="538"/>
      <c r="I699" s="538"/>
      <c r="J699" s="260"/>
      <c r="K699" s="260"/>
      <c r="L699" s="260"/>
      <c r="M699" s="260"/>
      <c r="N699" s="260"/>
      <c r="O699" s="536"/>
      <c r="P699" s="536"/>
    </row>
    <row r="700" spans="1:16" ht="12.75" customHeight="1">
      <c r="A700" s="535"/>
      <c r="B700" s="536"/>
      <c r="C700" s="536"/>
      <c r="D700" s="536"/>
      <c r="E700" s="536"/>
      <c r="F700" s="536"/>
      <c r="G700" s="536"/>
      <c r="H700" s="538"/>
      <c r="I700" s="538"/>
      <c r="J700" s="260"/>
      <c r="K700" s="260"/>
      <c r="L700" s="260"/>
      <c r="M700" s="260"/>
      <c r="N700" s="260"/>
      <c r="O700" s="536"/>
      <c r="P700" s="536"/>
    </row>
    <row r="701" spans="1:16" ht="12.75" customHeight="1">
      <c r="A701" s="535"/>
      <c r="B701" s="536"/>
      <c r="C701" s="536"/>
      <c r="D701" s="536"/>
      <c r="E701" s="536"/>
      <c r="F701" s="536"/>
      <c r="G701" s="536"/>
      <c r="H701" s="538"/>
      <c r="I701" s="538"/>
      <c r="J701" s="260"/>
      <c r="K701" s="260"/>
      <c r="L701" s="260"/>
      <c r="M701" s="260"/>
      <c r="N701" s="260"/>
      <c r="O701" s="536"/>
      <c r="P701" s="536"/>
    </row>
    <row r="702" spans="1:16" ht="12.75" customHeight="1">
      <c r="A702" s="535"/>
      <c r="B702" s="536"/>
      <c r="C702" s="536"/>
      <c r="D702" s="536"/>
      <c r="E702" s="536"/>
      <c r="F702" s="536"/>
      <c r="G702" s="536"/>
      <c r="H702" s="538"/>
      <c r="I702" s="538"/>
      <c r="J702" s="260"/>
      <c r="K702" s="260"/>
      <c r="L702" s="260"/>
      <c r="M702" s="260"/>
      <c r="N702" s="260"/>
      <c r="O702" s="536"/>
      <c r="P702" s="536"/>
    </row>
    <row r="703" spans="1:16" ht="12.75" customHeight="1">
      <c r="A703" s="535"/>
      <c r="B703" s="536"/>
      <c r="C703" s="536"/>
      <c r="D703" s="536"/>
      <c r="E703" s="536"/>
      <c r="F703" s="536"/>
      <c r="G703" s="536"/>
      <c r="H703" s="538"/>
      <c r="I703" s="538"/>
      <c r="J703" s="260"/>
      <c r="K703" s="260"/>
      <c r="L703" s="260"/>
      <c r="M703" s="260"/>
      <c r="N703" s="260"/>
      <c r="O703" s="536"/>
      <c r="P703" s="536"/>
    </row>
    <row r="704" spans="1:16" ht="12.75" customHeight="1">
      <c r="A704" s="535"/>
      <c r="B704" s="536"/>
      <c r="C704" s="536"/>
      <c r="D704" s="536"/>
      <c r="E704" s="536"/>
      <c r="F704" s="536"/>
      <c r="G704" s="536"/>
      <c r="H704" s="538"/>
      <c r="I704" s="538"/>
      <c r="J704" s="260"/>
      <c r="K704" s="260"/>
      <c r="L704" s="260"/>
      <c r="M704" s="260"/>
      <c r="N704" s="260"/>
      <c r="O704" s="536"/>
      <c r="P704" s="536"/>
    </row>
    <row r="705" spans="1:16" ht="12.75" customHeight="1">
      <c r="A705" s="535"/>
      <c r="B705" s="536"/>
      <c r="C705" s="536"/>
      <c r="D705" s="536"/>
      <c r="E705" s="536"/>
      <c r="F705" s="536"/>
      <c r="G705" s="536"/>
      <c r="H705" s="538"/>
      <c r="I705" s="538"/>
      <c r="J705" s="260"/>
      <c r="K705" s="260"/>
      <c r="L705" s="260"/>
      <c r="M705" s="260"/>
      <c r="N705" s="260"/>
      <c r="O705" s="536"/>
      <c r="P705" s="536"/>
    </row>
    <row r="706" spans="1:16" ht="12.75" customHeight="1">
      <c r="A706" s="535"/>
      <c r="B706" s="536"/>
      <c r="C706" s="536"/>
      <c r="D706" s="536"/>
      <c r="E706" s="536"/>
      <c r="F706" s="536"/>
      <c r="G706" s="536"/>
      <c r="H706" s="538"/>
      <c r="I706" s="538"/>
      <c r="J706" s="260"/>
      <c r="K706" s="260"/>
      <c r="L706" s="260"/>
      <c r="M706" s="260"/>
      <c r="N706" s="260"/>
      <c r="O706" s="536"/>
      <c r="P706" s="536"/>
    </row>
    <row r="707" spans="1:16" ht="12.75" customHeight="1">
      <c r="A707" s="535"/>
      <c r="B707" s="536"/>
      <c r="C707" s="536"/>
      <c r="D707" s="536"/>
      <c r="E707" s="536"/>
      <c r="F707" s="536"/>
      <c r="G707" s="536"/>
      <c r="H707" s="538"/>
      <c r="I707" s="538"/>
      <c r="J707" s="260"/>
      <c r="K707" s="260"/>
      <c r="L707" s="260"/>
      <c r="M707" s="260"/>
      <c r="N707" s="260"/>
      <c r="O707" s="536"/>
      <c r="P707" s="536"/>
    </row>
    <row r="708" spans="1:16" ht="12.75" customHeight="1">
      <c r="A708" s="535"/>
      <c r="B708" s="536"/>
      <c r="C708" s="536"/>
      <c r="D708" s="536"/>
      <c r="E708" s="536"/>
      <c r="F708" s="536"/>
      <c r="G708" s="536"/>
      <c r="H708" s="538"/>
      <c r="I708" s="538"/>
      <c r="J708" s="260"/>
      <c r="K708" s="260"/>
      <c r="L708" s="260"/>
      <c r="M708" s="260"/>
      <c r="N708" s="260"/>
      <c r="O708" s="536"/>
      <c r="P708" s="536"/>
    </row>
    <row r="709" spans="1:16" ht="12.75" customHeight="1">
      <c r="A709" s="535"/>
      <c r="B709" s="536"/>
      <c r="C709" s="536"/>
      <c r="D709" s="536"/>
      <c r="E709" s="536"/>
      <c r="F709" s="536"/>
      <c r="G709" s="536"/>
      <c r="H709" s="538"/>
      <c r="I709" s="538"/>
      <c r="J709" s="260"/>
      <c r="K709" s="260"/>
      <c r="L709" s="260"/>
      <c r="M709" s="260"/>
      <c r="N709" s="260"/>
      <c r="O709" s="536"/>
      <c r="P709" s="536"/>
    </row>
    <row r="710" spans="1:16" ht="12.75" customHeight="1">
      <c r="A710" s="535"/>
      <c r="B710" s="536"/>
      <c r="C710" s="536"/>
      <c r="D710" s="536"/>
      <c r="E710" s="536"/>
      <c r="F710" s="536"/>
      <c r="G710" s="536"/>
      <c r="H710" s="538"/>
      <c r="I710" s="538"/>
      <c r="J710" s="260"/>
      <c r="K710" s="260"/>
      <c r="L710" s="260"/>
      <c r="M710" s="260"/>
      <c r="N710" s="260"/>
      <c r="O710" s="536"/>
      <c r="P710" s="536"/>
    </row>
    <row r="711" spans="1:16" ht="12.75" customHeight="1">
      <c r="A711" s="535"/>
      <c r="B711" s="536"/>
      <c r="C711" s="536"/>
      <c r="D711" s="536"/>
      <c r="E711" s="536"/>
      <c r="F711" s="536"/>
      <c r="G711" s="536"/>
      <c r="H711" s="538"/>
      <c r="I711" s="538"/>
      <c r="J711" s="260"/>
      <c r="K711" s="260"/>
      <c r="L711" s="260"/>
      <c r="M711" s="260"/>
      <c r="N711" s="260"/>
      <c r="O711" s="536"/>
      <c r="P711" s="536"/>
    </row>
    <row r="712" spans="1:16" ht="12.75" customHeight="1">
      <c r="A712" s="535"/>
      <c r="B712" s="536"/>
      <c r="C712" s="536"/>
      <c r="D712" s="536"/>
      <c r="E712" s="536"/>
      <c r="F712" s="536"/>
      <c r="G712" s="536"/>
      <c r="H712" s="538"/>
      <c r="I712" s="538"/>
      <c r="J712" s="260"/>
      <c r="K712" s="260"/>
      <c r="L712" s="260"/>
      <c r="M712" s="260"/>
      <c r="N712" s="260"/>
      <c r="O712" s="536"/>
      <c r="P712" s="536"/>
    </row>
    <row r="713" spans="1:16" ht="12.75" customHeight="1">
      <c r="A713" s="535"/>
      <c r="B713" s="536"/>
      <c r="C713" s="536"/>
      <c r="D713" s="536"/>
      <c r="E713" s="536"/>
      <c r="F713" s="536"/>
      <c r="G713" s="536"/>
      <c r="H713" s="538"/>
      <c r="I713" s="538"/>
      <c r="J713" s="260"/>
      <c r="K713" s="260"/>
      <c r="L713" s="260"/>
      <c r="M713" s="260"/>
      <c r="N713" s="260"/>
      <c r="O713" s="536"/>
      <c r="P713" s="536"/>
    </row>
    <row r="714" spans="1:16" ht="12.75" customHeight="1">
      <c r="A714" s="535"/>
      <c r="B714" s="536"/>
      <c r="C714" s="536"/>
      <c r="D714" s="536"/>
      <c r="E714" s="536"/>
      <c r="F714" s="536"/>
      <c r="G714" s="536"/>
      <c r="H714" s="538"/>
      <c r="I714" s="538"/>
      <c r="J714" s="260"/>
      <c r="K714" s="260"/>
      <c r="L714" s="260"/>
      <c r="M714" s="260"/>
      <c r="N714" s="260"/>
      <c r="O714" s="536"/>
      <c r="P714" s="536"/>
    </row>
    <row r="715" spans="1:16" ht="12.75" customHeight="1">
      <c r="A715" s="535"/>
      <c r="B715" s="536"/>
      <c r="C715" s="536"/>
      <c r="D715" s="536"/>
      <c r="E715" s="536"/>
      <c r="F715" s="536"/>
      <c r="G715" s="536"/>
      <c r="H715" s="538"/>
      <c r="I715" s="538"/>
      <c r="J715" s="260"/>
      <c r="K715" s="260"/>
      <c r="L715" s="260"/>
      <c r="M715" s="260"/>
      <c r="N715" s="260"/>
      <c r="O715" s="536"/>
      <c r="P715" s="536"/>
    </row>
    <row r="716" spans="1:16" ht="12.75" customHeight="1">
      <c r="A716" s="535"/>
      <c r="B716" s="536"/>
      <c r="C716" s="536"/>
      <c r="D716" s="536"/>
      <c r="E716" s="536"/>
      <c r="F716" s="536"/>
      <c r="G716" s="536"/>
      <c r="H716" s="538"/>
      <c r="I716" s="538"/>
      <c r="J716" s="260"/>
      <c r="K716" s="260"/>
      <c r="L716" s="260"/>
      <c r="M716" s="260"/>
      <c r="N716" s="260"/>
      <c r="O716" s="536"/>
      <c r="P716" s="536"/>
    </row>
    <row r="717" spans="1:16" ht="12.75" customHeight="1">
      <c r="A717" s="535"/>
      <c r="B717" s="536"/>
      <c r="C717" s="536"/>
      <c r="D717" s="536"/>
      <c r="E717" s="536"/>
      <c r="F717" s="536"/>
      <c r="G717" s="536"/>
      <c r="H717" s="538"/>
      <c r="I717" s="538"/>
      <c r="J717" s="260"/>
      <c r="K717" s="260"/>
      <c r="L717" s="260"/>
      <c r="M717" s="260"/>
      <c r="N717" s="260"/>
      <c r="O717" s="536"/>
      <c r="P717" s="536"/>
    </row>
    <row r="718" spans="1:16" ht="12.75" customHeight="1">
      <c r="A718" s="535"/>
      <c r="B718" s="536"/>
      <c r="C718" s="536"/>
      <c r="D718" s="536"/>
      <c r="E718" s="536"/>
      <c r="F718" s="536"/>
      <c r="G718" s="536"/>
      <c r="H718" s="538"/>
      <c r="I718" s="538"/>
      <c r="J718" s="260"/>
      <c r="K718" s="260"/>
      <c r="L718" s="260"/>
      <c r="M718" s="260"/>
      <c r="N718" s="260"/>
      <c r="O718" s="536"/>
      <c r="P718" s="536"/>
    </row>
    <row r="719" spans="1:16" ht="12.75" customHeight="1">
      <c r="A719" s="535"/>
      <c r="B719" s="536"/>
      <c r="C719" s="536"/>
      <c r="D719" s="536"/>
      <c r="E719" s="536"/>
      <c r="F719" s="536"/>
      <c r="G719" s="536"/>
      <c r="H719" s="538"/>
      <c r="I719" s="538"/>
      <c r="J719" s="260"/>
      <c r="K719" s="260"/>
      <c r="L719" s="260"/>
      <c r="M719" s="260"/>
      <c r="N719" s="260"/>
      <c r="O719" s="536"/>
      <c r="P719" s="536"/>
    </row>
    <row r="720" spans="1:16" ht="12.75" customHeight="1">
      <c r="A720" s="535"/>
      <c r="B720" s="536"/>
      <c r="C720" s="536"/>
      <c r="D720" s="536"/>
      <c r="E720" s="536"/>
      <c r="F720" s="536"/>
      <c r="G720" s="536"/>
      <c r="H720" s="538"/>
      <c r="I720" s="538"/>
      <c r="J720" s="260"/>
      <c r="K720" s="260"/>
      <c r="L720" s="260"/>
      <c r="M720" s="260"/>
      <c r="N720" s="260"/>
      <c r="O720" s="536"/>
      <c r="P720" s="536"/>
    </row>
    <row r="721" spans="1:16" ht="12.75" customHeight="1">
      <c r="A721" s="535"/>
      <c r="B721" s="536"/>
      <c r="C721" s="536"/>
      <c r="D721" s="536"/>
      <c r="E721" s="536"/>
      <c r="F721" s="536"/>
      <c r="G721" s="536"/>
      <c r="H721" s="538"/>
      <c r="I721" s="538"/>
      <c r="J721" s="260"/>
      <c r="K721" s="260"/>
      <c r="L721" s="260"/>
      <c r="M721" s="260"/>
      <c r="N721" s="260"/>
      <c r="O721" s="536"/>
      <c r="P721" s="536"/>
    </row>
    <row r="722" spans="1:16" ht="12.75" customHeight="1">
      <c r="A722" s="535"/>
      <c r="B722" s="536"/>
      <c r="C722" s="536"/>
      <c r="D722" s="536"/>
      <c r="E722" s="536"/>
      <c r="F722" s="536"/>
      <c r="G722" s="536"/>
      <c r="H722" s="538"/>
      <c r="I722" s="538"/>
      <c r="J722" s="260"/>
      <c r="K722" s="260"/>
      <c r="L722" s="260"/>
      <c r="M722" s="260"/>
      <c r="N722" s="260"/>
      <c r="O722" s="536"/>
      <c r="P722" s="536"/>
    </row>
    <row r="723" spans="1:16" ht="12.75" customHeight="1">
      <c r="A723" s="535"/>
      <c r="B723" s="536"/>
      <c r="C723" s="536"/>
      <c r="D723" s="536"/>
      <c r="E723" s="536"/>
      <c r="F723" s="536"/>
      <c r="G723" s="536"/>
      <c r="H723" s="538"/>
      <c r="I723" s="538"/>
      <c r="J723" s="260"/>
      <c r="K723" s="260"/>
      <c r="L723" s="260"/>
      <c r="M723" s="260"/>
      <c r="N723" s="260"/>
      <c r="O723" s="536"/>
      <c r="P723" s="536"/>
    </row>
    <row r="724" spans="1:16" ht="12.75" customHeight="1">
      <c r="A724" s="535"/>
      <c r="B724" s="536"/>
      <c r="C724" s="536"/>
      <c r="D724" s="536"/>
      <c r="E724" s="536"/>
      <c r="F724" s="536"/>
      <c r="G724" s="536"/>
      <c r="H724" s="538"/>
      <c r="I724" s="538"/>
      <c r="J724" s="260"/>
      <c r="K724" s="260"/>
      <c r="L724" s="260"/>
      <c r="M724" s="260"/>
      <c r="N724" s="260"/>
      <c r="O724" s="536"/>
      <c r="P724" s="536"/>
    </row>
    <row r="725" spans="1:16" ht="12.75" customHeight="1">
      <c r="A725" s="535"/>
      <c r="B725" s="536"/>
      <c r="C725" s="536"/>
      <c r="D725" s="536"/>
      <c r="E725" s="536"/>
      <c r="F725" s="536"/>
      <c r="G725" s="536"/>
      <c r="H725" s="538"/>
      <c r="I725" s="538"/>
      <c r="J725" s="260"/>
      <c r="K725" s="260"/>
      <c r="L725" s="260"/>
      <c r="M725" s="260"/>
      <c r="N725" s="260"/>
      <c r="O725" s="536"/>
      <c r="P725" s="536"/>
    </row>
    <row r="726" spans="1:16" ht="12.75" customHeight="1">
      <c r="A726" s="535"/>
      <c r="B726" s="536"/>
      <c r="C726" s="536"/>
      <c r="D726" s="536"/>
      <c r="E726" s="536"/>
      <c r="F726" s="536"/>
      <c r="G726" s="536"/>
      <c r="H726" s="538"/>
      <c r="I726" s="538"/>
      <c r="J726" s="260"/>
      <c r="K726" s="260"/>
      <c r="L726" s="260"/>
      <c r="M726" s="260"/>
      <c r="N726" s="260"/>
      <c r="O726" s="536"/>
      <c r="P726" s="536"/>
    </row>
    <row r="727" spans="1:16" ht="12.75" customHeight="1">
      <c r="A727" s="535"/>
      <c r="B727" s="536"/>
      <c r="C727" s="536"/>
      <c r="D727" s="536"/>
      <c r="E727" s="536"/>
      <c r="F727" s="536"/>
      <c r="G727" s="536"/>
      <c r="H727" s="538"/>
      <c r="I727" s="538"/>
      <c r="J727" s="260"/>
      <c r="K727" s="260"/>
      <c r="L727" s="260"/>
      <c r="M727" s="260"/>
      <c r="N727" s="260"/>
      <c r="O727" s="536"/>
      <c r="P727" s="536"/>
    </row>
    <row r="728" spans="1:16" ht="12.75" customHeight="1">
      <c r="A728" s="535"/>
      <c r="B728" s="536"/>
      <c r="C728" s="536"/>
      <c r="D728" s="536"/>
      <c r="E728" s="536"/>
      <c r="F728" s="536"/>
      <c r="G728" s="536"/>
      <c r="H728" s="538"/>
      <c r="I728" s="538"/>
      <c r="J728" s="260"/>
      <c r="K728" s="260"/>
      <c r="L728" s="260"/>
      <c r="M728" s="260"/>
      <c r="N728" s="260"/>
      <c r="O728" s="536"/>
      <c r="P728" s="536"/>
    </row>
    <row r="729" spans="1:16" ht="12.75" customHeight="1">
      <c r="A729" s="535"/>
      <c r="B729" s="536"/>
      <c r="C729" s="536"/>
      <c r="D729" s="536"/>
      <c r="E729" s="536"/>
      <c r="F729" s="536"/>
      <c r="G729" s="536"/>
      <c r="H729" s="538"/>
      <c r="I729" s="538"/>
      <c r="J729" s="260"/>
      <c r="K729" s="260"/>
      <c r="L729" s="260"/>
      <c r="M729" s="260"/>
      <c r="N729" s="260"/>
      <c r="O729" s="536"/>
      <c r="P729" s="536"/>
    </row>
    <row r="730" spans="1:16" ht="12.75" customHeight="1">
      <c r="A730" s="535"/>
      <c r="B730" s="536"/>
      <c r="C730" s="536"/>
      <c r="D730" s="536"/>
      <c r="E730" s="536"/>
      <c r="F730" s="536"/>
      <c r="G730" s="536"/>
      <c r="H730" s="538"/>
      <c r="I730" s="538"/>
      <c r="J730" s="260"/>
      <c r="K730" s="260"/>
      <c r="L730" s="260"/>
      <c r="M730" s="260"/>
      <c r="N730" s="260"/>
      <c r="O730" s="536"/>
      <c r="P730" s="536"/>
    </row>
    <row r="731" spans="1:16" ht="12.75" customHeight="1">
      <c r="A731" s="535"/>
      <c r="B731" s="536"/>
      <c r="C731" s="536"/>
      <c r="D731" s="536"/>
      <c r="E731" s="536"/>
      <c r="F731" s="536"/>
      <c r="G731" s="536"/>
      <c r="H731" s="538"/>
      <c r="I731" s="538"/>
      <c r="J731" s="260"/>
      <c r="K731" s="260"/>
      <c r="L731" s="260"/>
      <c r="M731" s="260"/>
      <c r="N731" s="260"/>
      <c r="O731" s="536"/>
      <c r="P731" s="536"/>
    </row>
    <row r="732" spans="1:16" ht="12.75" customHeight="1">
      <c r="A732" s="535"/>
      <c r="B732" s="536"/>
      <c r="C732" s="536"/>
      <c r="D732" s="536"/>
      <c r="E732" s="536"/>
      <c r="F732" s="536"/>
      <c r="G732" s="536"/>
      <c r="H732" s="538"/>
      <c r="I732" s="538"/>
      <c r="J732" s="260"/>
      <c r="K732" s="260"/>
      <c r="L732" s="260"/>
      <c r="M732" s="260"/>
      <c r="N732" s="260"/>
      <c r="O732" s="536"/>
      <c r="P732" s="536"/>
    </row>
    <row r="733" spans="1:16" ht="12.75" customHeight="1">
      <c r="A733" s="535"/>
      <c r="B733" s="536"/>
      <c r="C733" s="536"/>
      <c r="D733" s="536"/>
      <c r="E733" s="536"/>
      <c r="F733" s="536"/>
      <c r="G733" s="536"/>
      <c r="H733" s="538"/>
      <c r="I733" s="538"/>
      <c r="J733" s="260"/>
      <c r="K733" s="260"/>
      <c r="L733" s="260"/>
      <c r="M733" s="260"/>
      <c r="N733" s="260"/>
      <c r="O733" s="536"/>
      <c r="P733" s="536"/>
    </row>
    <row r="734" spans="1:16" ht="12.75" customHeight="1">
      <c r="A734" s="535"/>
      <c r="B734" s="536"/>
      <c r="C734" s="536"/>
      <c r="D734" s="536"/>
      <c r="E734" s="536"/>
      <c r="F734" s="536"/>
      <c r="G734" s="536"/>
      <c r="H734" s="538"/>
      <c r="I734" s="538"/>
      <c r="J734" s="260"/>
      <c r="K734" s="260"/>
      <c r="L734" s="260"/>
      <c r="M734" s="260"/>
      <c r="N734" s="260"/>
      <c r="O734" s="536"/>
      <c r="P734" s="536"/>
    </row>
    <row r="735" spans="1:16" ht="12.75" customHeight="1">
      <c r="A735" s="535"/>
      <c r="B735" s="536"/>
      <c r="C735" s="536"/>
      <c r="D735" s="536"/>
      <c r="E735" s="536"/>
      <c r="F735" s="536"/>
      <c r="G735" s="536"/>
      <c r="H735" s="538"/>
      <c r="I735" s="538"/>
      <c r="J735" s="260"/>
      <c r="K735" s="260"/>
      <c r="L735" s="260"/>
      <c r="M735" s="260"/>
      <c r="N735" s="260"/>
      <c r="O735" s="536"/>
      <c r="P735" s="536"/>
    </row>
    <row r="736" spans="1:16" ht="12.75" customHeight="1">
      <c r="A736" s="535"/>
      <c r="B736" s="536"/>
      <c r="C736" s="536"/>
      <c r="D736" s="536"/>
      <c r="E736" s="536"/>
      <c r="F736" s="536"/>
      <c r="G736" s="536"/>
      <c r="H736" s="538"/>
      <c r="I736" s="538"/>
      <c r="J736" s="260"/>
      <c r="K736" s="260"/>
      <c r="L736" s="260"/>
      <c r="M736" s="260"/>
      <c r="N736" s="260"/>
      <c r="O736" s="536"/>
      <c r="P736" s="536"/>
    </row>
    <row r="737" spans="1:16" ht="12.75" customHeight="1">
      <c r="A737" s="535"/>
      <c r="B737" s="536"/>
      <c r="C737" s="536"/>
      <c r="D737" s="536"/>
      <c r="E737" s="536"/>
      <c r="F737" s="536"/>
      <c r="G737" s="536"/>
      <c r="H737" s="538"/>
      <c r="I737" s="538"/>
      <c r="J737" s="260"/>
      <c r="K737" s="260"/>
      <c r="L737" s="260"/>
      <c r="M737" s="260"/>
      <c r="N737" s="260"/>
      <c r="O737" s="536"/>
      <c r="P737" s="536"/>
    </row>
    <row r="738" spans="1:16" ht="12.75" customHeight="1">
      <c r="A738" s="535"/>
      <c r="B738" s="536"/>
      <c r="C738" s="536"/>
      <c r="D738" s="536"/>
      <c r="E738" s="536"/>
      <c r="F738" s="536"/>
      <c r="G738" s="536"/>
      <c r="H738" s="538"/>
      <c r="I738" s="538"/>
      <c r="J738" s="260"/>
      <c r="K738" s="260"/>
      <c r="L738" s="260"/>
      <c r="M738" s="260"/>
      <c r="N738" s="260"/>
      <c r="O738" s="536"/>
      <c r="P738" s="536"/>
    </row>
    <row r="739" spans="1:16" ht="12.75" customHeight="1">
      <c r="A739" s="535"/>
      <c r="B739" s="536"/>
      <c r="C739" s="536"/>
      <c r="D739" s="536"/>
      <c r="E739" s="536"/>
      <c r="F739" s="536"/>
      <c r="G739" s="536"/>
      <c r="H739" s="538"/>
      <c r="I739" s="538"/>
      <c r="J739" s="260"/>
      <c r="K739" s="260"/>
      <c r="L739" s="260"/>
      <c r="M739" s="260"/>
      <c r="N739" s="260"/>
      <c r="O739" s="536"/>
      <c r="P739" s="536"/>
    </row>
    <row r="740" spans="1:16" ht="12.75" customHeight="1">
      <c r="A740" s="535"/>
      <c r="B740" s="536"/>
      <c r="C740" s="536"/>
      <c r="D740" s="536"/>
      <c r="E740" s="536"/>
      <c r="F740" s="536"/>
      <c r="G740" s="536"/>
      <c r="H740" s="538"/>
      <c r="I740" s="538"/>
      <c r="J740" s="260"/>
      <c r="K740" s="260"/>
      <c r="L740" s="260"/>
      <c r="M740" s="260"/>
      <c r="N740" s="260"/>
      <c r="O740" s="536"/>
      <c r="P740" s="536"/>
    </row>
    <row r="741" spans="1:16" ht="12.75" customHeight="1">
      <c r="A741" s="535"/>
      <c r="B741" s="536"/>
      <c r="C741" s="536"/>
      <c r="D741" s="536"/>
      <c r="E741" s="536"/>
      <c r="F741" s="536"/>
      <c r="G741" s="536"/>
      <c r="H741" s="538"/>
      <c r="I741" s="538"/>
      <c r="J741" s="260"/>
      <c r="K741" s="260"/>
      <c r="L741" s="260"/>
      <c r="M741" s="260"/>
      <c r="N741" s="260"/>
      <c r="O741" s="536"/>
      <c r="P741" s="536"/>
    </row>
    <row r="742" spans="1:16" ht="12.75" customHeight="1">
      <c r="A742" s="535"/>
      <c r="B742" s="536"/>
      <c r="C742" s="536"/>
      <c r="D742" s="536"/>
      <c r="E742" s="536"/>
      <c r="F742" s="536"/>
      <c r="G742" s="536"/>
      <c r="H742" s="538"/>
      <c r="I742" s="538"/>
      <c r="J742" s="260"/>
      <c r="K742" s="260"/>
      <c r="L742" s="260"/>
      <c r="M742" s="260"/>
      <c r="N742" s="260"/>
      <c r="O742" s="536"/>
      <c r="P742" s="536"/>
    </row>
    <row r="743" spans="1:16" ht="12.75" customHeight="1">
      <c r="A743" s="535"/>
      <c r="B743" s="536"/>
      <c r="C743" s="536"/>
      <c r="D743" s="536"/>
      <c r="E743" s="536"/>
      <c r="F743" s="536"/>
      <c r="G743" s="536"/>
      <c r="H743" s="538"/>
      <c r="I743" s="538"/>
      <c r="J743" s="260"/>
      <c r="K743" s="260"/>
      <c r="L743" s="260"/>
      <c r="M743" s="260"/>
      <c r="N743" s="260"/>
      <c r="O743" s="536"/>
      <c r="P743" s="536"/>
    </row>
    <row r="744" spans="1:16" ht="12.75" customHeight="1">
      <c r="A744" s="535"/>
      <c r="B744" s="536"/>
      <c r="C744" s="536"/>
      <c r="D744" s="536"/>
      <c r="E744" s="536"/>
      <c r="F744" s="536"/>
      <c r="G744" s="536"/>
      <c r="H744" s="538"/>
      <c r="I744" s="538"/>
      <c r="J744" s="260"/>
      <c r="K744" s="260"/>
      <c r="L744" s="260"/>
      <c r="M744" s="260"/>
      <c r="N744" s="260"/>
      <c r="O744" s="536"/>
      <c r="P744" s="536"/>
    </row>
    <row r="745" spans="1:16" ht="12.75" customHeight="1">
      <c r="A745" s="535"/>
      <c r="B745" s="536"/>
      <c r="C745" s="536"/>
      <c r="D745" s="536"/>
      <c r="E745" s="536"/>
      <c r="F745" s="536"/>
      <c r="G745" s="536"/>
      <c r="H745" s="538"/>
      <c r="I745" s="538"/>
      <c r="J745" s="260"/>
      <c r="K745" s="260"/>
      <c r="L745" s="260"/>
      <c r="M745" s="260"/>
      <c r="N745" s="260"/>
      <c r="O745" s="536"/>
      <c r="P745" s="536"/>
    </row>
    <row r="746" spans="1:16" ht="12.75" customHeight="1">
      <c r="A746" s="535"/>
      <c r="B746" s="536"/>
      <c r="C746" s="536"/>
      <c r="D746" s="536"/>
      <c r="E746" s="536"/>
      <c r="F746" s="536"/>
      <c r="G746" s="536"/>
      <c r="H746" s="538"/>
      <c r="I746" s="538"/>
      <c r="J746" s="260"/>
      <c r="K746" s="260"/>
      <c r="L746" s="260"/>
      <c r="M746" s="260"/>
      <c r="N746" s="260"/>
      <c r="O746" s="536"/>
      <c r="P746" s="536"/>
    </row>
    <row r="747" spans="1:16" ht="12.75" customHeight="1">
      <c r="A747" s="535"/>
      <c r="B747" s="536"/>
      <c r="C747" s="536"/>
      <c r="D747" s="536"/>
      <c r="E747" s="536"/>
      <c r="F747" s="536"/>
      <c r="G747" s="536"/>
      <c r="H747" s="538"/>
      <c r="I747" s="538"/>
      <c r="J747" s="260"/>
      <c r="K747" s="260"/>
      <c r="L747" s="260"/>
      <c r="M747" s="260"/>
      <c r="N747" s="260"/>
      <c r="O747" s="536"/>
      <c r="P747" s="536"/>
    </row>
    <row r="748" spans="1:16" ht="12.75" customHeight="1">
      <c r="A748" s="535"/>
      <c r="B748" s="536"/>
      <c r="C748" s="536"/>
      <c r="D748" s="536"/>
      <c r="E748" s="536"/>
      <c r="F748" s="536"/>
      <c r="G748" s="536"/>
      <c r="H748" s="538"/>
      <c r="I748" s="538"/>
      <c r="J748" s="260"/>
      <c r="K748" s="260"/>
      <c r="L748" s="260"/>
      <c r="M748" s="260"/>
      <c r="N748" s="260"/>
      <c r="O748" s="536"/>
      <c r="P748" s="536"/>
    </row>
    <row r="749" spans="1:16" ht="12.75" customHeight="1">
      <c r="A749" s="535"/>
      <c r="B749" s="536"/>
      <c r="C749" s="536"/>
      <c r="D749" s="536"/>
      <c r="E749" s="536"/>
      <c r="F749" s="536"/>
      <c r="G749" s="536"/>
      <c r="H749" s="538"/>
      <c r="I749" s="538"/>
      <c r="J749" s="260"/>
      <c r="K749" s="260"/>
      <c r="L749" s="260"/>
      <c r="M749" s="260"/>
      <c r="N749" s="260"/>
      <c r="O749" s="536"/>
      <c r="P749" s="536"/>
    </row>
    <row r="750" spans="1:16" ht="12.75" customHeight="1">
      <c r="A750" s="535"/>
      <c r="B750" s="536"/>
      <c r="C750" s="536"/>
      <c r="D750" s="536"/>
      <c r="E750" s="536"/>
      <c r="F750" s="536"/>
      <c r="G750" s="536"/>
      <c r="H750" s="538"/>
      <c r="I750" s="538"/>
      <c r="J750" s="260"/>
      <c r="K750" s="260"/>
      <c r="L750" s="260"/>
      <c r="M750" s="260"/>
      <c r="N750" s="260"/>
      <c r="O750" s="536"/>
      <c r="P750" s="536"/>
    </row>
    <row r="751" spans="1:16" ht="12.75" customHeight="1">
      <c r="A751" s="535"/>
      <c r="B751" s="536"/>
      <c r="C751" s="536"/>
      <c r="D751" s="536"/>
      <c r="E751" s="536"/>
      <c r="F751" s="536"/>
      <c r="G751" s="536"/>
      <c r="H751" s="538"/>
      <c r="I751" s="538"/>
      <c r="J751" s="260"/>
      <c r="K751" s="260"/>
      <c r="L751" s="260"/>
      <c r="M751" s="260"/>
      <c r="N751" s="260"/>
      <c r="O751" s="536"/>
      <c r="P751" s="536"/>
    </row>
    <row r="752" spans="1:16" ht="12.75" customHeight="1">
      <c r="A752" s="535"/>
      <c r="B752" s="536"/>
      <c r="C752" s="536"/>
      <c r="D752" s="536"/>
      <c r="E752" s="536"/>
      <c r="F752" s="536"/>
      <c r="G752" s="536"/>
      <c r="H752" s="538"/>
      <c r="I752" s="538"/>
      <c r="J752" s="260"/>
      <c r="K752" s="260"/>
      <c r="L752" s="260"/>
      <c r="M752" s="260"/>
      <c r="N752" s="260"/>
      <c r="O752" s="536"/>
      <c r="P752" s="536"/>
    </row>
    <row r="753" spans="1:16" ht="12.75" customHeight="1">
      <c r="A753" s="535"/>
      <c r="B753" s="536"/>
      <c r="C753" s="536"/>
      <c r="D753" s="536"/>
      <c r="E753" s="536"/>
      <c r="F753" s="536"/>
      <c r="G753" s="536"/>
      <c r="H753" s="538"/>
      <c r="I753" s="538"/>
      <c r="J753" s="260"/>
      <c r="K753" s="260"/>
      <c r="L753" s="260"/>
      <c r="M753" s="260"/>
      <c r="N753" s="260"/>
      <c r="O753" s="536"/>
      <c r="P753" s="536"/>
    </row>
    <row r="754" spans="1:16" ht="12.75" customHeight="1">
      <c r="A754" s="535"/>
      <c r="B754" s="536"/>
      <c r="C754" s="536"/>
      <c r="D754" s="536"/>
      <c r="E754" s="536"/>
      <c r="F754" s="536"/>
      <c r="G754" s="536"/>
      <c r="H754" s="538"/>
      <c r="I754" s="538"/>
      <c r="J754" s="260"/>
      <c r="K754" s="260"/>
      <c r="L754" s="260"/>
      <c r="M754" s="260"/>
      <c r="N754" s="260"/>
      <c r="O754" s="536"/>
      <c r="P754" s="536"/>
    </row>
    <row r="755" spans="1:16" ht="12.75" customHeight="1">
      <c r="A755" s="535"/>
      <c r="B755" s="536"/>
      <c r="C755" s="536"/>
      <c r="D755" s="536"/>
      <c r="E755" s="536"/>
      <c r="F755" s="536"/>
      <c r="G755" s="536"/>
      <c r="H755" s="538"/>
      <c r="I755" s="538"/>
      <c r="J755" s="260"/>
      <c r="K755" s="260"/>
      <c r="L755" s="260"/>
      <c r="M755" s="260"/>
      <c r="N755" s="260"/>
      <c r="O755" s="536"/>
      <c r="P755" s="536"/>
    </row>
    <row r="756" spans="1:16" ht="12.75" customHeight="1">
      <c r="A756" s="535"/>
      <c r="B756" s="536"/>
      <c r="C756" s="536"/>
      <c r="D756" s="536"/>
      <c r="E756" s="536"/>
      <c r="F756" s="536"/>
      <c r="G756" s="536"/>
      <c r="H756" s="538"/>
      <c r="I756" s="538"/>
      <c r="J756" s="260"/>
      <c r="K756" s="260"/>
      <c r="L756" s="260"/>
      <c r="M756" s="260"/>
      <c r="N756" s="260"/>
      <c r="O756" s="536"/>
      <c r="P756" s="536"/>
    </row>
    <row r="757" spans="1:16" ht="12.75" customHeight="1">
      <c r="A757" s="535"/>
      <c r="B757" s="536"/>
      <c r="C757" s="536"/>
      <c r="D757" s="536"/>
      <c r="E757" s="536"/>
      <c r="F757" s="536"/>
      <c r="G757" s="536"/>
      <c r="H757" s="538"/>
      <c r="I757" s="538"/>
      <c r="J757" s="260"/>
      <c r="K757" s="260"/>
      <c r="L757" s="260"/>
      <c r="M757" s="260"/>
      <c r="N757" s="260"/>
      <c r="O757" s="536"/>
      <c r="P757" s="536"/>
    </row>
    <row r="758" spans="1:16" ht="12.75" customHeight="1">
      <c r="A758" s="535"/>
      <c r="B758" s="536"/>
      <c r="C758" s="536"/>
      <c r="D758" s="536"/>
      <c r="E758" s="536"/>
      <c r="F758" s="536"/>
      <c r="G758" s="536"/>
      <c r="H758" s="538"/>
      <c r="I758" s="538"/>
      <c r="J758" s="260"/>
      <c r="K758" s="260"/>
      <c r="L758" s="260"/>
      <c r="M758" s="260"/>
      <c r="N758" s="260"/>
      <c r="O758" s="536"/>
      <c r="P758" s="536"/>
    </row>
    <row r="759" spans="1:16" ht="12.75" customHeight="1">
      <c r="A759" s="535"/>
      <c r="B759" s="536"/>
      <c r="C759" s="536"/>
      <c r="D759" s="536"/>
      <c r="E759" s="536"/>
      <c r="F759" s="536"/>
      <c r="G759" s="536"/>
      <c r="H759" s="538"/>
      <c r="I759" s="538"/>
      <c r="J759" s="260"/>
      <c r="K759" s="260"/>
      <c r="L759" s="260"/>
      <c r="M759" s="260"/>
      <c r="N759" s="260"/>
      <c r="O759" s="536"/>
      <c r="P759" s="536"/>
    </row>
    <row r="760" spans="1:16" ht="12.75" customHeight="1">
      <c r="A760" s="535"/>
      <c r="B760" s="536"/>
      <c r="C760" s="536"/>
      <c r="D760" s="536"/>
      <c r="E760" s="536"/>
      <c r="F760" s="536"/>
      <c r="G760" s="536"/>
      <c r="H760" s="538"/>
      <c r="I760" s="538"/>
      <c r="J760" s="260"/>
      <c r="K760" s="260"/>
      <c r="L760" s="260"/>
      <c r="M760" s="260"/>
      <c r="N760" s="260"/>
      <c r="O760" s="536"/>
      <c r="P760" s="536"/>
    </row>
    <row r="761" spans="1:16" ht="12.75" customHeight="1">
      <c r="A761" s="535"/>
      <c r="B761" s="536"/>
      <c r="C761" s="536"/>
      <c r="D761" s="536"/>
      <c r="E761" s="536"/>
      <c r="F761" s="536"/>
      <c r="G761" s="536"/>
      <c r="H761" s="538"/>
      <c r="I761" s="538"/>
      <c r="J761" s="260"/>
      <c r="K761" s="260"/>
      <c r="L761" s="260"/>
      <c r="M761" s="260"/>
      <c r="N761" s="260"/>
      <c r="O761" s="536"/>
      <c r="P761" s="536"/>
    </row>
    <row r="762" spans="1:16" ht="12.75" customHeight="1">
      <c r="A762" s="535"/>
      <c r="B762" s="536"/>
      <c r="C762" s="536"/>
      <c r="D762" s="536"/>
      <c r="E762" s="536"/>
      <c r="F762" s="536"/>
      <c r="G762" s="536"/>
      <c r="H762" s="538"/>
      <c r="I762" s="538"/>
      <c r="J762" s="260"/>
      <c r="K762" s="260"/>
      <c r="L762" s="260"/>
      <c r="M762" s="260"/>
      <c r="N762" s="260"/>
      <c r="O762" s="536"/>
      <c r="P762" s="536"/>
    </row>
    <row r="763" spans="1:16" ht="12.75" customHeight="1">
      <c r="A763" s="535"/>
      <c r="B763" s="536"/>
      <c r="C763" s="536"/>
      <c r="D763" s="536"/>
      <c r="E763" s="536"/>
      <c r="F763" s="536"/>
      <c r="G763" s="536"/>
      <c r="H763" s="538"/>
      <c r="I763" s="538"/>
      <c r="J763" s="260"/>
      <c r="K763" s="260"/>
      <c r="L763" s="260"/>
      <c r="M763" s="260"/>
      <c r="N763" s="260"/>
      <c r="O763" s="536"/>
      <c r="P763" s="536"/>
    </row>
    <row r="764" spans="1:16" ht="12.75" customHeight="1">
      <c r="A764" s="535"/>
      <c r="B764" s="536"/>
      <c r="C764" s="536"/>
      <c r="D764" s="536"/>
      <c r="E764" s="536"/>
      <c r="F764" s="536"/>
      <c r="G764" s="536"/>
      <c r="H764" s="538"/>
      <c r="I764" s="538"/>
      <c r="J764" s="260"/>
      <c r="K764" s="260"/>
      <c r="L764" s="260"/>
      <c r="M764" s="260"/>
      <c r="N764" s="260"/>
      <c r="O764" s="536"/>
      <c r="P764" s="536"/>
    </row>
    <row r="765" spans="1:16" ht="12.75" customHeight="1">
      <c r="A765" s="535"/>
      <c r="B765" s="536"/>
      <c r="C765" s="536"/>
      <c r="D765" s="536"/>
      <c r="E765" s="536"/>
      <c r="F765" s="536"/>
      <c r="G765" s="536"/>
      <c r="H765" s="538"/>
      <c r="I765" s="538"/>
      <c r="J765" s="260"/>
      <c r="K765" s="260"/>
      <c r="L765" s="260"/>
      <c r="M765" s="260"/>
      <c r="N765" s="260"/>
      <c r="O765" s="536"/>
      <c r="P765" s="536"/>
    </row>
    <row r="766" spans="1:16" ht="12.75" customHeight="1">
      <c r="A766" s="535"/>
      <c r="B766" s="536"/>
      <c r="C766" s="536"/>
      <c r="D766" s="536"/>
      <c r="E766" s="536"/>
      <c r="F766" s="536"/>
      <c r="G766" s="536"/>
      <c r="H766" s="538"/>
      <c r="I766" s="538"/>
      <c r="J766" s="260"/>
      <c r="K766" s="260"/>
      <c r="L766" s="260"/>
      <c r="M766" s="260"/>
      <c r="N766" s="260"/>
      <c r="O766" s="536"/>
      <c r="P766" s="536"/>
    </row>
    <row r="767" spans="1:16" ht="12.75" customHeight="1">
      <c r="A767" s="535"/>
      <c r="B767" s="536"/>
      <c r="C767" s="536"/>
      <c r="D767" s="536"/>
      <c r="E767" s="536"/>
      <c r="F767" s="536"/>
      <c r="G767" s="536"/>
      <c r="H767" s="538"/>
      <c r="I767" s="538"/>
      <c r="J767" s="260"/>
      <c r="K767" s="260"/>
      <c r="L767" s="260"/>
      <c r="M767" s="260"/>
      <c r="N767" s="260"/>
      <c r="O767" s="536"/>
      <c r="P767" s="536"/>
    </row>
    <row r="768" spans="1:16" ht="12.75" customHeight="1">
      <c r="A768" s="535"/>
      <c r="B768" s="536"/>
      <c r="C768" s="536"/>
      <c r="D768" s="536"/>
      <c r="E768" s="536"/>
      <c r="F768" s="536"/>
      <c r="G768" s="536"/>
      <c r="H768" s="538"/>
      <c r="I768" s="538"/>
      <c r="J768" s="260"/>
      <c r="K768" s="260"/>
      <c r="L768" s="260"/>
      <c r="M768" s="260"/>
      <c r="N768" s="260"/>
      <c r="O768" s="536"/>
      <c r="P768" s="536"/>
    </row>
    <row r="769" spans="1:16" ht="12.75" customHeight="1">
      <c r="A769" s="535"/>
      <c r="B769" s="536"/>
      <c r="C769" s="536"/>
      <c r="D769" s="536"/>
      <c r="E769" s="536"/>
      <c r="F769" s="536"/>
      <c r="G769" s="536"/>
      <c r="H769" s="538"/>
      <c r="I769" s="538"/>
      <c r="J769" s="260"/>
      <c r="K769" s="260"/>
      <c r="L769" s="260"/>
      <c r="M769" s="260"/>
      <c r="N769" s="260"/>
      <c r="O769" s="536"/>
      <c r="P769" s="536"/>
    </row>
    <row r="770" spans="1:16" ht="12.75" customHeight="1">
      <c r="A770" s="535"/>
      <c r="B770" s="536"/>
      <c r="C770" s="536"/>
      <c r="D770" s="536"/>
      <c r="E770" s="536"/>
      <c r="F770" s="536"/>
      <c r="G770" s="536"/>
      <c r="H770" s="538"/>
      <c r="I770" s="538"/>
      <c r="J770" s="260"/>
      <c r="K770" s="260"/>
      <c r="L770" s="260"/>
      <c r="M770" s="260"/>
      <c r="N770" s="260"/>
      <c r="O770" s="536"/>
      <c r="P770" s="536"/>
    </row>
    <row r="771" spans="1:16" ht="12.75" customHeight="1">
      <c r="A771" s="535"/>
      <c r="B771" s="536"/>
      <c r="C771" s="536"/>
      <c r="D771" s="536"/>
      <c r="E771" s="536"/>
      <c r="F771" s="536"/>
      <c r="G771" s="536"/>
      <c r="H771" s="538"/>
      <c r="I771" s="538"/>
      <c r="J771" s="260"/>
      <c r="K771" s="260"/>
      <c r="L771" s="260"/>
      <c r="M771" s="260"/>
      <c r="N771" s="260"/>
      <c r="O771" s="536"/>
      <c r="P771" s="536"/>
    </row>
    <row r="772" spans="1:16" ht="12.75" customHeight="1">
      <c r="A772" s="535"/>
      <c r="B772" s="536"/>
      <c r="C772" s="536"/>
      <c r="D772" s="536"/>
      <c r="E772" s="536"/>
      <c r="F772" s="536"/>
      <c r="G772" s="536"/>
      <c r="H772" s="538"/>
      <c r="I772" s="538"/>
      <c r="J772" s="260"/>
      <c r="K772" s="260"/>
      <c r="L772" s="260"/>
      <c r="M772" s="260"/>
      <c r="N772" s="260"/>
      <c r="O772" s="536"/>
      <c r="P772" s="536"/>
    </row>
    <row r="773" spans="1:16" ht="12.75" customHeight="1">
      <c r="A773" s="535"/>
      <c r="B773" s="536"/>
      <c r="C773" s="536"/>
      <c r="D773" s="536"/>
      <c r="E773" s="536"/>
      <c r="F773" s="536"/>
      <c r="G773" s="536"/>
      <c r="H773" s="538"/>
      <c r="I773" s="538"/>
      <c r="J773" s="260"/>
      <c r="K773" s="260"/>
      <c r="L773" s="260"/>
      <c r="M773" s="260"/>
      <c r="N773" s="260"/>
      <c r="O773" s="536"/>
      <c r="P773" s="536"/>
    </row>
    <row r="774" spans="1:16" ht="12.75" customHeight="1">
      <c r="A774" s="535"/>
      <c r="B774" s="536"/>
      <c r="C774" s="536"/>
      <c r="D774" s="536"/>
      <c r="E774" s="536"/>
      <c r="F774" s="536"/>
      <c r="G774" s="536"/>
      <c r="H774" s="538"/>
      <c r="I774" s="538"/>
      <c r="J774" s="260"/>
      <c r="K774" s="260"/>
      <c r="L774" s="260"/>
      <c r="M774" s="260"/>
      <c r="N774" s="260"/>
      <c r="O774" s="536"/>
      <c r="P774" s="536"/>
    </row>
    <row r="775" spans="1:16" ht="12.75" customHeight="1">
      <c r="A775" s="535"/>
      <c r="B775" s="536"/>
      <c r="C775" s="536"/>
      <c r="D775" s="536"/>
      <c r="E775" s="536"/>
      <c r="F775" s="536"/>
      <c r="G775" s="536"/>
      <c r="H775" s="538"/>
      <c r="I775" s="538"/>
      <c r="J775" s="260"/>
      <c r="K775" s="260"/>
      <c r="L775" s="260"/>
      <c r="M775" s="260"/>
      <c r="N775" s="260"/>
      <c r="O775" s="536"/>
      <c r="P775" s="536"/>
    </row>
    <row r="776" spans="1:16" ht="12.75" customHeight="1">
      <c r="A776" s="535"/>
      <c r="B776" s="536"/>
      <c r="C776" s="536"/>
      <c r="D776" s="536"/>
      <c r="E776" s="536"/>
      <c r="F776" s="536"/>
      <c r="G776" s="536"/>
      <c r="H776" s="538"/>
      <c r="I776" s="538"/>
      <c r="J776" s="260"/>
      <c r="K776" s="260"/>
      <c r="L776" s="260"/>
      <c r="M776" s="260"/>
      <c r="N776" s="260"/>
      <c r="O776" s="536"/>
      <c r="P776" s="536"/>
    </row>
    <row r="777" spans="1:16" ht="12.75" customHeight="1">
      <c r="A777" s="535"/>
      <c r="B777" s="536"/>
      <c r="C777" s="536"/>
      <c r="D777" s="536"/>
      <c r="E777" s="536"/>
      <c r="F777" s="536"/>
      <c r="G777" s="536"/>
      <c r="H777" s="538"/>
      <c r="I777" s="538"/>
      <c r="J777" s="260"/>
      <c r="K777" s="260"/>
      <c r="L777" s="260"/>
      <c r="M777" s="260"/>
      <c r="N777" s="260"/>
      <c r="O777" s="536"/>
      <c r="P777" s="536"/>
    </row>
    <row r="778" spans="1:16" ht="12.75" customHeight="1">
      <c r="A778" s="535"/>
      <c r="B778" s="536"/>
      <c r="C778" s="536"/>
      <c r="D778" s="536"/>
      <c r="E778" s="536"/>
      <c r="F778" s="536"/>
      <c r="G778" s="536"/>
      <c r="H778" s="538"/>
      <c r="I778" s="538"/>
      <c r="J778" s="260"/>
      <c r="K778" s="260"/>
      <c r="L778" s="260"/>
      <c r="M778" s="260"/>
      <c r="N778" s="260"/>
      <c r="O778" s="536"/>
      <c r="P778" s="536"/>
    </row>
    <row r="779" spans="1:16" ht="12.75" customHeight="1">
      <c r="A779" s="535"/>
      <c r="B779" s="536"/>
      <c r="C779" s="536"/>
      <c r="D779" s="536"/>
      <c r="E779" s="536"/>
      <c r="F779" s="536"/>
      <c r="G779" s="536"/>
      <c r="H779" s="538"/>
      <c r="I779" s="538"/>
      <c r="J779" s="260"/>
      <c r="K779" s="260"/>
      <c r="L779" s="260"/>
      <c r="M779" s="260"/>
      <c r="N779" s="260"/>
      <c r="O779" s="536"/>
      <c r="P779" s="536"/>
    </row>
    <row r="780" spans="1:16" ht="12.75" customHeight="1">
      <c r="A780" s="535"/>
      <c r="B780" s="536"/>
      <c r="C780" s="536"/>
      <c r="D780" s="536"/>
      <c r="E780" s="536"/>
      <c r="F780" s="536"/>
      <c r="G780" s="536"/>
      <c r="H780" s="538"/>
      <c r="I780" s="538"/>
      <c r="J780" s="260"/>
      <c r="K780" s="260"/>
      <c r="L780" s="260"/>
      <c r="M780" s="260"/>
      <c r="N780" s="260"/>
      <c r="O780" s="536"/>
      <c r="P780" s="536"/>
    </row>
    <row r="781" spans="1:16" ht="12.75" customHeight="1">
      <c r="A781" s="535"/>
      <c r="B781" s="536"/>
      <c r="C781" s="536"/>
      <c r="D781" s="536"/>
      <c r="E781" s="536"/>
      <c r="F781" s="536"/>
      <c r="G781" s="536"/>
      <c r="H781" s="538"/>
      <c r="I781" s="538"/>
      <c r="J781" s="260"/>
      <c r="K781" s="260"/>
      <c r="L781" s="260"/>
      <c r="M781" s="260"/>
      <c r="N781" s="260"/>
      <c r="O781" s="536"/>
      <c r="P781" s="536"/>
    </row>
    <row r="782" spans="1:16" ht="12.75" customHeight="1">
      <c r="A782" s="535"/>
      <c r="B782" s="536"/>
      <c r="C782" s="536"/>
      <c r="D782" s="536"/>
      <c r="E782" s="536"/>
      <c r="F782" s="536"/>
      <c r="G782" s="536"/>
      <c r="H782" s="538"/>
      <c r="I782" s="538"/>
      <c r="J782" s="260"/>
      <c r="K782" s="260"/>
      <c r="L782" s="260"/>
      <c r="M782" s="260"/>
      <c r="N782" s="260"/>
      <c r="O782" s="536"/>
      <c r="P782" s="536"/>
    </row>
    <row r="783" spans="1:16" ht="12.75" customHeight="1">
      <c r="A783" s="535"/>
      <c r="B783" s="536"/>
      <c r="C783" s="536"/>
      <c r="D783" s="536"/>
      <c r="E783" s="536"/>
      <c r="F783" s="536"/>
      <c r="G783" s="536"/>
      <c r="H783" s="538"/>
      <c r="I783" s="538"/>
      <c r="J783" s="260"/>
      <c r="K783" s="260"/>
      <c r="L783" s="260"/>
      <c r="M783" s="260"/>
      <c r="N783" s="260"/>
      <c r="O783" s="536"/>
      <c r="P783" s="536"/>
    </row>
    <row r="784" spans="1:16" ht="12.75" customHeight="1">
      <c r="A784" s="535"/>
      <c r="B784" s="536"/>
      <c r="C784" s="536"/>
      <c r="D784" s="536"/>
      <c r="E784" s="536"/>
      <c r="F784" s="536"/>
      <c r="G784" s="536"/>
      <c r="H784" s="538"/>
      <c r="I784" s="538"/>
      <c r="J784" s="260"/>
      <c r="K784" s="260"/>
      <c r="L784" s="260"/>
      <c r="M784" s="260"/>
      <c r="N784" s="260"/>
      <c r="O784" s="536"/>
      <c r="P784" s="536"/>
    </row>
    <row r="785" spans="1:16" ht="12.75" customHeight="1">
      <c r="A785" s="535"/>
      <c r="B785" s="536"/>
      <c r="C785" s="536"/>
      <c r="D785" s="536"/>
      <c r="E785" s="536"/>
      <c r="F785" s="536"/>
      <c r="G785" s="536"/>
      <c r="H785" s="538"/>
      <c r="I785" s="538"/>
      <c r="J785" s="260"/>
      <c r="K785" s="260"/>
      <c r="L785" s="260"/>
      <c r="M785" s="260"/>
      <c r="N785" s="260"/>
      <c r="O785" s="536"/>
      <c r="P785" s="536"/>
    </row>
    <row r="786" spans="1:16" ht="12.75" customHeight="1">
      <c r="A786" s="535"/>
      <c r="B786" s="536"/>
      <c r="C786" s="536"/>
      <c r="D786" s="536"/>
      <c r="E786" s="536"/>
      <c r="F786" s="536"/>
      <c r="G786" s="536"/>
      <c r="H786" s="538"/>
      <c r="I786" s="538"/>
      <c r="J786" s="260"/>
      <c r="K786" s="260"/>
      <c r="L786" s="260"/>
      <c r="M786" s="260"/>
      <c r="N786" s="260"/>
      <c r="O786" s="536"/>
      <c r="P786" s="536"/>
    </row>
    <row r="787" spans="1:16" ht="12.75" customHeight="1">
      <c r="A787" s="535"/>
      <c r="B787" s="536"/>
      <c r="C787" s="536"/>
      <c r="D787" s="536"/>
      <c r="E787" s="536"/>
      <c r="F787" s="536"/>
      <c r="G787" s="536"/>
      <c r="H787" s="538"/>
      <c r="I787" s="538"/>
      <c r="J787" s="260"/>
      <c r="K787" s="260"/>
      <c r="L787" s="260"/>
      <c r="M787" s="260"/>
      <c r="N787" s="260"/>
      <c r="O787" s="536"/>
      <c r="P787" s="536"/>
    </row>
    <row r="788" spans="1:16" ht="12.75" customHeight="1">
      <c r="A788" s="535"/>
      <c r="B788" s="536"/>
      <c r="C788" s="536"/>
      <c r="D788" s="536"/>
      <c r="E788" s="536"/>
      <c r="F788" s="536"/>
      <c r="G788" s="536"/>
      <c r="H788" s="538"/>
      <c r="I788" s="538"/>
      <c r="J788" s="260"/>
      <c r="K788" s="260"/>
      <c r="L788" s="260"/>
      <c r="M788" s="260"/>
      <c r="N788" s="260"/>
      <c r="O788" s="536"/>
      <c r="P788" s="536"/>
    </row>
    <row r="789" spans="1:16" ht="12.75" customHeight="1">
      <c r="A789" s="535"/>
      <c r="B789" s="536"/>
      <c r="C789" s="536"/>
      <c r="D789" s="536"/>
      <c r="E789" s="536"/>
      <c r="F789" s="536"/>
      <c r="G789" s="536"/>
      <c r="H789" s="538"/>
      <c r="I789" s="538"/>
      <c r="J789" s="260"/>
      <c r="K789" s="260"/>
      <c r="L789" s="260"/>
      <c r="M789" s="260"/>
      <c r="N789" s="260"/>
      <c r="O789" s="536"/>
      <c r="P789" s="536"/>
    </row>
    <row r="790" spans="1:16" ht="12.75" customHeight="1">
      <c r="A790" s="535"/>
      <c r="B790" s="536"/>
      <c r="C790" s="536"/>
      <c r="D790" s="536"/>
      <c r="E790" s="536"/>
      <c r="F790" s="536"/>
      <c r="G790" s="536"/>
      <c r="H790" s="538"/>
      <c r="I790" s="538"/>
      <c r="J790" s="260"/>
      <c r="K790" s="260"/>
      <c r="L790" s="260"/>
      <c r="M790" s="260"/>
      <c r="N790" s="260"/>
      <c r="O790" s="536"/>
      <c r="P790" s="536"/>
    </row>
    <row r="791" spans="1:16" ht="12.75" customHeight="1">
      <c r="A791" s="535"/>
      <c r="B791" s="536"/>
      <c r="C791" s="536"/>
      <c r="D791" s="536"/>
      <c r="E791" s="536"/>
      <c r="F791" s="536"/>
      <c r="G791" s="536"/>
      <c r="H791" s="538"/>
      <c r="I791" s="538"/>
      <c r="J791" s="260"/>
      <c r="K791" s="260"/>
      <c r="L791" s="260"/>
      <c r="M791" s="260"/>
      <c r="N791" s="260"/>
      <c r="O791" s="536"/>
      <c r="P791" s="536"/>
    </row>
    <row r="792" spans="1:16" ht="12.75" customHeight="1">
      <c r="A792" s="535"/>
      <c r="B792" s="536"/>
      <c r="C792" s="536"/>
      <c r="D792" s="536"/>
      <c r="E792" s="536"/>
      <c r="F792" s="536"/>
      <c r="G792" s="536"/>
      <c r="H792" s="538"/>
      <c r="I792" s="538"/>
      <c r="J792" s="260"/>
      <c r="K792" s="260"/>
      <c r="L792" s="260"/>
      <c r="M792" s="260"/>
      <c r="N792" s="260"/>
      <c r="O792" s="536"/>
      <c r="P792" s="536"/>
    </row>
    <row r="793" spans="1:16" ht="12.75" customHeight="1">
      <c r="A793" s="535"/>
      <c r="B793" s="536"/>
      <c r="C793" s="536"/>
      <c r="D793" s="536"/>
      <c r="E793" s="536"/>
      <c r="F793" s="536"/>
      <c r="G793" s="536"/>
      <c r="H793" s="538"/>
      <c r="I793" s="538"/>
      <c r="J793" s="260"/>
      <c r="K793" s="260"/>
      <c r="L793" s="260"/>
      <c r="M793" s="260"/>
      <c r="N793" s="260"/>
      <c r="O793" s="536"/>
      <c r="P793" s="536"/>
    </row>
    <row r="794" spans="1:16" ht="12.75" customHeight="1">
      <c r="A794" s="535"/>
      <c r="B794" s="536"/>
      <c r="C794" s="536"/>
      <c r="D794" s="536"/>
      <c r="E794" s="536"/>
      <c r="F794" s="536"/>
      <c r="G794" s="536"/>
      <c r="H794" s="538"/>
      <c r="I794" s="538"/>
      <c r="J794" s="260"/>
      <c r="K794" s="260"/>
      <c r="L794" s="260"/>
      <c r="M794" s="260"/>
      <c r="N794" s="260"/>
      <c r="O794" s="536"/>
      <c r="P794" s="536"/>
    </row>
    <row r="795" spans="1:16" ht="12.75" customHeight="1">
      <c r="A795" s="535"/>
      <c r="B795" s="536"/>
      <c r="C795" s="536"/>
      <c r="D795" s="536"/>
      <c r="E795" s="536"/>
      <c r="F795" s="536"/>
      <c r="G795" s="536"/>
      <c r="H795" s="538"/>
      <c r="I795" s="538"/>
      <c r="J795" s="260"/>
      <c r="K795" s="260"/>
      <c r="L795" s="260"/>
      <c r="M795" s="260"/>
      <c r="N795" s="260"/>
      <c r="O795" s="536"/>
      <c r="P795" s="536"/>
    </row>
    <row r="796" spans="1:16" ht="12.75" customHeight="1">
      <c r="A796" s="535"/>
      <c r="B796" s="536"/>
      <c r="C796" s="536"/>
      <c r="D796" s="536"/>
      <c r="E796" s="536"/>
      <c r="F796" s="536"/>
      <c r="G796" s="536"/>
      <c r="H796" s="538"/>
      <c r="I796" s="538"/>
      <c r="J796" s="260"/>
      <c r="K796" s="260"/>
      <c r="L796" s="260"/>
      <c r="M796" s="260"/>
      <c r="N796" s="260"/>
      <c r="O796" s="536"/>
      <c r="P796" s="536"/>
    </row>
    <row r="797" spans="1:16" ht="12.75" customHeight="1">
      <c r="A797" s="535"/>
      <c r="B797" s="536"/>
      <c r="C797" s="536"/>
      <c r="D797" s="536"/>
      <c r="E797" s="536"/>
      <c r="F797" s="536"/>
      <c r="G797" s="536"/>
      <c r="H797" s="538"/>
      <c r="I797" s="538"/>
      <c r="J797" s="260"/>
      <c r="K797" s="260"/>
      <c r="L797" s="260"/>
      <c r="M797" s="260"/>
      <c r="N797" s="260"/>
      <c r="O797" s="536"/>
      <c r="P797" s="536"/>
    </row>
    <row r="798" spans="1:16" ht="12.75" customHeight="1">
      <c r="A798" s="535"/>
      <c r="B798" s="536"/>
      <c r="C798" s="536"/>
      <c r="D798" s="536"/>
      <c r="E798" s="536"/>
      <c r="F798" s="536"/>
      <c r="G798" s="536"/>
      <c r="H798" s="538"/>
      <c r="I798" s="538"/>
      <c r="J798" s="260"/>
      <c r="K798" s="260"/>
      <c r="L798" s="260"/>
      <c r="M798" s="260"/>
      <c r="N798" s="260"/>
      <c r="O798" s="536"/>
      <c r="P798" s="536"/>
    </row>
    <row r="799" spans="1:16" ht="12.75" customHeight="1">
      <c r="A799" s="535"/>
      <c r="B799" s="536"/>
      <c r="C799" s="536"/>
      <c r="D799" s="536"/>
      <c r="E799" s="536"/>
      <c r="F799" s="536"/>
      <c r="G799" s="536"/>
      <c r="H799" s="538"/>
      <c r="I799" s="538"/>
      <c r="J799" s="260"/>
      <c r="K799" s="260"/>
      <c r="L799" s="260"/>
      <c r="M799" s="260"/>
      <c r="N799" s="260"/>
      <c r="O799" s="536"/>
      <c r="P799" s="536"/>
    </row>
    <row r="800" spans="1:16" ht="12.75" customHeight="1">
      <c r="A800" s="535"/>
      <c r="B800" s="536"/>
      <c r="C800" s="536"/>
      <c r="D800" s="536"/>
      <c r="E800" s="536"/>
      <c r="F800" s="536"/>
      <c r="G800" s="536"/>
      <c r="H800" s="538"/>
      <c r="I800" s="538"/>
      <c r="J800" s="260"/>
      <c r="K800" s="260"/>
      <c r="L800" s="260"/>
      <c r="M800" s="260"/>
      <c r="N800" s="260"/>
      <c r="O800" s="536"/>
      <c r="P800" s="536"/>
    </row>
    <row r="801" spans="1:16" ht="12.75" customHeight="1">
      <c r="A801" s="535"/>
      <c r="B801" s="536"/>
      <c r="C801" s="536"/>
      <c r="D801" s="536"/>
      <c r="E801" s="536"/>
      <c r="F801" s="536"/>
      <c r="G801" s="536"/>
      <c r="H801" s="538"/>
      <c r="I801" s="538"/>
      <c r="J801" s="260"/>
      <c r="K801" s="260"/>
      <c r="L801" s="260"/>
      <c r="M801" s="260"/>
      <c r="N801" s="260"/>
      <c r="O801" s="536"/>
      <c r="P801" s="536"/>
    </row>
    <row r="802" spans="1:16" ht="12.75" customHeight="1">
      <c r="A802" s="535"/>
      <c r="B802" s="536"/>
      <c r="C802" s="536"/>
      <c r="D802" s="536"/>
      <c r="E802" s="536"/>
      <c r="F802" s="536"/>
      <c r="G802" s="536"/>
      <c r="H802" s="538"/>
      <c r="I802" s="538"/>
      <c r="J802" s="260"/>
      <c r="K802" s="260"/>
      <c r="L802" s="260"/>
      <c r="M802" s="260"/>
      <c r="N802" s="260"/>
      <c r="O802" s="536"/>
      <c r="P802" s="536"/>
    </row>
    <row r="803" spans="1:16" ht="12.75" customHeight="1">
      <c r="A803" s="535"/>
      <c r="B803" s="536"/>
      <c r="C803" s="536"/>
      <c r="D803" s="536"/>
      <c r="E803" s="536"/>
      <c r="F803" s="536"/>
      <c r="G803" s="536"/>
      <c r="H803" s="538"/>
      <c r="I803" s="538"/>
      <c r="J803" s="260"/>
      <c r="K803" s="260"/>
      <c r="L803" s="260"/>
      <c r="M803" s="260"/>
      <c r="N803" s="260"/>
      <c r="O803" s="536"/>
      <c r="P803" s="536"/>
    </row>
    <row r="804" spans="1:16" ht="12.75" customHeight="1">
      <c r="A804" s="535"/>
      <c r="B804" s="536"/>
      <c r="C804" s="536"/>
      <c r="D804" s="536"/>
      <c r="E804" s="536"/>
      <c r="F804" s="536"/>
      <c r="G804" s="536"/>
      <c r="H804" s="538"/>
      <c r="I804" s="538"/>
      <c r="J804" s="260"/>
      <c r="K804" s="260"/>
      <c r="L804" s="260"/>
      <c r="M804" s="260"/>
      <c r="N804" s="260"/>
      <c r="O804" s="536"/>
      <c r="P804" s="536"/>
    </row>
    <row r="805" spans="1:16" ht="12.75" customHeight="1">
      <c r="A805" s="535"/>
      <c r="B805" s="536"/>
      <c r="C805" s="536"/>
      <c r="D805" s="536"/>
      <c r="E805" s="536"/>
      <c r="F805" s="536"/>
      <c r="G805" s="536"/>
      <c r="H805" s="538"/>
      <c r="I805" s="538"/>
      <c r="J805" s="260"/>
      <c r="K805" s="260"/>
      <c r="L805" s="260"/>
      <c r="M805" s="260"/>
      <c r="N805" s="260"/>
      <c r="O805" s="536"/>
      <c r="P805" s="536"/>
    </row>
    <row r="806" spans="1:16" ht="12.75" customHeight="1">
      <c r="A806" s="535"/>
      <c r="B806" s="536"/>
      <c r="C806" s="536"/>
      <c r="D806" s="536"/>
      <c r="E806" s="536"/>
      <c r="F806" s="536"/>
      <c r="G806" s="536"/>
      <c r="H806" s="538"/>
      <c r="I806" s="538"/>
      <c r="J806" s="260"/>
      <c r="K806" s="260"/>
      <c r="L806" s="260"/>
      <c r="M806" s="260"/>
      <c r="N806" s="260"/>
      <c r="O806" s="536"/>
      <c r="P806" s="536"/>
    </row>
    <row r="807" spans="1:16" ht="12.75" customHeight="1">
      <c r="A807" s="535"/>
      <c r="B807" s="536"/>
      <c r="C807" s="536"/>
      <c r="D807" s="536"/>
      <c r="E807" s="536"/>
      <c r="F807" s="536"/>
      <c r="G807" s="536"/>
      <c r="H807" s="538"/>
      <c r="I807" s="538"/>
      <c r="J807" s="260"/>
      <c r="K807" s="260"/>
      <c r="L807" s="260"/>
      <c r="M807" s="260"/>
      <c r="N807" s="260"/>
      <c r="O807" s="536"/>
      <c r="P807" s="536"/>
    </row>
    <row r="808" spans="1:16" ht="12.75" customHeight="1">
      <c r="A808" s="535"/>
      <c r="B808" s="536"/>
      <c r="C808" s="536"/>
      <c r="D808" s="536"/>
      <c r="E808" s="536"/>
      <c r="F808" s="536"/>
      <c r="G808" s="536"/>
      <c r="H808" s="538"/>
      <c r="I808" s="538"/>
      <c r="J808" s="260"/>
      <c r="K808" s="260"/>
      <c r="L808" s="260"/>
      <c r="M808" s="260"/>
      <c r="N808" s="260"/>
      <c r="O808" s="536"/>
      <c r="P808" s="536"/>
    </row>
    <row r="809" spans="1:16" ht="12.75" customHeight="1">
      <c r="A809" s="535"/>
      <c r="B809" s="536"/>
      <c r="C809" s="536"/>
      <c r="D809" s="536"/>
      <c r="E809" s="536"/>
      <c r="F809" s="536"/>
      <c r="G809" s="536"/>
      <c r="H809" s="538"/>
      <c r="I809" s="538"/>
      <c r="J809" s="260"/>
      <c r="K809" s="260"/>
      <c r="L809" s="260"/>
      <c r="M809" s="260"/>
      <c r="N809" s="260"/>
      <c r="O809" s="536"/>
      <c r="P809" s="536"/>
    </row>
    <row r="810" spans="1:16" ht="12.75" customHeight="1">
      <c r="A810" s="535"/>
      <c r="B810" s="536"/>
      <c r="C810" s="536"/>
      <c r="D810" s="536"/>
      <c r="E810" s="536"/>
      <c r="F810" s="536"/>
      <c r="G810" s="536"/>
      <c r="H810" s="538"/>
      <c r="I810" s="538"/>
      <c r="J810" s="260"/>
      <c r="K810" s="260"/>
      <c r="L810" s="260"/>
      <c r="M810" s="260"/>
      <c r="N810" s="260"/>
      <c r="O810" s="536"/>
      <c r="P810" s="536"/>
    </row>
    <row r="811" spans="1:16" ht="12.75" customHeight="1">
      <c r="A811" s="535"/>
      <c r="B811" s="536"/>
      <c r="C811" s="536"/>
      <c r="D811" s="536"/>
      <c r="E811" s="536"/>
      <c r="F811" s="536"/>
      <c r="G811" s="536"/>
      <c r="H811" s="538"/>
      <c r="I811" s="538"/>
      <c r="J811" s="260"/>
      <c r="K811" s="260"/>
      <c r="L811" s="260"/>
      <c r="M811" s="260"/>
      <c r="N811" s="260"/>
      <c r="O811" s="536"/>
      <c r="P811" s="536"/>
    </row>
    <row r="812" spans="1:16" ht="12.75" customHeight="1">
      <c r="A812" s="535"/>
      <c r="B812" s="536"/>
      <c r="C812" s="536"/>
      <c r="D812" s="536"/>
      <c r="E812" s="536"/>
      <c r="F812" s="536"/>
      <c r="G812" s="536"/>
      <c r="H812" s="538"/>
      <c r="I812" s="538"/>
      <c r="J812" s="260"/>
      <c r="K812" s="260"/>
      <c r="L812" s="260"/>
      <c r="M812" s="260"/>
      <c r="N812" s="260"/>
      <c r="O812" s="536"/>
      <c r="P812" s="536"/>
    </row>
    <row r="813" spans="1:16" ht="12.75" customHeight="1">
      <c r="A813" s="535"/>
      <c r="B813" s="536"/>
      <c r="C813" s="536"/>
      <c r="D813" s="536"/>
      <c r="E813" s="536"/>
      <c r="F813" s="536"/>
      <c r="G813" s="536"/>
      <c r="H813" s="538"/>
      <c r="I813" s="538"/>
      <c r="J813" s="260"/>
      <c r="K813" s="260"/>
      <c r="L813" s="260"/>
      <c r="M813" s="260"/>
      <c r="N813" s="260"/>
      <c r="O813" s="536"/>
      <c r="P813" s="536"/>
    </row>
    <row r="814" spans="1:16" ht="12.75" customHeight="1">
      <c r="A814" s="535"/>
      <c r="B814" s="536"/>
      <c r="C814" s="536"/>
      <c r="D814" s="536"/>
      <c r="E814" s="536"/>
      <c r="F814" s="536"/>
      <c r="G814" s="536"/>
      <c r="H814" s="538"/>
      <c r="I814" s="538"/>
      <c r="J814" s="260"/>
      <c r="K814" s="260"/>
      <c r="L814" s="260"/>
      <c r="M814" s="260"/>
      <c r="N814" s="260"/>
      <c r="O814" s="536"/>
      <c r="P814" s="536"/>
    </row>
    <row r="815" spans="1:16" ht="12.75" customHeight="1">
      <c r="A815" s="535"/>
      <c r="B815" s="536"/>
      <c r="C815" s="536"/>
      <c r="D815" s="536"/>
      <c r="E815" s="536"/>
      <c r="F815" s="536"/>
      <c r="G815" s="536"/>
      <c r="H815" s="538"/>
      <c r="I815" s="538"/>
      <c r="J815" s="260"/>
      <c r="K815" s="260"/>
      <c r="L815" s="260"/>
      <c r="M815" s="260"/>
      <c r="N815" s="260"/>
      <c r="O815" s="536"/>
      <c r="P815" s="536"/>
    </row>
    <row r="816" spans="1:16" ht="12.75" customHeight="1">
      <c r="A816" s="535"/>
      <c r="B816" s="536"/>
      <c r="C816" s="536"/>
      <c r="D816" s="536"/>
      <c r="E816" s="536"/>
      <c r="F816" s="536"/>
      <c r="G816" s="536"/>
      <c r="H816" s="538"/>
      <c r="I816" s="538"/>
      <c r="J816" s="260"/>
      <c r="K816" s="260"/>
      <c r="L816" s="260"/>
      <c r="M816" s="260"/>
      <c r="N816" s="260"/>
      <c r="O816" s="536"/>
      <c r="P816" s="536"/>
    </row>
    <row r="817" spans="1:16" ht="12.75" customHeight="1">
      <c r="A817" s="535"/>
      <c r="B817" s="536"/>
      <c r="C817" s="536"/>
      <c r="D817" s="536"/>
      <c r="E817" s="536"/>
      <c r="F817" s="536"/>
      <c r="G817" s="536"/>
      <c r="H817" s="538"/>
      <c r="I817" s="538"/>
      <c r="J817" s="260"/>
      <c r="K817" s="260"/>
      <c r="L817" s="260"/>
      <c r="M817" s="260"/>
      <c r="N817" s="260"/>
      <c r="O817" s="536"/>
      <c r="P817" s="536"/>
    </row>
    <row r="818" spans="1:16" ht="12.75" customHeight="1">
      <c r="A818" s="535"/>
      <c r="B818" s="536"/>
      <c r="C818" s="536"/>
      <c r="D818" s="536"/>
      <c r="E818" s="536"/>
      <c r="F818" s="536"/>
      <c r="G818" s="536"/>
      <c r="H818" s="538"/>
      <c r="I818" s="538"/>
      <c r="J818" s="260"/>
      <c r="K818" s="260"/>
      <c r="L818" s="260"/>
      <c r="M818" s="260"/>
      <c r="N818" s="260"/>
      <c r="O818" s="536"/>
      <c r="P818" s="536"/>
    </row>
    <row r="819" spans="1:16" ht="12.75" customHeight="1">
      <c r="A819" s="535"/>
      <c r="B819" s="536"/>
      <c r="C819" s="536"/>
      <c r="D819" s="536"/>
      <c r="E819" s="536"/>
      <c r="F819" s="536"/>
      <c r="G819" s="536"/>
      <c r="H819" s="538"/>
      <c r="I819" s="538"/>
      <c r="J819" s="260"/>
      <c r="K819" s="260"/>
      <c r="L819" s="260"/>
      <c r="M819" s="260"/>
      <c r="N819" s="260"/>
      <c r="O819" s="536"/>
      <c r="P819" s="536"/>
    </row>
    <row r="820" spans="1:16" ht="12.75" customHeight="1">
      <c r="A820" s="535"/>
      <c r="B820" s="536"/>
      <c r="C820" s="536"/>
      <c r="D820" s="536"/>
      <c r="E820" s="536"/>
      <c r="F820" s="536"/>
      <c r="G820" s="536"/>
      <c r="H820" s="538"/>
      <c r="I820" s="538"/>
      <c r="J820" s="260"/>
      <c r="K820" s="260"/>
      <c r="L820" s="260"/>
      <c r="M820" s="260"/>
      <c r="N820" s="260"/>
      <c r="O820" s="536"/>
      <c r="P820" s="536"/>
    </row>
    <row r="821" spans="1:16" ht="12.75" customHeight="1">
      <c r="A821" s="535"/>
      <c r="B821" s="536"/>
      <c r="C821" s="536"/>
      <c r="D821" s="536"/>
      <c r="E821" s="536"/>
      <c r="F821" s="536"/>
      <c r="G821" s="536"/>
      <c r="H821" s="538"/>
      <c r="I821" s="538"/>
      <c r="J821" s="260"/>
      <c r="K821" s="260"/>
      <c r="L821" s="260"/>
      <c r="M821" s="260"/>
      <c r="N821" s="260"/>
      <c r="O821" s="536"/>
      <c r="P821" s="536"/>
    </row>
    <row r="822" spans="1:16" ht="12.75" customHeight="1">
      <c r="A822" s="535"/>
      <c r="B822" s="536"/>
      <c r="C822" s="536"/>
      <c r="D822" s="536"/>
      <c r="E822" s="536"/>
      <c r="F822" s="536"/>
      <c r="G822" s="536"/>
      <c r="H822" s="538"/>
      <c r="I822" s="538"/>
      <c r="J822" s="260"/>
      <c r="K822" s="260"/>
      <c r="L822" s="260"/>
      <c r="M822" s="260"/>
      <c r="N822" s="260"/>
      <c r="O822" s="536"/>
      <c r="P822" s="536"/>
    </row>
    <row r="823" spans="1:16" ht="12.75" customHeight="1">
      <c r="A823" s="535"/>
      <c r="B823" s="536"/>
      <c r="C823" s="536"/>
      <c r="D823" s="536"/>
      <c r="E823" s="536"/>
      <c r="F823" s="536"/>
      <c r="G823" s="536"/>
      <c r="H823" s="538"/>
      <c r="I823" s="538"/>
      <c r="J823" s="260"/>
      <c r="K823" s="260"/>
      <c r="L823" s="260"/>
      <c r="M823" s="260"/>
      <c r="N823" s="260"/>
      <c r="O823" s="536"/>
      <c r="P823" s="536"/>
    </row>
    <row r="824" spans="1:16" ht="12.75" customHeight="1">
      <c r="A824" s="535"/>
      <c r="B824" s="536"/>
      <c r="C824" s="536"/>
      <c r="D824" s="536"/>
      <c r="E824" s="536"/>
      <c r="F824" s="536"/>
      <c r="G824" s="536"/>
      <c r="H824" s="538"/>
      <c r="I824" s="538"/>
      <c r="J824" s="260"/>
      <c r="K824" s="260"/>
      <c r="L824" s="260"/>
      <c r="M824" s="260"/>
      <c r="N824" s="260"/>
      <c r="O824" s="536"/>
      <c r="P824" s="536"/>
    </row>
    <row r="825" spans="1:16" ht="12.75" customHeight="1">
      <c r="A825" s="535"/>
      <c r="B825" s="536"/>
      <c r="C825" s="536"/>
      <c r="D825" s="536"/>
      <c r="E825" s="536"/>
      <c r="F825" s="536"/>
      <c r="G825" s="536"/>
      <c r="H825" s="538"/>
      <c r="I825" s="538"/>
      <c r="J825" s="260"/>
      <c r="K825" s="260"/>
      <c r="L825" s="260"/>
      <c r="M825" s="260"/>
      <c r="N825" s="260"/>
      <c r="O825" s="536"/>
      <c r="P825" s="536"/>
    </row>
    <row r="826" spans="1:16" ht="12.75" customHeight="1">
      <c r="A826" s="535"/>
      <c r="B826" s="536"/>
      <c r="C826" s="536"/>
      <c r="D826" s="536"/>
      <c r="E826" s="536"/>
      <c r="F826" s="536"/>
      <c r="G826" s="536"/>
      <c r="H826" s="538"/>
      <c r="I826" s="538"/>
      <c r="J826" s="260"/>
      <c r="K826" s="260"/>
      <c r="L826" s="260"/>
      <c r="M826" s="260"/>
      <c r="N826" s="260"/>
      <c r="O826" s="536"/>
      <c r="P826" s="536"/>
    </row>
    <row r="827" spans="1:16" ht="12.75" customHeight="1">
      <c r="A827" s="535"/>
      <c r="B827" s="536"/>
      <c r="C827" s="536"/>
      <c r="D827" s="536"/>
      <c r="E827" s="536"/>
      <c r="F827" s="536"/>
      <c r="G827" s="536"/>
      <c r="H827" s="538"/>
      <c r="I827" s="538"/>
      <c r="J827" s="260"/>
      <c r="K827" s="260"/>
      <c r="L827" s="260"/>
      <c r="M827" s="260"/>
      <c r="N827" s="260"/>
      <c r="O827" s="536"/>
      <c r="P827" s="536"/>
    </row>
    <row r="828" spans="1:16" ht="12.75" customHeight="1">
      <c r="A828" s="535"/>
      <c r="B828" s="536"/>
      <c r="C828" s="536"/>
      <c r="D828" s="536"/>
      <c r="E828" s="536"/>
      <c r="F828" s="536"/>
      <c r="G828" s="536"/>
      <c r="H828" s="538"/>
      <c r="I828" s="538"/>
      <c r="J828" s="260"/>
      <c r="K828" s="260"/>
      <c r="L828" s="260"/>
      <c r="M828" s="260"/>
      <c r="N828" s="260"/>
      <c r="O828" s="536"/>
      <c r="P828" s="536"/>
    </row>
    <row r="829" spans="1:16" ht="12.75" customHeight="1">
      <c r="A829" s="535"/>
      <c r="B829" s="536"/>
      <c r="C829" s="536"/>
      <c r="D829" s="536"/>
      <c r="E829" s="536"/>
      <c r="F829" s="536"/>
      <c r="G829" s="536"/>
      <c r="H829" s="538"/>
      <c r="I829" s="538"/>
      <c r="J829" s="260"/>
      <c r="K829" s="260"/>
      <c r="L829" s="260"/>
      <c r="M829" s="260"/>
      <c r="N829" s="260"/>
      <c r="O829" s="536"/>
      <c r="P829" s="536"/>
    </row>
    <row r="830" spans="1:16" ht="12.75" customHeight="1">
      <c r="A830" s="535"/>
      <c r="B830" s="536"/>
      <c r="C830" s="536"/>
      <c r="D830" s="536"/>
      <c r="E830" s="536"/>
      <c r="F830" s="536"/>
      <c r="G830" s="536"/>
      <c r="H830" s="538"/>
      <c r="I830" s="538"/>
      <c r="J830" s="260"/>
      <c r="K830" s="260"/>
      <c r="L830" s="260"/>
      <c r="M830" s="260"/>
      <c r="N830" s="260"/>
      <c r="O830" s="536"/>
      <c r="P830" s="536"/>
    </row>
    <row r="831" spans="1:16" ht="12.75" customHeight="1">
      <c r="A831" s="535"/>
      <c r="B831" s="536"/>
      <c r="C831" s="536"/>
      <c r="D831" s="536"/>
      <c r="E831" s="536"/>
      <c r="F831" s="536"/>
      <c r="G831" s="536"/>
      <c r="H831" s="538"/>
      <c r="I831" s="538"/>
      <c r="J831" s="260"/>
      <c r="K831" s="260"/>
      <c r="L831" s="260"/>
      <c r="M831" s="260"/>
      <c r="N831" s="260"/>
      <c r="O831" s="536"/>
      <c r="P831" s="536"/>
    </row>
    <row r="832" spans="1:16" ht="12.75" customHeight="1">
      <c r="A832" s="535"/>
      <c r="B832" s="536"/>
      <c r="C832" s="536"/>
      <c r="D832" s="536"/>
      <c r="E832" s="536"/>
      <c r="F832" s="536"/>
      <c r="G832" s="536"/>
      <c r="H832" s="538"/>
      <c r="I832" s="538"/>
      <c r="J832" s="260"/>
      <c r="K832" s="260"/>
      <c r="L832" s="260"/>
      <c r="M832" s="260"/>
      <c r="N832" s="260"/>
      <c r="O832" s="536"/>
      <c r="P832" s="536"/>
    </row>
    <row r="833" spans="1:16" ht="12.75" customHeight="1">
      <c r="A833" s="535"/>
      <c r="B833" s="536"/>
      <c r="C833" s="536"/>
      <c r="D833" s="536"/>
      <c r="E833" s="536"/>
      <c r="F833" s="536"/>
      <c r="G833" s="536"/>
      <c r="H833" s="538"/>
      <c r="I833" s="538"/>
      <c r="J833" s="260"/>
      <c r="K833" s="260"/>
      <c r="L833" s="260"/>
      <c r="M833" s="260"/>
      <c r="N833" s="260"/>
      <c r="O833" s="536"/>
      <c r="P833" s="536"/>
    </row>
    <row r="834" spans="1:16" ht="12.75" customHeight="1">
      <c r="A834" s="535"/>
      <c r="B834" s="536"/>
      <c r="C834" s="536"/>
      <c r="D834" s="536"/>
      <c r="E834" s="536"/>
      <c r="F834" s="536"/>
      <c r="G834" s="536"/>
      <c r="H834" s="538"/>
      <c r="I834" s="538"/>
      <c r="J834" s="260"/>
      <c r="K834" s="260"/>
      <c r="L834" s="260"/>
      <c r="M834" s="260"/>
      <c r="N834" s="260"/>
      <c r="O834" s="536"/>
      <c r="P834" s="536"/>
    </row>
    <row r="835" spans="1:16" ht="12.75" customHeight="1">
      <c r="A835" s="535"/>
      <c r="B835" s="536"/>
      <c r="C835" s="536"/>
      <c r="D835" s="536"/>
      <c r="E835" s="536"/>
      <c r="F835" s="536"/>
      <c r="G835" s="536"/>
      <c r="H835" s="538"/>
      <c r="I835" s="538"/>
      <c r="J835" s="260"/>
      <c r="K835" s="260"/>
      <c r="L835" s="260"/>
      <c r="M835" s="260"/>
      <c r="N835" s="260"/>
      <c r="O835" s="536"/>
      <c r="P835" s="536"/>
    </row>
    <row r="836" spans="1:16" ht="12.75" customHeight="1">
      <c r="A836" s="535"/>
      <c r="B836" s="536"/>
      <c r="C836" s="536"/>
      <c r="D836" s="536"/>
      <c r="E836" s="536"/>
      <c r="F836" s="536"/>
      <c r="G836" s="536"/>
      <c r="H836" s="538"/>
      <c r="I836" s="538"/>
      <c r="J836" s="260"/>
      <c r="K836" s="260"/>
      <c r="L836" s="260"/>
      <c r="M836" s="260"/>
      <c r="N836" s="260"/>
      <c r="O836" s="536"/>
      <c r="P836" s="536"/>
    </row>
    <row r="837" spans="1:16" ht="12.75" customHeight="1">
      <c r="A837" s="535"/>
      <c r="B837" s="536"/>
      <c r="C837" s="536"/>
      <c r="D837" s="536"/>
      <c r="E837" s="536"/>
      <c r="F837" s="536"/>
      <c r="G837" s="536"/>
      <c r="H837" s="538"/>
      <c r="I837" s="538"/>
      <c r="J837" s="260"/>
      <c r="K837" s="260"/>
      <c r="L837" s="260"/>
      <c r="M837" s="260"/>
      <c r="N837" s="260"/>
      <c r="O837" s="536"/>
      <c r="P837" s="536"/>
    </row>
    <row r="838" spans="1:16" ht="12.75" customHeight="1">
      <c r="A838" s="535"/>
      <c r="B838" s="536"/>
      <c r="C838" s="536"/>
      <c r="D838" s="536"/>
      <c r="E838" s="536"/>
      <c r="F838" s="536"/>
      <c r="G838" s="536"/>
      <c r="H838" s="538"/>
      <c r="I838" s="538"/>
      <c r="J838" s="260"/>
      <c r="K838" s="260"/>
      <c r="L838" s="260"/>
      <c r="M838" s="260"/>
      <c r="N838" s="260"/>
      <c r="O838" s="536"/>
      <c r="P838" s="536"/>
    </row>
    <row r="839" spans="1:16" ht="12.75" customHeight="1">
      <c r="A839" s="535"/>
      <c r="B839" s="536"/>
      <c r="C839" s="536"/>
      <c r="D839" s="536"/>
      <c r="E839" s="536"/>
      <c r="F839" s="536"/>
      <c r="G839" s="536"/>
      <c r="H839" s="538"/>
      <c r="I839" s="538"/>
      <c r="J839" s="260"/>
      <c r="K839" s="260"/>
      <c r="L839" s="260"/>
      <c r="M839" s="260"/>
      <c r="N839" s="260"/>
      <c r="O839" s="536"/>
      <c r="P839" s="536"/>
    </row>
    <row r="840" spans="1:16" ht="12.75" customHeight="1">
      <c r="A840" s="535"/>
      <c r="B840" s="536"/>
      <c r="C840" s="536"/>
      <c r="D840" s="536"/>
      <c r="E840" s="536"/>
      <c r="F840" s="536"/>
      <c r="G840" s="536"/>
      <c r="H840" s="538"/>
      <c r="I840" s="538"/>
      <c r="J840" s="260"/>
      <c r="K840" s="260"/>
      <c r="L840" s="260"/>
      <c r="M840" s="260"/>
      <c r="N840" s="260"/>
      <c r="O840" s="536"/>
      <c r="P840" s="536"/>
    </row>
    <row r="841" spans="1:16" ht="12.75" customHeight="1">
      <c r="A841" s="535"/>
      <c r="B841" s="536"/>
      <c r="C841" s="536"/>
      <c r="D841" s="536"/>
      <c r="E841" s="536"/>
      <c r="F841" s="536"/>
      <c r="G841" s="536"/>
      <c r="H841" s="538"/>
      <c r="I841" s="538"/>
      <c r="J841" s="260"/>
      <c r="K841" s="260"/>
      <c r="L841" s="260"/>
      <c r="M841" s="260"/>
      <c r="N841" s="260"/>
      <c r="O841" s="536"/>
      <c r="P841" s="536"/>
    </row>
    <row r="842" spans="1:16" ht="12.75" customHeight="1">
      <c r="A842" s="535"/>
      <c r="B842" s="536"/>
      <c r="C842" s="536"/>
      <c r="D842" s="536"/>
      <c r="E842" s="536"/>
      <c r="F842" s="536"/>
      <c r="G842" s="536"/>
      <c r="H842" s="538"/>
      <c r="I842" s="538"/>
      <c r="J842" s="260"/>
      <c r="K842" s="260"/>
      <c r="L842" s="260"/>
      <c r="M842" s="260"/>
      <c r="N842" s="260"/>
      <c r="O842" s="536"/>
      <c r="P842" s="536"/>
    </row>
    <row r="843" spans="1:16" ht="12.75" customHeight="1">
      <c r="A843" s="535"/>
      <c r="B843" s="536"/>
      <c r="C843" s="536"/>
      <c r="D843" s="536"/>
      <c r="E843" s="536"/>
      <c r="F843" s="536"/>
      <c r="G843" s="536"/>
      <c r="H843" s="538"/>
      <c r="I843" s="538"/>
      <c r="J843" s="260"/>
      <c r="K843" s="260"/>
      <c r="L843" s="260"/>
      <c r="M843" s="260"/>
      <c r="N843" s="260"/>
      <c r="O843" s="536"/>
      <c r="P843" s="536"/>
    </row>
    <row r="844" spans="1:16" ht="12.75" customHeight="1">
      <c r="A844" s="535"/>
      <c r="B844" s="536"/>
      <c r="C844" s="536"/>
      <c r="D844" s="536"/>
      <c r="E844" s="536"/>
      <c r="F844" s="536"/>
      <c r="G844" s="536"/>
      <c r="H844" s="538"/>
      <c r="I844" s="538"/>
      <c r="J844" s="260"/>
      <c r="K844" s="260"/>
      <c r="L844" s="260"/>
      <c r="M844" s="260"/>
      <c r="N844" s="260"/>
      <c r="O844" s="536"/>
      <c r="P844" s="536"/>
    </row>
    <row r="845" spans="1:16" ht="12.75" customHeight="1">
      <c r="A845" s="535"/>
      <c r="B845" s="536"/>
      <c r="C845" s="536"/>
      <c r="D845" s="536"/>
      <c r="E845" s="536"/>
      <c r="F845" s="536"/>
      <c r="G845" s="536"/>
      <c r="H845" s="538"/>
      <c r="I845" s="538"/>
      <c r="J845" s="260"/>
      <c r="K845" s="260"/>
      <c r="L845" s="260"/>
      <c r="M845" s="260"/>
      <c r="N845" s="260"/>
      <c r="O845" s="536"/>
      <c r="P845" s="536"/>
    </row>
    <row r="846" spans="1:16" ht="12.75" customHeight="1">
      <c r="A846" s="535"/>
      <c r="B846" s="536"/>
      <c r="C846" s="536"/>
      <c r="D846" s="536"/>
      <c r="E846" s="536"/>
      <c r="F846" s="536"/>
      <c r="G846" s="536"/>
      <c r="H846" s="538"/>
      <c r="I846" s="538"/>
      <c r="J846" s="260"/>
      <c r="K846" s="260"/>
      <c r="L846" s="260"/>
      <c r="M846" s="260"/>
      <c r="N846" s="260"/>
      <c r="O846" s="536"/>
      <c r="P846" s="536"/>
    </row>
    <row r="847" spans="1:16" ht="12.75" customHeight="1">
      <c r="A847" s="535"/>
      <c r="B847" s="536"/>
      <c r="C847" s="536"/>
      <c r="D847" s="536"/>
      <c r="E847" s="536"/>
      <c r="F847" s="536"/>
      <c r="G847" s="536"/>
      <c r="H847" s="538"/>
      <c r="I847" s="538"/>
      <c r="J847" s="260"/>
      <c r="K847" s="260"/>
      <c r="L847" s="260"/>
      <c r="M847" s="260"/>
      <c r="N847" s="260"/>
      <c r="O847" s="536"/>
      <c r="P847" s="536"/>
    </row>
    <row r="848" spans="1:16" ht="12.75" customHeight="1">
      <c r="A848" s="535"/>
      <c r="B848" s="536"/>
      <c r="C848" s="536"/>
      <c r="D848" s="536"/>
      <c r="E848" s="536"/>
      <c r="F848" s="536"/>
      <c r="G848" s="536"/>
      <c r="H848" s="538"/>
      <c r="I848" s="538"/>
      <c r="J848" s="260"/>
      <c r="K848" s="260"/>
      <c r="L848" s="260"/>
      <c r="M848" s="260"/>
      <c r="N848" s="260"/>
      <c r="O848" s="536"/>
      <c r="P848" s="536"/>
    </row>
    <row r="849" spans="1:16" ht="12.75" customHeight="1">
      <c r="A849" s="535"/>
      <c r="B849" s="536"/>
      <c r="C849" s="536"/>
      <c r="D849" s="536"/>
      <c r="E849" s="536"/>
      <c r="F849" s="536"/>
      <c r="G849" s="536"/>
      <c r="H849" s="538"/>
      <c r="I849" s="538"/>
      <c r="J849" s="260"/>
      <c r="K849" s="260"/>
      <c r="L849" s="260"/>
      <c r="M849" s="260"/>
      <c r="N849" s="260"/>
      <c r="O849" s="536"/>
      <c r="P849" s="536"/>
    </row>
    <row r="850" spans="1:16" ht="12.75" customHeight="1">
      <c r="A850" s="535"/>
      <c r="B850" s="536"/>
      <c r="C850" s="536"/>
      <c r="D850" s="536"/>
      <c r="E850" s="536"/>
      <c r="F850" s="536"/>
      <c r="G850" s="536"/>
      <c r="H850" s="538"/>
      <c r="I850" s="538"/>
      <c r="J850" s="260"/>
      <c r="K850" s="260"/>
      <c r="L850" s="260"/>
      <c r="M850" s="260"/>
      <c r="N850" s="260"/>
      <c r="O850" s="536"/>
      <c r="P850" s="536"/>
    </row>
    <row r="851" spans="1:16" ht="12.75" customHeight="1">
      <c r="A851" s="535"/>
      <c r="B851" s="536"/>
      <c r="C851" s="536"/>
      <c r="D851" s="536"/>
      <c r="E851" s="536"/>
      <c r="F851" s="536"/>
      <c r="G851" s="536"/>
      <c r="H851" s="538"/>
      <c r="I851" s="538"/>
      <c r="J851" s="260"/>
      <c r="K851" s="260"/>
      <c r="L851" s="260"/>
      <c r="M851" s="260"/>
      <c r="N851" s="260"/>
      <c r="O851" s="536"/>
      <c r="P851" s="536"/>
    </row>
    <row r="852" spans="1:16" ht="12.75" customHeight="1">
      <c r="A852" s="535"/>
      <c r="B852" s="536"/>
      <c r="C852" s="536"/>
      <c r="D852" s="536"/>
      <c r="E852" s="536"/>
      <c r="F852" s="536"/>
      <c r="G852" s="536"/>
      <c r="H852" s="538"/>
      <c r="I852" s="538"/>
      <c r="J852" s="260"/>
      <c r="K852" s="260"/>
      <c r="L852" s="260"/>
      <c r="M852" s="260"/>
      <c r="N852" s="260"/>
      <c r="O852" s="536"/>
      <c r="P852" s="536"/>
    </row>
    <row r="853" spans="1:16" ht="12.75" customHeight="1">
      <c r="A853" s="535"/>
      <c r="B853" s="536"/>
      <c r="C853" s="536"/>
      <c r="D853" s="536"/>
      <c r="E853" s="536"/>
      <c r="F853" s="536"/>
      <c r="G853" s="536"/>
      <c r="H853" s="538"/>
      <c r="I853" s="538"/>
      <c r="J853" s="260"/>
      <c r="K853" s="260"/>
      <c r="L853" s="260"/>
      <c r="M853" s="260"/>
      <c r="N853" s="260"/>
      <c r="O853" s="536"/>
      <c r="P853" s="536"/>
    </row>
    <row r="854" spans="1:16" ht="12.75" customHeight="1">
      <c r="A854" s="535"/>
      <c r="B854" s="536"/>
      <c r="C854" s="536"/>
      <c r="D854" s="536"/>
      <c r="E854" s="536"/>
      <c r="F854" s="536"/>
      <c r="G854" s="536"/>
      <c r="H854" s="538"/>
      <c r="I854" s="538"/>
      <c r="J854" s="260"/>
      <c r="K854" s="260"/>
      <c r="L854" s="260"/>
      <c r="M854" s="260"/>
      <c r="N854" s="260"/>
      <c r="O854" s="536"/>
      <c r="P854" s="536"/>
    </row>
    <row r="855" spans="1:16" ht="12.75" customHeight="1">
      <c r="A855" s="535"/>
      <c r="B855" s="536"/>
      <c r="C855" s="536"/>
      <c r="D855" s="536"/>
      <c r="E855" s="536"/>
      <c r="F855" s="536"/>
      <c r="G855" s="536"/>
      <c r="H855" s="538"/>
      <c r="I855" s="538"/>
      <c r="J855" s="260"/>
      <c r="K855" s="260"/>
      <c r="L855" s="260"/>
      <c r="M855" s="260"/>
      <c r="N855" s="260"/>
      <c r="O855" s="536"/>
      <c r="P855" s="536"/>
    </row>
    <row r="856" spans="1:16" ht="12.75" customHeight="1">
      <c r="A856" s="535"/>
      <c r="B856" s="536"/>
      <c r="C856" s="536"/>
      <c r="D856" s="536"/>
      <c r="E856" s="536"/>
      <c r="F856" s="536"/>
      <c r="G856" s="536"/>
      <c r="H856" s="538"/>
      <c r="I856" s="538"/>
      <c r="J856" s="260"/>
      <c r="K856" s="260"/>
      <c r="L856" s="260"/>
      <c r="M856" s="260"/>
      <c r="N856" s="260"/>
      <c r="O856" s="536"/>
      <c r="P856" s="536"/>
    </row>
    <row r="857" spans="1:16" ht="12.75" customHeight="1">
      <c r="A857" s="535"/>
      <c r="B857" s="536"/>
      <c r="C857" s="536"/>
      <c r="D857" s="536"/>
      <c r="E857" s="536"/>
      <c r="F857" s="536"/>
      <c r="G857" s="536"/>
      <c r="H857" s="538"/>
      <c r="I857" s="538"/>
      <c r="J857" s="260"/>
      <c r="K857" s="260"/>
      <c r="L857" s="260"/>
      <c r="M857" s="260"/>
      <c r="N857" s="260"/>
      <c r="O857" s="536"/>
      <c r="P857" s="536"/>
    </row>
    <row r="858" spans="1:16" ht="12.75" customHeight="1">
      <c r="A858" s="535"/>
      <c r="B858" s="536"/>
      <c r="C858" s="536"/>
      <c r="D858" s="536"/>
      <c r="E858" s="536"/>
      <c r="F858" s="536"/>
      <c r="G858" s="536"/>
      <c r="H858" s="538"/>
      <c r="I858" s="538"/>
      <c r="J858" s="260"/>
      <c r="K858" s="260"/>
      <c r="L858" s="260"/>
      <c r="M858" s="260"/>
      <c r="N858" s="260"/>
      <c r="O858" s="536"/>
      <c r="P858" s="536"/>
    </row>
    <row r="859" spans="1:16" ht="12.75" customHeight="1">
      <c r="A859" s="535"/>
      <c r="B859" s="536"/>
      <c r="C859" s="536"/>
      <c r="D859" s="536"/>
      <c r="E859" s="536"/>
      <c r="F859" s="536"/>
      <c r="G859" s="536"/>
      <c r="H859" s="538"/>
      <c r="I859" s="538"/>
      <c r="J859" s="260"/>
      <c r="K859" s="260"/>
      <c r="L859" s="260"/>
      <c r="M859" s="260"/>
      <c r="N859" s="260"/>
      <c r="O859" s="536"/>
      <c r="P859" s="536"/>
    </row>
    <row r="860" spans="1:16" ht="12.75" customHeight="1">
      <c r="A860" s="535"/>
      <c r="B860" s="536"/>
      <c r="C860" s="536"/>
      <c r="D860" s="536"/>
      <c r="E860" s="536"/>
      <c r="F860" s="536"/>
      <c r="G860" s="536"/>
      <c r="H860" s="538"/>
      <c r="I860" s="538"/>
      <c r="J860" s="260"/>
      <c r="K860" s="260"/>
      <c r="L860" s="260"/>
      <c r="M860" s="260"/>
      <c r="N860" s="260"/>
      <c r="O860" s="536"/>
      <c r="P860" s="536"/>
    </row>
    <row r="861" spans="1:16" ht="12.75" customHeight="1">
      <c r="A861" s="535"/>
      <c r="B861" s="536"/>
      <c r="C861" s="536"/>
      <c r="D861" s="536"/>
      <c r="E861" s="536"/>
      <c r="F861" s="536"/>
      <c r="G861" s="536"/>
      <c r="H861" s="538"/>
      <c r="I861" s="538"/>
      <c r="J861" s="260"/>
      <c r="K861" s="260"/>
      <c r="L861" s="260"/>
      <c r="M861" s="260"/>
      <c r="N861" s="260"/>
      <c r="O861" s="536"/>
      <c r="P861" s="536"/>
    </row>
    <row r="862" spans="1:16" ht="12.75" customHeight="1">
      <c r="A862" s="535"/>
      <c r="B862" s="536"/>
      <c r="C862" s="536"/>
      <c r="D862" s="536"/>
      <c r="E862" s="536"/>
      <c r="F862" s="536"/>
      <c r="G862" s="536"/>
      <c r="H862" s="538"/>
      <c r="I862" s="538"/>
      <c r="J862" s="260"/>
      <c r="K862" s="260"/>
      <c r="L862" s="260"/>
      <c r="M862" s="260"/>
      <c r="N862" s="260"/>
      <c r="O862" s="536"/>
      <c r="P862" s="536"/>
    </row>
    <row r="863" spans="1:16" ht="12.75" customHeight="1">
      <c r="A863" s="535"/>
      <c r="B863" s="536"/>
      <c r="C863" s="536"/>
      <c r="D863" s="536"/>
      <c r="E863" s="536"/>
      <c r="F863" s="536"/>
      <c r="G863" s="536"/>
      <c r="H863" s="538"/>
      <c r="I863" s="538"/>
      <c r="J863" s="260"/>
      <c r="K863" s="260"/>
      <c r="L863" s="260"/>
      <c r="M863" s="260"/>
      <c r="N863" s="260"/>
      <c r="O863" s="536"/>
      <c r="P863" s="536"/>
    </row>
    <row r="864" spans="1:16" ht="12.75" customHeight="1">
      <c r="A864" s="535"/>
      <c r="B864" s="536"/>
      <c r="C864" s="536"/>
      <c r="D864" s="536"/>
      <c r="E864" s="536"/>
      <c r="F864" s="536"/>
      <c r="G864" s="536"/>
      <c r="H864" s="538"/>
      <c r="I864" s="538"/>
      <c r="J864" s="260"/>
      <c r="K864" s="260"/>
      <c r="L864" s="260"/>
      <c r="M864" s="260"/>
      <c r="N864" s="260"/>
      <c r="O864" s="536"/>
      <c r="P864" s="536"/>
    </row>
    <row r="865" spans="1:16" ht="12.75" customHeight="1">
      <c r="A865" s="535"/>
      <c r="B865" s="536"/>
      <c r="C865" s="536"/>
      <c r="D865" s="536"/>
      <c r="E865" s="536"/>
      <c r="F865" s="536"/>
      <c r="G865" s="536"/>
      <c r="H865" s="538"/>
      <c r="I865" s="538"/>
      <c r="J865" s="260"/>
      <c r="K865" s="260"/>
      <c r="L865" s="260"/>
      <c r="M865" s="260"/>
      <c r="N865" s="260"/>
      <c r="O865" s="536"/>
      <c r="P865" s="536"/>
    </row>
    <row r="866" spans="1:16" ht="12.75" customHeight="1">
      <c r="A866" s="535"/>
      <c r="B866" s="536"/>
      <c r="C866" s="536"/>
      <c r="D866" s="536"/>
      <c r="E866" s="536"/>
      <c r="F866" s="536"/>
      <c r="G866" s="536"/>
      <c r="H866" s="538"/>
      <c r="I866" s="538"/>
      <c r="J866" s="260"/>
      <c r="K866" s="260"/>
      <c r="L866" s="260"/>
      <c r="M866" s="260"/>
      <c r="N866" s="260"/>
      <c r="O866" s="536"/>
      <c r="P866" s="536"/>
    </row>
    <row r="867" spans="1:16" ht="12.75" customHeight="1">
      <c r="A867" s="535"/>
      <c r="B867" s="536"/>
      <c r="C867" s="536"/>
      <c r="D867" s="536"/>
      <c r="E867" s="536"/>
      <c r="F867" s="536"/>
      <c r="G867" s="536"/>
      <c r="H867" s="538"/>
      <c r="I867" s="538"/>
      <c r="J867" s="260"/>
      <c r="K867" s="260"/>
      <c r="L867" s="260"/>
      <c r="M867" s="260"/>
      <c r="N867" s="260"/>
      <c r="O867" s="536"/>
      <c r="P867" s="536"/>
    </row>
    <row r="868" spans="1:16" ht="12.75" customHeight="1">
      <c r="A868" s="535"/>
      <c r="B868" s="536"/>
      <c r="C868" s="536"/>
      <c r="D868" s="536"/>
      <c r="E868" s="536"/>
      <c r="F868" s="536"/>
      <c r="G868" s="536"/>
      <c r="H868" s="538"/>
      <c r="I868" s="538"/>
      <c r="J868" s="260"/>
      <c r="K868" s="260"/>
      <c r="L868" s="260"/>
      <c r="M868" s="260"/>
      <c r="N868" s="260"/>
      <c r="O868" s="536"/>
      <c r="P868" s="536"/>
    </row>
    <row r="869" spans="1:16" ht="12.75" customHeight="1">
      <c r="A869" s="535"/>
      <c r="B869" s="536"/>
      <c r="C869" s="536"/>
      <c r="D869" s="536"/>
      <c r="E869" s="536"/>
      <c r="F869" s="536"/>
      <c r="G869" s="536"/>
      <c r="H869" s="538"/>
      <c r="I869" s="538"/>
      <c r="J869" s="260"/>
      <c r="K869" s="260"/>
      <c r="L869" s="260"/>
      <c r="M869" s="260"/>
      <c r="N869" s="260"/>
      <c r="O869" s="536"/>
      <c r="P869" s="536"/>
    </row>
    <row r="870" spans="1:16" ht="12.75" customHeight="1">
      <c r="A870" s="535"/>
      <c r="B870" s="536"/>
      <c r="C870" s="536"/>
      <c r="D870" s="536"/>
      <c r="E870" s="536"/>
      <c r="F870" s="536"/>
      <c r="G870" s="536"/>
      <c r="H870" s="538"/>
      <c r="I870" s="538"/>
      <c r="J870" s="260"/>
      <c r="K870" s="260"/>
      <c r="L870" s="260"/>
      <c r="M870" s="260"/>
      <c r="N870" s="260"/>
      <c r="O870" s="536"/>
      <c r="P870" s="536"/>
    </row>
    <row r="871" spans="1:16" ht="12.75" customHeight="1">
      <c r="A871" s="535"/>
      <c r="B871" s="536"/>
      <c r="C871" s="536"/>
      <c r="D871" s="536"/>
      <c r="E871" s="536"/>
      <c r="F871" s="536"/>
      <c r="G871" s="536"/>
      <c r="H871" s="538"/>
      <c r="I871" s="538"/>
      <c r="J871" s="260"/>
      <c r="K871" s="260"/>
      <c r="L871" s="260"/>
      <c r="M871" s="260"/>
      <c r="N871" s="260"/>
      <c r="O871" s="536"/>
      <c r="P871" s="536"/>
    </row>
    <row r="872" spans="1:16" ht="12.75" customHeight="1">
      <c r="A872" s="535"/>
      <c r="B872" s="536"/>
      <c r="C872" s="536"/>
      <c r="D872" s="536"/>
      <c r="E872" s="536"/>
      <c r="F872" s="536"/>
      <c r="G872" s="536"/>
      <c r="H872" s="538"/>
      <c r="I872" s="538"/>
      <c r="J872" s="260"/>
      <c r="K872" s="260"/>
      <c r="L872" s="260"/>
      <c r="M872" s="260"/>
      <c r="N872" s="260"/>
      <c r="O872" s="536"/>
      <c r="P872" s="536"/>
    </row>
    <row r="873" spans="1:16" ht="12.75" customHeight="1">
      <c r="A873" s="535"/>
      <c r="B873" s="536"/>
      <c r="C873" s="536"/>
      <c r="D873" s="536"/>
      <c r="E873" s="536"/>
      <c r="F873" s="536"/>
      <c r="G873" s="536"/>
      <c r="H873" s="538"/>
      <c r="I873" s="538"/>
      <c r="J873" s="260"/>
      <c r="K873" s="260"/>
      <c r="L873" s="260"/>
      <c r="M873" s="260"/>
      <c r="N873" s="260"/>
      <c r="O873" s="536"/>
      <c r="P873" s="536"/>
    </row>
    <row r="874" spans="1:16" ht="12.75" customHeight="1">
      <c r="A874" s="535"/>
      <c r="B874" s="536"/>
      <c r="C874" s="536"/>
      <c r="D874" s="536"/>
      <c r="E874" s="536"/>
      <c r="F874" s="536"/>
      <c r="G874" s="536"/>
      <c r="H874" s="538"/>
      <c r="I874" s="538"/>
      <c r="J874" s="260"/>
      <c r="K874" s="260"/>
      <c r="L874" s="260"/>
      <c r="M874" s="260"/>
      <c r="N874" s="260"/>
      <c r="O874" s="536"/>
      <c r="P874" s="536"/>
    </row>
    <row r="875" spans="1:16" ht="12.75" customHeight="1">
      <c r="A875" s="535"/>
      <c r="B875" s="536"/>
      <c r="C875" s="536"/>
      <c r="D875" s="536"/>
      <c r="E875" s="536"/>
      <c r="F875" s="536"/>
      <c r="G875" s="536"/>
      <c r="H875" s="538"/>
      <c r="I875" s="538"/>
      <c r="J875" s="260"/>
      <c r="K875" s="260"/>
      <c r="L875" s="260"/>
      <c r="M875" s="260"/>
      <c r="N875" s="260"/>
      <c r="O875" s="536"/>
      <c r="P875" s="536"/>
    </row>
    <row r="876" spans="1:16" ht="12.75" customHeight="1">
      <c r="A876" s="535"/>
      <c r="B876" s="536"/>
      <c r="C876" s="536"/>
      <c r="D876" s="536"/>
      <c r="E876" s="536"/>
      <c r="F876" s="536"/>
      <c r="G876" s="536"/>
      <c r="H876" s="538"/>
      <c r="I876" s="538"/>
      <c r="J876" s="260"/>
      <c r="K876" s="260"/>
      <c r="L876" s="260"/>
      <c r="M876" s="260"/>
      <c r="N876" s="260"/>
      <c r="O876" s="536"/>
      <c r="P876" s="536"/>
    </row>
    <row r="877" spans="1:16" ht="12.75" customHeight="1">
      <c r="A877" s="535"/>
      <c r="B877" s="536"/>
      <c r="C877" s="536"/>
      <c r="D877" s="536"/>
      <c r="E877" s="536"/>
      <c r="F877" s="536"/>
      <c r="G877" s="536"/>
      <c r="H877" s="538"/>
      <c r="I877" s="538"/>
      <c r="J877" s="260"/>
      <c r="K877" s="260"/>
      <c r="L877" s="260"/>
      <c r="M877" s="260"/>
      <c r="N877" s="260"/>
      <c r="O877" s="536"/>
      <c r="P877" s="536"/>
    </row>
    <row r="878" spans="1:16" ht="12.75" customHeight="1">
      <c r="A878" s="535"/>
      <c r="B878" s="536"/>
      <c r="C878" s="536"/>
      <c r="D878" s="536"/>
      <c r="E878" s="536"/>
      <c r="F878" s="536"/>
      <c r="G878" s="536"/>
      <c r="H878" s="538"/>
      <c r="I878" s="538"/>
      <c r="J878" s="260"/>
      <c r="K878" s="260"/>
      <c r="L878" s="260"/>
      <c r="M878" s="260"/>
      <c r="N878" s="260"/>
      <c r="O878" s="536"/>
      <c r="P878" s="536"/>
    </row>
    <row r="879" spans="1:16" ht="12.75" customHeight="1">
      <c r="A879" s="535"/>
      <c r="B879" s="536"/>
      <c r="C879" s="536"/>
      <c r="D879" s="536"/>
      <c r="E879" s="536"/>
      <c r="F879" s="536"/>
      <c r="G879" s="536"/>
      <c r="H879" s="538"/>
      <c r="I879" s="538"/>
      <c r="J879" s="260"/>
      <c r="K879" s="260"/>
      <c r="L879" s="260"/>
      <c r="M879" s="260"/>
      <c r="N879" s="260"/>
      <c r="O879" s="536"/>
      <c r="P879" s="536"/>
    </row>
    <row r="880" spans="1:16" ht="12.75" customHeight="1">
      <c r="A880" s="535"/>
      <c r="B880" s="536"/>
      <c r="C880" s="536"/>
      <c r="D880" s="536"/>
      <c r="E880" s="536"/>
      <c r="F880" s="536"/>
      <c r="G880" s="536"/>
      <c r="H880" s="538"/>
      <c r="I880" s="538"/>
      <c r="J880" s="260"/>
      <c r="K880" s="260"/>
      <c r="L880" s="260"/>
      <c r="M880" s="260"/>
      <c r="N880" s="260"/>
      <c r="O880" s="536"/>
      <c r="P880" s="536"/>
    </row>
    <row r="881" spans="1:16" ht="12.75" customHeight="1">
      <c r="A881" s="535"/>
      <c r="B881" s="536"/>
      <c r="C881" s="536"/>
      <c r="D881" s="536"/>
      <c r="E881" s="536"/>
      <c r="F881" s="536"/>
      <c r="G881" s="536"/>
      <c r="H881" s="538"/>
      <c r="I881" s="538"/>
      <c r="J881" s="260"/>
      <c r="K881" s="260"/>
      <c r="L881" s="260"/>
      <c r="M881" s="260"/>
      <c r="N881" s="260"/>
      <c r="O881" s="536"/>
      <c r="P881" s="536"/>
    </row>
    <row r="882" spans="1:16" ht="12.75" customHeight="1">
      <c r="A882" s="535"/>
      <c r="B882" s="536"/>
      <c r="C882" s="536"/>
      <c r="D882" s="536"/>
      <c r="E882" s="536"/>
      <c r="F882" s="536"/>
      <c r="G882" s="536"/>
      <c r="H882" s="538"/>
      <c r="I882" s="538"/>
      <c r="J882" s="260"/>
      <c r="K882" s="260"/>
      <c r="L882" s="260"/>
      <c r="M882" s="260"/>
      <c r="N882" s="260"/>
      <c r="O882" s="536"/>
      <c r="P882" s="536"/>
    </row>
    <row r="883" spans="1:16" ht="12.75" customHeight="1">
      <c r="A883" s="535"/>
      <c r="B883" s="536"/>
      <c r="C883" s="536"/>
      <c r="D883" s="536"/>
      <c r="E883" s="536"/>
      <c r="F883" s="536"/>
      <c r="G883" s="536"/>
      <c r="H883" s="538"/>
      <c r="I883" s="538"/>
      <c r="J883" s="260"/>
      <c r="K883" s="260"/>
      <c r="L883" s="260"/>
      <c r="M883" s="260"/>
      <c r="N883" s="260"/>
      <c r="O883" s="536"/>
      <c r="P883" s="536"/>
    </row>
    <row r="884" spans="1:16" ht="12.75" customHeight="1">
      <c r="A884" s="535"/>
      <c r="B884" s="536"/>
      <c r="C884" s="536"/>
      <c r="D884" s="536"/>
      <c r="E884" s="536"/>
      <c r="F884" s="536"/>
      <c r="G884" s="536"/>
      <c r="H884" s="538"/>
      <c r="I884" s="538"/>
      <c r="J884" s="260"/>
      <c r="K884" s="260"/>
      <c r="L884" s="260"/>
      <c r="M884" s="260"/>
      <c r="N884" s="260"/>
      <c r="O884" s="536"/>
      <c r="P884" s="536"/>
    </row>
    <row r="885" spans="1:16" ht="12.75" customHeight="1">
      <c r="A885" s="535"/>
      <c r="B885" s="536"/>
      <c r="C885" s="536"/>
      <c r="D885" s="536"/>
      <c r="E885" s="536"/>
      <c r="F885" s="536"/>
      <c r="G885" s="536"/>
      <c r="H885" s="538"/>
      <c r="I885" s="538"/>
      <c r="J885" s="260"/>
      <c r="K885" s="260"/>
      <c r="L885" s="260"/>
      <c r="M885" s="260"/>
      <c r="N885" s="260"/>
      <c r="O885" s="536"/>
      <c r="P885" s="536"/>
    </row>
    <row r="886" spans="1:16" ht="12.75" customHeight="1">
      <c r="A886" s="535"/>
      <c r="B886" s="536"/>
      <c r="C886" s="536"/>
      <c r="D886" s="536"/>
      <c r="E886" s="536"/>
      <c r="F886" s="536"/>
      <c r="G886" s="536"/>
      <c r="H886" s="538"/>
      <c r="I886" s="538"/>
      <c r="J886" s="260"/>
      <c r="K886" s="260"/>
      <c r="L886" s="260"/>
      <c r="M886" s="260"/>
      <c r="N886" s="260"/>
      <c r="O886" s="536"/>
      <c r="P886" s="536"/>
    </row>
    <row r="887" spans="1:16" ht="12.75" customHeight="1">
      <c r="A887" s="535"/>
      <c r="B887" s="536"/>
      <c r="C887" s="536"/>
      <c r="D887" s="536"/>
      <c r="E887" s="536"/>
      <c r="F887" s="536"/>
      <c r="G887" s="536"/>
      <c r="H887" s="538"/>
      <c r="I887" s="538"/>
      <c r="J887" s="260"/>
      <c r="K887" s="260"/>
      <c r="L887" s="260"/>
      <c r="M887" s="260"/>
      <c r="N887" s="260"/>
      <c r="O887" s="536"/>
      <c r="P887" s="536"/>
    </row>
    <row r="888" spans="1:16" ht="12.75" customHeight="1">
      <c r="A888" s="535"/>
      <c r="B888" s="536"/>
      <c r="C888" s="536"/>
      <c r="D888" s="536"/>
      <c r="E888" s="536"/>
      <c r="F888" s="536"/>
      <c r="G888" s="536"/>
      <c r="H888" s="538"/>
      <c r="I888" s="538"/>
      <c r="J888" s="260"/>
      <c r="K888" s="260"/>
      <c r="L888" s="260"/>
      <c r="M888" s="260"/>
      <c r="N888" s="260"/>
      <c r="O888" s="536"/>
      <c r="P888" s="536"/>
    </row>
    <row r="889" spans="1:16" ht="12.75" customHeight="1">
      <c r="A889" s="535"/>
      <c r="B889" s="536"/>
      <c r="C889" s="536"/>
      <c r="D889" s="536"/>
      <c r="E889" s="536"/>
      <c r="F889" s="536"/>
      <c r="G889" s="536"/>
      <c r="H889" s="538"/>
      <c r="I889" s="538"/>
      <c r="J889" s="260"/>
      <c r="K889" s="260"/>
      <c r="L889" s="260"/>
      <c r="M889" s="260"/>
      <c r="N889" s="260"/>
      <c r="O889" s="536"/>
      <c r="P889" s="536"/>
    </row>
    <row r="890" spans="1:16" ht="12.75" customHeight="1">
      <c r="A890" s="535"/>
      <c r="B890" s="536"/>
      <c r="C890" s="536"/>
      <c r="D890" s="536"/>
      <c r="E890" s="536"/>
      <c r="F890" s="536"/>
      <c r="G890" s="536"/>
      <c r="H890" s="538"/>
      <c r="I890" s="538"/>
      <c r="J890" s="260"/>
      <c r="K890" s="260"/>
      <c r="L890" s="260"/>
      <c r="M890" s="260"/>
      <c r="N890" s="260"/>
      <c r="O890" s="536"/>
      <c r="P890" s="536"/>
    </row>
    <row r="891" spans="1:16" ht="12.75" customHeight="1">
      <c r="A891" s="535"/>
      <c r="B891" s="536"/>
      <c r="C891" s="536"/>
      <c r="D891" s="536"/>
      <c r="E891" s="536"/>
      <c r="F891" s="536"/>
      <c r="G891" s="536"/>
      <c r="H891" s="538"/>
      <c r="I891" s="538"/>
      <c r="J891" s="260"/>
      <c r="K891" s="260"/>
      <c r="L891" s="260"/>
      <c r="M891" s="260"/>
      <c r="N891" s="260"/>
      <c r="O891" s="536"/>
      <c r="P891" s="536"/>
    </row>
    <row r="892" spans="1:16" ht="12.75" customHeight="1">
      <c r="A892" s="535"/>
      <c r="B892" s="536"/>
      <c r="C892" s="536"/>
      <c r="D892" s="536"/>
      <c r="E892" s="536"/>
      <c r="F892" s="536"/>
      <c r="G892" s="536"/>
      <c r="H892" s="538"/>
      <c r="I892" s="538"/>
      <c r="J892" s="260"/>
      <c r="K892" s="260"/>
      <c r="L892" s="260"/>
      <c r="M892" s="260"/>
      <c r="N892" s="260"/>
      <c r="O892" s="536"/>
      <c r="P892" s="536"/>
    </row>
    <row r="893" spans="1:16" ht="12.75" customHeight="1">
      <c r="A893" s="535"/>
      <c r="B893" s="536"/>
      <c r="C893" s="536"/>
      <c r="D893" s="536"/>
      <c r="E893" s="536"/>
      <c r="F893" s="536"/>
      <c r="G893" s="536"/>
      <c r="H893" s="538"/>
      <c r="I893" s="538"/>
      <c r="J893" s="260"/>
      <c r="K893" s="260"/>
      <c r="L893" s="260"/>
      <c r="M893" s="260"/>
      <c r="N893" s="260"/>
      <c r="O893" s="536"/>
      <c r="P893" s="536"/>
    </row>
    <row r="894" spans="1:16" ht="12.75" customHeight="1">
      <c r="A894" s="535"/>
      <c r="B894" s="536"/>
      <c r="C894" s="536"/>
      <c r="D894" s="536"/>
      <c r="E894" s="536"/>
      <c r="F894" s="536"/>
      <c r="G894" s="536"/>
      <c r="H894" s="538"/>
      <c r="I894" s="538"/>
      <c r="J894" s="260"/>
      <c r="K894" s="260"/>
      <c r="L894" s="260"/>
      <c r="M894" s="260"/>
      <c r="N894" s="260"/>
      <c r="O894" s="536"/>
      <c r="P894" s="536"/>
    </row>
    <row r="895" spans="1:16" ht="12.75" customHeight="1">
      <c r="A895" s="535"/>
      <c r="B895" s="536"/>
      <c r="C895" s="536"/>
      <c r="D895" s="536"/>
      <c r="E895" s="536"/>
      <c r="F895" s="536"/>
      <c r="G895" s="536"/>
      <c r="H895" s="538"/>
      <c r="I895" s="538"/>
      <c r="J895" s="260"/>
      <c r="K895" s="260"/>
      <c r="L895" s="260"/>
      <c r="M895" s="260"/>
      <c r="N895" s="260"/>
      <c r="O895" s="536"/>
      <c r="P895" s="536"/>
    </row>
    <row r="896" spans="1:16" ht="12.75" customHeight="1">
      <c r="A896" s="535"/>
      <c r="B896" s="536"/>
      <c r="C896" s="536"/>
      <c r="D896" s="536"/>
      <c r="E896" s="536"/>
      <c r="F896" s="536"/>
      <c r="G896" s="536"/>
      <c r="H896" s="538"/>
      <c r="I896" s="538"/>
      <c r="J896" s="260"/>
      <c r="K896" s="260"/>
      <c r="L896" s="260"/>
      <c r="M896" s="260"/>
      <c r="N896" s="260"/>
      <c r="O896" s="536"/>
      <c r="P896" s="536"/>
    </row>
    <row r="897" spans="1:16" ht="12.75" customHeight="1">
      <c r="A897" s="535"/>
      <c r="B897" s="536"/>
      <c r="C897" s="536"/>
      <c r="D897" s="536"/>
      <c r="E897" s="536"/>
      <c r="F897" s="536"/>
      <c r="G897" s="536"/>
      <c r="H897" s="538"/>
      <c r="I897" s="538"/>
      <c r="J897" s="260"/>
      <c r="K897" s="260"/>
      <c r="L897" s="260"/>
      <c r="M897" s="260"/>
      <c r="N897" s="260"/>
      <c r="O897" s="536"/>
      <c r="P897" s="536"/>
    </row>
    <row r="898" spans="1:16" ht="12.75" customHeight="1">
      <c r="A898" s="535"/>
      <c r="B898" s="536"/>
      <c r="C898" s="536"/>
      <c r="D898" s="536"/>
      <c r="E898" s="536"/>
      <c r="F898" s="536"/>
      <c r="G898" s="536"/>
      <c r="H898" s="538"/>
      <c r="I898" s="538"/>
      <c r="J898" s="260"/>
      <c r="K898" s="260"/>
      <c r="L898" s="260"/>
      <c r="M898" s="260"/>
      <c r="N898" s="260"/>
      <c r="O898" s="536"/>
      <c r="P898" s="536"/>
    </row>
    <row r="899" spans="1:16" ht="12.75" customHeight="1">
      <c r="A899" s="535"/>
      <c r="B899" s="536"/>
      <c r="C899" s="536"/>
      <c r="D899" s="536"/>
      <c r="E899" s="536"/>
      <c r="F899" s="536"/>
      <c r="G899" s="536"/>
      <c r="H899" s="538"/>
      <c r="I899" s="538"/>
      <c r="J899" s="260"/>
      <c r="K899" s="260"/>
      <c r="L899" s="260"/>
      <c r="M899" s="260"/>
      <c r="N899" s="260"/>
      <c r="O899" s="536"/>
      <c r="P899" s="536"/>
    </row>
    <row r="900" spans="1:16" ht="12.75" customHeight="1">
      <c r="A900" s="535"/>
      <c r="B900" s="536"/>
      <c r="C900" s="536"/>
      <c r="D900" s="536"/>
      <c r="E900" s="536"/>
      <c r="F900" s="536"/>
      <c r="G900" s="536"/>
      <c r="H900" s="538"/>
      <c r="I900" s="538"/>
      <c r="J900" s="260"/>
      <c r="K900" s="260"/>
      <c r="L900" s="260"/>
      <c r="M900" s="260"/>
      <c r="N900" s="260"/>
      <c r="O900" s="536"/>
      <c r="P900" s="536"/>
    </row>
    <row r="901" spans="1:16" ht="12.75" customHeight="1">
      <c r="A901" s="535"/>
      <c r="B901" s="536"/>
      <c r="C901" s="536"/>
      <c r="D901" s="536"/>
      <c r="E901" s="536"/>
      <c r="F901" s="536"/>
      <c r="G901" s="536"/>
      <c r="H901" s="538"/>
      <c r="I901" s="538"/>
      <c r="J901" s="260"/>
      <c r="K901" s="260"/>
      <c r="L901" s="260"/>
      <c r="M901" s="260"/>
      <c r="N901" s="260"/>
      <c r="O901" s="536"/>
      <c r="P901" s="536"/>
    </row>
    <row r="902" spans="1:16" ht="12.75" customHeight="1">
      <c r="A902" s="535"/>
      <c r="B902" s="536"/>
      <c r="C902" s="536"/>
      <c r="D902" s="536"/>
      <c r="E902" s="536"/>
      <c r="F902" s="536"/>
      <c r="G902" s="536"/>
      <c r="H902" s="538"/>
      <c r="I902" s="538"/>
      <c r="J902" s="260"/>
      <c r="K902" s="260"/>
      <c r="L902" s="260"/>
      <c r="M902" s="260"/>
      <c r="N902" s="260"/>
      <c r="O902" s="536"/>
      <c r="P902" s="536"/>
    </row>
    <row r="903" spans="1:16" ht="12.75" customHeight="1">
      <c r="A903" s="535"/>
      <c r="B903" s="536"/>
      <c r="C903" s="536"/>
      <c r="D903" s="536"/>
      <c r="E903" s="536"/>
      <c r="F903" s="536"/>
      <c r="G903" s="536"/>
      <c r="H903" s="538"/>
      <c r="I903" s="538"/>
      <c r="J903" s="260"/>
      <c r="K903" s="260"/>
      <c r="L903" s="260"/>
      <c r="M903" s="260"/>
      <c r="N903" s="260"/>
      <c r="O903" s="536"/>
      <c r="P903" s="536"/>
    </row>
    <row r="904" spans="1:16" ht="12.75" customHeight="1">
      <c r="A904" s="535"/>
      <c r="B904" s="536"/>
      <c r="C904" s="536"/>
      <c r="D904" s="536"/>
      <c r="E904" s="536"/>
      <c r="F904" s="536"/>
      <c r="G904" s="536"/>
      <c r="H904" s="538"/>
      <c r="I904" s="538"/>
      <c r="J904" s="260"/>
      <c r="K904" s="260"/>
      <c r="L904" s="260"/>
      <c r="M904" s="260"/>
      <c r="N904" s="260"/>
      <c r="O904" s="536"/>
      <c r="P904" s="536"/>
    </row>
    <row r="905" spans="1:16" ht="12.75" customHeight="1">
      <c r="A905" s="535"/>
      <c r="B905" s="536"/>
      <c r="C905" s="536"/>
      <c r="D905" s="536"/>
      <c r="E905" s="536"/>
      <c r="F905" s="536"/>
      <c r="G905" s="536"/>
      <c r="H905" s="538"/>
      <c r="I905" s="538"/>
      <c r="J905" s="260"/>
      <c r="K905" s="260"/>
      <c r="L905" s="260"/>
      <c r="M905" s="260"/>
      <c r="N905" s="260"/>
      <c r="O905" s="536"/>
      <c r="P905" s="536"/>
    </row>
    <row r="906" spans="1:16" ht="12.75" customHeight="1">
      <c r="A906" s="535"/>
      <c r="B906" s="536"/>
      <c r="C906" s="536"/>
      <c r="D906" s="536"/>
      <c r="E906" s="536"/>
      <c r="F906" s="536"/>
      <c r="G906" s="536"/>
      <c r="H906" s="538"/>
      <c r="I906" s="538"/>
      <c r="J906" s="260"/>
      <c r="K906" s="260"/>
      <c r="L906" s="260"/>
      <c r="M906" s="260"/>
      <c r="N906" s="260"/>
      <c r="O906" s="536"/>
      <c r="P906" s="536"/>
    </row>
    <row r="907" spans="1:16" ht="12.75" customHeight="1">
      <c r="A907" s="535"/>
      <c r="B907" s="536"/>
      <c r="C907" s="536"/>
      <c r="D907" s="536"/>
      <c r="E907" s="536"/>
      <c r="F907" s="536"/>
      <c r="G907" s="536"/>
      <c r="H907" s="538"/>
      <c r="I907" s="538"/>
      <c r="J907" s="260"/>
      <c r="K907" s="260"/>
      <c r="L907" s="260"/>
      <c r="M907" s="260"/>
      <c r="N907" s="260"/>
      <c r="O907" s="536"/>
      <c r="P907" s="536"/>
    </row>
    <row r="908" spans="1:16" ht="12.75" customHeight="1">
      <c r="A908" s="535"/>
      <c r="B908" s="536"/>
      <c r="C908" s="536"/>
      <c r="D908" s="536"/>
      <c r="E908" s="536"/>
      <c r="F908" s="536"/>
      <c r="G908" s="536"/>
      <c r="H908" s="538"/>
      <c r="I908" s="538"/>
      <c r="J908" s="260"/>
      <c r="K908" s="260"/>
      <c r="L908" s="260"/>
      <c r="M908" s="260"/>
      <c r="N908" s="260"/>
      <c r="O908" s="536"/>
      <c r="P908" s="536"/>
    </row>
    <row r="909" spans="1:16" ht="12.75" customHeight="1">
      <c r="A909" s="535"/>
      <c r="B909" s="536"/>
      <c r="C909" s="536"/>
      <c r="D909" s="536"/>
      <c r="E909" s="536"/>
      <c r="F909" s="536"/>
      <c r="G909" s="536"/>
      <c r="H909" s="538"/>
      <c r="I909" s="538"/>
      <c r="J909" s="260"/>
      <c r="K909" s="260"/>
      <c r="L909" s="260"/>
      <c r="M909" s="260"/>
      <c r="N909" s="260"/>
      <c r="O909" s="536"/>
      <c r="P909" s="536"/>
    </row>
    <row r="910" spans="1:16" ht="12.75" customHeight="1">
      <c r="A910" s="535"/>
      <c r="B910" s="536"/>
      <c r="C910" s="536"/>
      <c r="D910" s="536"/>
      <c r="E910" s="536"/>
      <c r="F910" s="536"/>
      <c r="G910" s="536"/>
      <c r="H910" s="538"/>
      <c r="I910" s="538"/>
      <c r="J910" s="260"/>
      <c r="K910" s="260"/>
      <c r="L910" s="260"/>
      <c r="M910" s="260"/>
      <c r="N910" s="260"/>
      <c r="O910" s="536"/>
      <c r="P910" s="536"/>
    </row>
    <row r="911" spans="1:16" ht="12.75" customHeight="1">
      <c r="A911" s="535"/>
      <c r="B911" s="536"/>
      <c r="C911" s="536"/>
      <c r="D911" s="536"/>
      <c r="E911" s="536"/>
      <c r="F911" s="536"/>
      <c r="G911" s="536"/>
      <c r="H911" s="538"/>
      <c r="I911" s="538"/>
      <c r="J911" s="260"/>
      <c r="K911" s="260"/>
      <c r="L911" s="260"/>
      <c r="M911" s="260"/>
      <c r="N911" s="260"/>
      <c r="O911" s="536"/>
      <c r="P911" s="536"/>
    </row>
    <row r="912" spans="1:16" ht="12.75" customHeight="1">
      <c r="A912" s="535"/>
      <c r="B912" s="536"/>
      <c r="C912" s="536"/>
      <c r="D912" s="536"/>
      <c r="E912" s="536"/>
      <c r="F912" s="536"/>
      <c r="G912" s="536"/>
      <c r="H912" s="538"/>
      <c r="I912" s="538"/>
      <c r="J912" s="260"/>
      <c r="K912" s="260"/>
      <c r="L912" s="260"/>
      <c r="M912" s="260"/>
      <c r="N912" s="260"/>
      <c r="O912" s="536"/>
      <c r="P912" s="536"/>
    </row>
    <row r="913" spans="1:16" ht="12.75" customHeight="1">
      <c r="A913" s="535"/>
      <c r="B913" s="536"/>
      <c r="C913" s="536"/>
      <c r="D913" s="536"/>
      <c r="E913" s="536"/>
      <c r="F913" s="536"/>
      <c r="G913" s="536"/>
      <c r="H913" s="538"/>
      <c r="I913" s="538"/>
      <c r="J913" s="260"/>
      <c r="K913" s="260"/>
      <c r="L913" s="260"/>
      <c r="M913" s="260"/>
      <c r="N913" s="260"/>
      <c r="O913" s="536"/>
      <c r="P913" s="536"/>
    </row>
    <row r="914" spans="1:16" ht="12.75" customHeight="1">
      <c r="A914" s="535"/>
      <c r="B914" s="536"/>
      <c r="C914" s="536"/>
      <c r="D914" s="536"/>
      <c r="E914" s="536"/>
      <c r="F914" s="536"/>
      <c r="G914" s="536"/>
      <c r="H914" s="538"/>
      <c r="I914" s="538"/>
      <c r="J914" s="260"/>
      <c r="K914" s="260"/>
      <c r="L914" s="260"/>
      <c r="M914" s="260"/>
      <c r="N914" s="260"/>
      <c r="O914" s="536"/>
      <c r="P914" s="536"/>
    </row>
    <row r="915" spans="1:16" ht="12.75" customHeight="1">
      <c r="A915" s="535"/>
      <c r="B915" s="536"/>
      <c r="C915" s="536"/>
      <c r="D915" s="536"/>
      <c r="E915" s="536"/>
      <c r="F915" s="536"/>
      <c r="G915" s="536"/>
      <c r="H915" s="538"/>
      <c r="I915" s="538"/>
      <c r="J915" s="260"/>
      <c r="K915" s="260"/>
      <c r="L915" s="260"/>
      <c r="M915" s="260"/>
      <c r="N915" s="260"/>
      <c r="O915" s="536"/>
      <c r="P915" s="536"/>
    </row>
    <row r="916" spans="1:16" ht="12.75" customHeight="1">
      <c r="A916" s="535"/>
      <c r="B916" s="536"/>
      <c r="C916" s="536"/>
      <c r="D916" s="536"/>
      <c r="E916" s="536"/>
      <c r="F916" s="536"/>
      <c r="G916" s="536"/>
      <c r="H916" s="538"/>
      <c r="I916" s="538"/>
      <c r="J916" s="260"/>
      <c r="K916" s="260"/>
      <c r="L916" s="260"/>
      <c r="M916" s="260"/>
      <c r="N916" s="260"/>
      <c r="O916" s="536"/>
      <c r="P916" s="536"/>
    </row>
    <row r="917" spans="1:16" ht="12.75" customHeight="1">
      <c r="A917" s="535"/>
      <c r="B917" s="536"/>
      <c r="C917" s="536"/>
      <c r="D917" s="536"/>
      <c r="E917" s="536"/>
      <c r="F917" s="536"/>
      <c r="G917" s="536"/>
      <c r="H917" s="538"/>
      <c r="I917" s="538"/>
      <c r="J917" s="260"/>
      <c r="K917" s="260"/>
      <c r="L917" s="260"/>
      <c r="M917" s="260"/>
      <c r="N917" s="260"/>
      <c r="O917" s="536"/>
      <c r="P917" s="536"/>
    </row>
    <row r="918" spans="1:16" ht="12.75" customHeight="1">
      <c r="A918" s="535"/>
      <c r="B918" s="536"/>
      <c r="C918" s="536"/>
      <c r="D918" s="536"/>
      <c r="E918" s="536"/>
      <c r="F918" s="536"/>
      <c r="G918" s="536"/>
      <c r="H918" s="538"/>
      <c r="I918" s="538"/>
      <c r="J918" s="260"/>
      <c r="K918" s="260"/>
      <c r="L918" s="260"/>
      <c r="M918" s="260"/>
      <c r="N918" s="260"/>
      <c r="O918" s="536"/>
      <c r="P918" s="536"/>
    </row>
    <row r="919" spans="1:16" ht="12.75" customHeight="1">
      <c r="A919" s="535"/>
      <c r="B919" s="536"/>
      <c r="C919" s="536"/>
      <c r="D919" s="536"/>
      <c r="E919" s="536"/>
      <c r="F919" s="536"/>
      <c r="G919" s="536"/>
      <c r="H919" s="538"/>
      <c r="I919" s="538"/>
      <c r="J919" s="260"/>
      <c r="K919" s="260"/>
      <c r="L919" s="260"/>
      <c r="M919" s="260"/>
      <c r="N919" s="260"/>
      <c r="O919" s="536"/>
      <c r="P919" s="536"/>
    </row>
    <row r="920" spans="1:16" ht="12.75" customHeight="1">
      <c r="A920" s="535"/>
      <c r="B920" s="536"/>
      <c r="C920" s="536"/>
      <c r="D920" s="536"/>
      <c r="E920" s="536"/>
      <c r="F920" s="536"/>
      <c r="G920" s="536"/>
      <c r="H920" s="538"/>
      <c r="I920" s="538"/>
      <c r="J920" s="260"/>
      <c r="K920" s="260"/>
      <c r="L920" s="260"/>
      <c r="M920" s="260"/>
      <c r="N920" s="260"/>
      <c r="O920" s="536"/>
      <c r="P920" s="536"/>
    </row>
    <row r="921" spans="1:16" ht="12.75" customHeight="1">
      <c r="A921" s="535"/>
      <c r="B921" s="536"/>
      <c r="C921" s="536"/>
      <c r="D921" s="536"/>
      <c r="E921" s="536"/>
      <c r="F921" s="536"/>
      <c r="G921" s="536"/>
      <c r="H921" s="538"/>
      <c r="I921" s="538"/>
      <c r="J921" s="260"/>
      <c r="K921" s="260"/>
      <c r="L921" s="260"/>
      <c r="M921" s="260"/>
      <c r="N921" s="260"/>
      <c r="O921" s="536"/>
      <c r="P921" s="536"/>
    </row>
    <row r="922" spans="1:16" ht="12.75" customHeight="1">
      <c r="A922" s="535"/>
      <c r="B922" s="536"/>
      <c r="C922" s="536"/>
      <c r="D922" s="536"/>
      <c r="E922" s="536"/>
      <c r="F922" s="536"/>
      <c r="G922" s="536"/>
      <c r="H922" s="538"/>
      <c r="I922" s="538"/>
      <c r="J922" s="260"/>
      <c r="K922" s="260"/>
      <c r="L922" s="260"/>
      <c r="M922" s="260"/>
      <c r="N922" s="260"/>
      <c r="O922" s="536"/>
      <c r="P922" s="536"/>
    </row>
    <row r="923" spans="1:16" ht="12.75" customHeight="1">
      <c r="A923" s="535"/>
      <c r="B923" s="536"/>
      <c r="C923" s="536"/>
      <c r="D923" s="536"/>
      <c r="E923" s="536"/>
      <c r="F923" s="536"/>
      <c r="G923" s="536"/>
      <c r="H923" s="538"/>
      <c r="I923" s="538"/>
      <c r="J923" s="260"/>
      <c r="K923" s="260"/>
      <c r="L923" s="260"/>
      <c r="M923" s="260"/>
      <c r="N923" s="260"/>
      <c r="O923" s="536"/>
      <c r="P923" s="536"/>
    </row>
    <row r="924" spans="1:16" ht="12.75" customHeight="1">
      <c r="A924" s="535"/>
      <c r="B924" s="536"/>
      <c r="C924" s="536"/>
      <c r="D924" s="536"/>
      <c r="E924" s="536"/>
      <c r="F924" s="536"/>
      <c r="G924" s="536"/>
      <c r="H924" s="538"/>
      <c r="I924" s="538"/>
      <c r="J924" s="260"/>
      <c r="K924" s="260"/>
      <c r="L924" s="260"/>
      <c r="M924" s="260"/>
      <c r="N924" s="260"/>
      <c r="O924" s="536"/>
      <c r="P924" s="536"/>
    </row>
    <row r="925" spans="1:16" ht="12.75" customHeight="1">
      <c r="A925" s="535"/>
      <c r="B925" s="536"/>
      <c r="C925" s="536"/>
      <c r="D925" s="536"/>
      <c r="E925" s="536"/>
      <c r="F925" s="536"/>
      <c r="G925" s="536"/>
      <c r="H925" s="538"/>
      <c r="I925" s="538"/>
      <c r="J925" s="260"/>
      <c r="K925" s="260"/>
      <c r="L925" s="260"/>
      <c r="M925" s="260"/>
      <c r="N925" s="260"/>
      <c r="O925" s="536"/>
      <c r="P925" s="536"/>
    </row>
    <row r="926" spans="1:16" ht="12.75" customHeight="1">
      <c r="A926" s="535"/>
      <c r="B926" s="536"/>
      <c r="C926" s="536"/>
      <c r="D926" s="536"/>
      <c r="E926" s="536"/>
      <c r="F926" s="536"/>
      <c r="G926" s="536"/>
      <c r="H926" s="538"/>
      <c r="I926" s="538"/>
      <c r="J926" s="260"/>
      <c r="K926" s="260"/>
      <c r="L926" s="260"/>
      <c r="M926" s="260"/>
      <c r="N926" s="260"/>
      <c r="O926" s="536"/>
      <c r="P926" s="536"/>
    </row>
    <row r="927" spans="1:16" ht="12.75" customHeight="1">
      <c r="A927" s="535"/>
      <c r="B927" s="536"/>
      <c r="C927" s="536"/>
      <c r="D927" s="536"/>
      <c r="E927" s="536"/>
      <c r="F927" s="536"/>
      <c r="G927" s="536"/>
      <c r="H927" s="538"/>
      <c r="I927" s="538"/>
      <c r="J927" s="260"/>
      <c r="K927" s="260"/>
      <c r="L927" s="260"/>
      <c r="M927" s="260"/>
      <c r="N927" s="260"/>
      <c r="O927" s="536"/>
      <c r="P927" s="536"/>
    </row>
    <row r="928" spans="1:16" ht="12.75" customHeight="1">
      <c r="A928" s="535"/>
      <c r="B928" s="536"/>
      <c r="C928" s="536"/>
      <c r="D928" s="536"/>
      <c r="E928" s="536"/>
      <c r="F928" s="536"/>
      <c r="G928" s="536"/>
      <c r="H928" s="538"/>
      <c r="I928" s="538"/>
      <c r="J928" s="260"/>
      <c r="K928" s="260"/>
      <c r="L928" s="260"/>
      <c r="M928" s="260"/>
      <c r="N928" s="260"/>
      <c r="O928" s="536"/>
      <c r="P928" s="536"/>
    </row>
    <row r="929" spans="1:16" ht="12.75" customHeight="1">
      <c r="A929" s="535"/>
      <c r="B929" s="536"/>
      <c r="C929" s="536"/>
      <c r="D929" s="536"/>
      <c r="E929" s="536"/>
      <c r="F929" s="536"/>
      <c r="G929" s="536"/>
      <c r="H929" s="538"/>
      <c r="I929" s="538"/>
      <c r="J929" s="260"/>
      <c r="K929" s="260"/>
      <c r="L929" s="260"/>
      <c r="M929" s="260"/>
      <c r="N929" s="260"/>
      <c r="O929" s="536"/>
      <c r="P929" s="536"/>
    </row>
    <row r="930" spans="1:16" ht="12.75" customHeight="1">
      <c r="A930" s="535"/>
      <c r="B930" s="536"/>
      <c r="C930" s="536"/>
      <c r="D930" s="536"/>
      <c r="E930" s="536"/>
      <c r="F930" s="536"/>
      <c r="G930" s="536"/>
      <c r="H930" s="538"/>
      <c r="I930" s="538"/>
      <c r="J930" s="260"/>
      <c r="K930" s="260"/>
      <c r="L930" s="260"/>
      <c r="M930" s="260"/>
      <c r="N930" s="260"/>
      <c r="O930" s="536"/>
      <c r="P930" s="536"/>
    </row>
    <row r="931" spans="1:16" ht="12.75" customHeight="1">
      <c r="A931" s="535"/>
      <c r="B931" s="536"/>
      <c r="C931" s="536"/>
      <c r="D931" s="536"/>
      <c r="E931" s="536"/>
      <c r="F931" s="536"/>
      <c r="G931" s="536"/>
      <c r="H931" s="538"/>
      <c r="I931" s="538"/>
      <c r="J931" s="260"/>
      <c r="K931" s="260"/>
      <c r="L931" s="260"/>
      <c r="M931" s="260"/>
      <c r="N931" s="260"/>
      <c r="O931" s="536"/>
      <c r="P931" s="536"/>
    </row>
    <row r="932" spans="1:16" ht="12.75" customHeight="1">
      <c r="A932" s="535"/>
      <c r="B932" s="536"/>
      <c r="C932" s="536"/>
      <c r="D932" s="536"/>
      <c r="E932" s="536"/>
      <c r="F932" s="536"/>
      <c r="G932" s="536"/>
      <c r="H932" s="538"/>
      <c r="I932" s="538"/>
      <c r="J932" s="260"/>
      <c r="K932" s="260"/>
      <c r="L932" s="260"/>
      <c r="M932" s="260"/>
      <c r="N932" s="260"/>
      <c r="O932" s="536"/>
      <c r="P932" s="536"/>
    </row>
    <row r="933" spans="1:16" ht="12.75" customHeight="1">
      <c r="A933" s="535"/>
      <c r="B933" s="536"/>
      <c r="C933" s="536"/>
      <c r="D933" s="536"/>
      <c r="E933" s="536"/>
      <c r="F933" s="536"/>
      <c r="G933" s="536"/>
      <c r="H933" s="538"/>
      <c r="I933" s="538"/>
      <c r="J933" s="260"/>
      <c r="K933" s="260"/>
      <c r="L933" s="260"/>
      <c r="M933" s="260"/>
      <c r="N933" s="260"/>
      <c r="O933" s="536"/>
      <c r="P933" s="536"/>
    </row>
    <row r="934" spans="1:16" ht="12.75" customHeight="1">
      <c r="A934" s="535"/>
      <c r="B934" s="536"/>
      <c r="C934" s="536"/>
      <c r="D934" s="536"/>
      <c r="E934" s="536"/>
      <c r="F934" s="536"/>
      <c r="G934" s="536"/>
      <c r="H934" s="538"/>
      <c r="I934" s="538"/>
      <c r="J934" s="260"/>
      <c r="K934" s="260"/>
      <c r="L934" s="260"/>
      <c r="M934" s="260"/>
      <c r="N934" s="260"/>
      <c r="O934" s="536"/>
      <c r="P934" s="536"/>
    </row>
    <row r="935" spans="1:16" ht="12.75" customHeight="1">
      <c r="A935" s="535"/>
      <c r="B935" s="536"/>
      <c r="C935" s="536"/>
      <c r="D935" s="536"/>
      <c r="E935" s="536"/>
      <c r="F935" s="536"/>
      <c r="G935" s="536"/>
      <c r="H935" s="538"/>
      <c r="I935" s="538"/>
      <c r="J935" s="260"/>
      <c r="K935" s="260"/>
      <c r="L935" s="260"/>
      <c r="M935" s="260"/>
      <c r="N935" s="260"/>
      <c r="O935" s="536"/>
      <c r="P935" s="536"/>
    </row>
    <row r="936" spans="1:16" ht="12.75" customHeight="1">
      <c r="A936" s="535"/>
      <c r="B936" s="536"/>
      <c r="C936" s="536"/>
      <c r="D936" s="536"/>
      <c r="E936" s="536"/>
      <c r="F936" s="536"/>
      <c r="G936" s="536"/>
      <c r="H936" s="538"/>
      <c r="I936" s="538"/>
      <c r="J936" s="260"/>
      <c r="K936" s="260"/>
      <c r="L936" s="260"/>
      <c r="M936" s="260"/>
      <c r="N936" s="260"/>
      <c r="O936" s="536"/>
      <c r="P936" s="536"/>
    </row>
    <row r="937" spans="1:16" ht="12.75" customHeight="1">
      <c r="A937" s="535"/>
      <c r="B937" s="536"/>
      <c r="C937" s="536"/>
      <c r="D937" s="536"/>
      <c r="E937" s="536"/>
      <c r="F937" s="536"/>
      <c r="G937" s="536"/>
      <c r="H937" s="538"/>
      <c r="I937" s="538"/>
      <c r="J937" s="260"/>
      <c r="K937" s="260"/>
      <c r="L937" s="260"/>
      <c r="M937" s="260"/>
      <c r="N937" s="260"/>
      <c r="O937" s="536"/>
      <c r="P937" s="536"/>
    </row>
    <row r="938" spans="1:16" ht="12.75" customHeight="1">
      <c r="A938" s="535"/>
      <c r="B938" s="536"/>
      <c r="C938" s="536"/>
      <c r="D938" s="536"/>
      <c r="E938" s="536"/>
      <c r="F938" s="536"/>
      <c r="G938" s="536"/>
      <c r="H938" s="538"/>
      <c r="I938" s="538"/>
      <c r="J938" s="260"/>
      <c r="K938" s="260"/>
      <c r="L938" s="260"/>
      <c r="M938" s="260"/>
      <c r="N938" s="260"/>
      <c r="O938" s="536"/>
      <c r="P938" s="536"/>
    </row>
    <row r="939" spans="1:16" ht="12.75" customHeight="1">
      <c r="A939" s="535"/>
      <c r="B939" s="536"/>
      <c r="C939" s="536"/>
      <c r="D939" s="536"/>
      <c r="E939" s="536"/>
      <c r="F939" s="536"/>
      <c r="G939" s="536"/>
      <c r="H939" s="538"/>
      <c r="I939" s="538"/>
      <c r="J939" s="260"/>
      <c r="K939" s="260"/>
      <c r="L939" s="260"/>
      <c r="M939" s="260"/>
      <c r="N939" s="260"/>
      <c r="O939" s="536"/>
      <c r="P939" s="536"/>
    </row>
    <row r="940" spans="1:16" ht="12.75" customHeight="1">
      <c r="A940" s="535"/>
      <c r="B940" s="536"/>
      <c r="C940" s="536"/>
      <c r="D940" s="536"/>
      <c r="E940" s="536"/>
      <c r="F940" s="536"/>
      <c r="G940" s="536"/>
      <c r="H940" s="538"/>
      <c r="I940" s="538"/>
      <c r="J940" s="260"/>
      <c r="K940" s="260"/>
      <c r="L940" s="260"/>
      <c r="M940" s="260"/>
      <c r="N940" s="260"/>
      <c r="O940" s="536"/>
      <c r="P940" s="536"/>
    </row>
    <row r="941" spans="1:16" ht="12.75" customHeight="1">
      <c r="A941" s="535"/>
      <c r="B941" s="536"/>
      <c r="C941" s="536"/>
      <c r="D941" s="536"/>
      <c r="E941" s="536"/>
      <c r="F941" s="536"/>
      <c r="G941" s="536"/>
      <c r="H941" s="538"/>
      <c r="I941" s="538"/>
      <c r="J941" s="260"/>
      <c r="K941" s="260"/>
      <c r="L941" s="260"/>
      <c r="M941" s="260"/>
      <c r="N941" s="260"/>
      <c r="O941" s="536"/>
      <c r="P941" s="536"/>
    </row>
    <row r="942" spans="1:16" ht="12.75" customHeight="1">
      <c r="A942" s="535"/>
      <c r="B942" s="536"/>
      <c r="C942" s="536"/>
      <c r="D942" s="536"/>
      <c r="E942" s="536"/>
      <c r="F942" s="536"/>
      <c r="G942" s="536"/>
      <c r="H942" s="538"/>
      <c r="I942" s="538"/>
      <c r="J942" s="260"/>
      <c r="K942" s="260"/>
      <c r="L942" s="260"/>
      <c r="M942" s="260"/>
      <c r="N942" s="260"/>
      <c r="O942" s="536"/>
      <c r="P942" s="536"/>
    </row>
    <row r="943" spans="1:16" ht="12.75" customHeight="1">
      <c r="A943" s="535"/>
      <c r="B943" s="536"/>
      <c r="C943" s="536"/>
      <c r="D943" s="536"/>
      <c r="E943" s="536"/>
      <c r="F943" s="536"/>
      <c r="G943" s="536"/>
      <c r="H943" s="538"/>
      <c r="I943" s="538"/>
      <c r="J943" s="260"/>
      <c r="K943" s="260"/>
      <c r="L943" s="260"/>
      <c r="M943" s="260"/>
      <c r="N943" s="260"/>
      <c r="O943" s="536"/>
      <c r="P943" s="536"/>
    </row>
    <row r="944" spans="1:16" ht="12.75" customHeight="1">
      <c r="A944" s="535"/>
      <c r="B944" s="536"/>
      <c r="C944" s="536"/>
      <c r="D944" s="536"/>
      <c r="E944" s="536"/>
      <c r="F944" s="536"/>
      <c r="G944" s="536"/>
      <c r="H944" s="538"/>
      <c r="I944" s="538"/>
      <c r="J944" s="260"/>
      <c r="K944" s="260"/>
      <c r="L944" s="260"/>
      <c r="M944" s="260"/>
      <c r="N944" s="260"/>
      <c r="O944" s="536"/>
      <c r="P944" s="536"/>
    </row>
    <row r="945" spans="1:16" ht="12.75" customHeight="1">
      <c r="A945" s="535"/>
      <c r="B945" s="536"/>
      <c r="C945" s="536"/>
      <c r="D945" s="536"/>
      <c r="E945" s="536"/>
      <c r="F945" s="536"/>
      <c r="G945" s="536"/>
      <c r="H945" s="538"/>
      <c r="I945" s="538"/>
      <c r="J945" s="260"/>
      <c r="K945" s="260"/>
      <c r="L945" s="260"/>
      <c r="M945" s="260"/>
      <c r="N945" s="260"/>
      <c r="O945" s="536"/>
      <c r="P945" s="536"/>
    </row>
    <row r="946" spans="1:16" ht="12.75" customHeight="1">
      <c r="A946" s="535"/>
      <c r="B946" s="536"/>
      <c r="C946" s="536"/>
      <c r="D946" s="536"/>
      <c r="E946" s="536"/>
      <c r="F946" s="536"/>
      <c r="G946" s="536"/>
      <c r="H946" s="538"/>
      <c r="I946" s="538"/>
      <c r="J946" s="260"/>
      <c r="K946" s="260"/>
      <c r="L946" s="260"/>
      <c r="M946" s="260"/>
      <c r="N946" s="260"/>
      <c r="O946" s="536"/>
      <c r="P946" s="536"/>
    </row>
    <row r="947" spans="1:16" ht="12.75" customHeight="1">
      <c r="A947" s="535"/>
      <c r="B947" s="536"/>
      <c r="C947" s="536"/>
      <c r="D947" s="536"/>
      <c r="E947" s="536"/>
      <c r="F947" s="536"/>
      <c r="G947" s="536"/>
      <c r="H947" s="538"/>
      <c r="I947" s="538"/>
      <c r="J947" s="260"/>
      <c r="K947" s="260"/>
      <c r="L947" s="260"/>
      <c r="M947" s="260"/>
      <c r="N947" s="260"/>
      <c r="O947" s="536"/>
      <c r="P947" s="536"/>
    </row>
    <row r="948" spans="1:16" ht="12.75" customHeight="1">
      <c r="A948" s="535"/>
      <c r="B948" s="536"/>
      <c r="C948" s="536"/>
      <c r="D948" s="536"/>
      <c r="E948" s="536"/>
      <c r="F948" s="536"/>
      <c r="G948" s="536"/>
      <c r="H948" s="538"/>
      <c r="I948" s="538"/>
      <c r="J948" s="260"/>
      <c r="K948" s="260"/>
      <c r="L948" s="260"/>
      <c r="M948" s="260"/>
      <c r="N948" s="260"/>
      <c r="O948" s="536"/>
      <c r="P948" s="536"/>
    </row>
    <row r="949" spans="1:16" ht="12.75" customHeight="1">
      <c r="A949" s="535"/>
      <c r="B949" s="536"/>
      <c r="C949" s="536"/>
      <c r="D949" s="536"/>
      <c r="E949" s="536"/>
      <c r="F949" s="536"/>
      <c r="G949" s="536"/>
      <c r="H949" s="538"/>
      <c r="I949" s="538"/>
      <c r="J949" s="260"/>
      <c r="K949" s="260"/>
      <c r="L949" s="260"/>
      <c r="M949" s="260"/>
      <c r="N949" s="260"/>
      <c r="O949" s="536"/>
      <c r="P949" s="536"/>
    </row>
    <row r="950" spans="1:16" ht="12.75" customHeight="1">
      <c r="A950" s="535"/>
      <c r="B950" s="536"/>
      <c r="C950" s="536"/>
      <c r="D950" s="536"/>
      <c r="E950" s="536"/>
      <c r="F950" s="536"/>
      <c r="G950" s="536"/>
      <c r="H950" s="538"/>
      <c r="I950" s="538"/>
      <c r="J950" s="260"/>
      <c r="K950" s="260"/>
      <c r="L950" s="260"/>
      <c r="M950" s="260"/>
      <c r="N950" s="260"/>
      <c r="O950" s="536"/>
      <c r="P950" s="536"/>
    </row>
    <row r="951" spans="1:16" ht="12.75" customHeight="1">
      <c r="A951" s="535"/>
      <c r="B951" s="536"/>
      <c r="C951" s="536"/>
      <c r="D951" s="536"/>
      <c r="E951" s="536"/>
      <c r="F951" s="536"/>
      <c r="G951" s="536"/>
      <c r="H951" s="538"/>
      <c r="I951" s="538"/>
      <c r="J951" s="260"/>
      <c r="K951" s="260"/>
      <c r="L951" s="260"/>
      <c r="M951" s="260"/>
      <c r="N951" s="260"/>
      <c r="O951" s="536"/>
      <c r="P951" s="536"/>
    </row>
    <row r="952" spans="1:16" ht="12.75" customHeight="1">
      <c r="A952" s="535"/>
      <c r="B952" s="536"/>
      <c r="C952" s="536"/>
      <c r="D952" s="536"/>
      <c r="E952" s="536"/>
      <c r="F952" s="536"/>
      <c r="G952" s="536"/>
      <c r="H952" s="538"/>
      <c r="I952" s="538"/>
      <c r="J952" s="260"/>
      <c r="K952" s="260"/>
      <c r="L952" s="260"/>
      <c r="M952" s="260"/>
      <c r="N952" s="260"/>
      <c r="O952" s="536"/>
      <c r="P952" s="536"/>
    </row>
    <row r="953" spans="1:16" ht="12.75" customHeight="1">
      <c r="A953" s="535"/>
      <c r="B953" s="536"/>
      <c r="C953" s="536"/>
      <c r="D953" s="536"/>
      <c r="E953" s="536"/>
      <c r="F953" s="536"/>
      <c r="G953" s="536"/>
      <c r="H953" s="538"/>
      <c r="I953" s="538"/>
      <c r="J953" s="260"/>
      <c r="K953" s="260"/>
      <c r="L953" s="260"/>
      <c r="M953" s="260"/>
      <c r="N953" s="260"/>
      <c r="O953" s="536"/>
      <c r="P953" s="536"/>
    </row>
    <row r="954" spans="1:16" ht="12.75" customHeight="1">
      <c r="A954" s="535"/>
      <c r="B954" s="536"/>
      <c r="C954" s="536"/>
      <c r="D954" s="536"/>
      <c r="E954" s="536"/>
      <c r="F954" s="536"/>
      <c r="G954" s="536"/>
      <c r="H954" s="538"/>
      <c r="I954" s="538"/>
      <c r="J954" s="260"/>
      <c r="K954" s="260"/>
      <c r="L954" s="260"/>
      <c r="M954" s="260"/>
      <c r="N954" s="260"/>
      <c r="O954" s="536"/>
      <c r="P954" s="536"/>
    </row>
    <row r="955" spans="1:16" ht="12.75" customHeight="1">
      <c r="A955" s="535"/>
      <c r="B955" s="536"/>
      <c r="C955" s="536"/>
      <c r="D955" s="536"/>
      <c r="E955" s="536"/>
      <c r="F955" s="536"/>
      <c r="G955" s="536"/>
      <c r="H955" s="538"/>
      <c r="I955" s="538"/>
      <c r="J955" s="260"/>
      <c r="K955" s="260"/>
      <c r="L955" s="260"/>
      <c r="M955" s="260"/>
      <c r="N955" s="260"/>
      <c r="O955" s="536"/>
      <c r="P955" s="536"/>
    </row>
    <row r="956" spans="1:16" ht="12.75" customHeight="1">
      <c r="A956" s="535"/>
      <c r="B956" s="536"/>
      <c r="C956" s="536"/>
      <c r="D956" s="536"/>
      <c r="E956" s="536"/>
      <c r="F956" s="536"/>
      <c r="G956" s="536"/>
      <c r="H956" s="538"/>
      <c r="I956" s="538"/>
      <c r="J956" s="260"/>
      <c r="K956" s="260"/>
      <c r="L956" s="260"/>
      <c r="M956" s="260"/>
      <c r="N956" s="260"/>
      <c r="O956" s="536"/>
      <c r="P956" s="536"/>
    </row>
    <row r="957" spans="1:16" ht="12.75" customHeight="1">
      <c r="A957" s="535"/>
      <c r="B957" s="536"/>
      <c r="C957" s="536"/>
      <c r="D957" s="536"/>
      <c r="E957" s="536"/>
      <c r="F957" s="536"/>
      <c r="G957" s="536"/>
      <c r="H957" s="538"/>
      <c r="I957" s="538"/>
      <c r="J957" s="260"/>
      <c r="K957" s="260"/>
      <c r="L957" s="260"/>
      <c r="M957" s="260"/>
      <c r="N957" s="260"/>
      <c r="O957" s="536"/>
      <c r="P957" s="536"/>
    </row>
    <row r="958" spans="1:16" ht="12.75" customHeight="1">
      <c r="A958" s="535"/>
      <c r="B958" s="536"/>
      <c r="C958" s="536"/>
      <c r="D958" s="536"/>
      <c r="E958" s="536"/>
      <c r="F958" s="536"/>
      <c r="G958" s="536"/>
      <c r="H958" s="538"/>
      <c r="I958" s="538"/>
      <c r="J958" s="260"/>
      <c r="K958" s="260"/>
      <c r="L958" s="260"/>
      <c r="M958" s="260"/>
      <c r="N958" s="260"/>
      <c r="O958" s="536"/>
      <c r="P958" s="536"/>
    </row>
    <row r="959" spans="1:16" ht="12.75" customHeight="1">
      <c r="A959" s="535"/>
      <c r="B959" s="536"/>
      <c r="C959" s="536"/>
      <c r="D959" s="536"/>
      <c r="E959" s="536"/>
      <c r="F959" s="536"/>
      <c r="G959" s="536"/>
      <c r="H959" s="538"/>
      <c r="I959" s="538"/>
      <c r="J959" s="260"/>
      <c r="K959" s="260"/>
      <c r="L959" s="260"/>
      <c r="M959" s="260"/>
      <c r="N959" s="260"/>
      <c r="O959" s="536"/>
      <c r="P959" s="536"/>
    </row>
    <row r="960" spans="1:16" ht="12.75" customHeight="1">
      <c r="A960" s="535"/>
      <c r="B960" s="536"/>
      <c r="C960" s="536"/>
      <c r="D960" s="536"/>
      <c r="E960" s="536"/>
      <c r="F960" s="536"/>
      <c r="G960" s="536"/>
      <c r="H960" s="538"/>
      <c r="I960" s="538"/>
      <c r="J960" s="260"/>
      <c r="K960" s="260"/>
      <c r="L960" s="260"/>
      <c r="M960" s="260"/>
      <c r="N960" s="260"/>
      <c r="O960" s="536"/>
      <c r="P960" s="536"/>
    </row>
    <row r="961" spans="1:16" ht="12.75" customHeight="1">
      <c r="A961" s="535"/>
      <c r="B961" s="536"/>
      <c r="C961" s="536"/>
      <c r="D961" s="536"/>
      <c r="E961" s="536"/>
      <c r="F961" s="536"/>
      <c r="G961" s="536"/>
      <c r="H961" s="538"/>
      <c r="I961" s="538"/>
      <c r="J961" s="260"/>
      <c r="K961" s="260"/>
      <c r="L961" s="260"/>
      <c r="M961" s="260"/>
      <c r="N961" s="260"/>
      <c r="O961" s="536"/>
      <c r="P961" s="536"/>
    </row>
    <row r="962" spans="1:16" ht="12.75" customHeight="1">
      <c r="A962" s="535"/>
      <c r="B962" s="536"/>
      <c r="C962" s="536"/>
      <c r="D962" s="536"/>
      <c r="E962" s="536"/>
      <c r="F962" s="536"/>
      <c r="G962" s="536"/>
      <c r="H962" s="538"/>
      <c r="I962" s="538"/>
      <c r="J962" s="260"/>
      <c r="K962" s="260"/>
      <c r="L962" s="260"/>
      <c r="M962" s="260"/>
      <c r="N962" s="260"/>
      <c r="O962" s="536"/>
      <c r="P962" s="536"/>
    </row>
    <row r="963" spans="1:16" ht="12.75" customHeight="1">
      <c r="A963" s="535"/>
      <c r="B963" s="536"/>
      <c r="C963" s="536"/>
      <c r="D963" s="536"/>
      <c r="E963" s="536"/>
      <c r="F963" s="536"/>
      <c r="G963" s="536"/>
      <c r="H963" s="538"/>
      <c r="I963" s="538"/>
      <c r="J963" s="260"/>
      <c r="K963" s="260"/>
      <c r="L963" s="260"/>
      <c r="M963" s="260"/>
      <c r="N963" s="260"/>
      <c r="O963" s="536"/>
      <c r="P963" s="536"/>
    </row>
    <row r="964" spans="1:16" ht="12.75" customHeight="1">
      <c r="A964" s="535"/>
      <c r="B964" s="536"/>
      <c r="C964" s="536"/>
      <c r="D964" s="536"/>
      <c r="E964" s="536"/>
      <c r="F964" s="536"/>
      <c r="G964" s="536"/>
      <c r="H964" s="538"/>
      <c r="I964" s="538"/>
      <c r="J964" s="260"/>
      <c r="K964" s="260"/>
      <c r="L964" s="260"/>
      <c r="M964" s="260"/>
      <c r="N964" s="260"/>
      <c r="O964" s="536"/>
      <c r="P964" s="536"/>
    </row>
    <row r="965" spans="1:16" ht="12.75" customHeight="1">
      <c r="A965" s="535"/>
      <c r="B965" s="536"/>
      <c r="C965" s="536"/>
      <c r="D965" s="536"/>
      <c r="E965" s="536"/>
      <c r="F965" s="536"/>
      <c r="G965" s="536"/>
      <c r="H965" s="538"/>
      <c r="I965" s="538"/>
      <c r="J965" s="260"/>
      <c r="K965" s="260"/>
      <c r="L965" s="260"/>
      <c r="M965" s="260"/>
      <c r="N965" s="260"/>
      <c r="O965" s="536"/>
      <c r="P965" s="536"/>
    </row>
    <row r="966" spans="1:16" ht="12.75" customHeight="1">
      <c r="A966" s="535"/>
      <c r="B966" s="536"/>
      <c r="C966" s="536"/>
      <c r="D966" s="536"/>
      <c r="E966" s="536"/>
      <c r="F966" s="536"/>
      <c r="G966" s="536"/>
      <c r="H966" s="538"/>
      <c r="I966" s="538"/>
      <c r="J966" s="260"/>
      <c r="K966" s="260"/>
      <c r="L966" s="260"/>
      <c r="M966" s="260"/>
      <c r="N966" s="260"/>
      <c r="O966" s="536"/>
      <c r="P966" s="536"/>
    </row>
    <row r="967" spans="1:16" ht="12.75" customHeight="1">
      <c r="A967" s="535"/>
      <c r="B967" s="536"/>
      <c r="C967" s="536"/>
      <c r="D967" s="536"/>
      <c r="E967" s="536"/>
      <c r="F967" s="536"/>
      <c r="G967" s="536"/>
      <c r="H967" s="538"/>
      <c r="I967" s="538"/>
      <c r="J967" s="260"/>
      <c r="K967" s="260"/>
      <c r="L967" s="260"/>
      <c r="M967" s="260"/>
      <c r="N967" s="260"/>
      <c r="O967" s="536"/>
      <c r="P967" s="536"/>
    </row>
    <row r="968" spans="1:16" ht="12.75" customHeight="1">
      <c r="A968" s="535"/>
      <c r="B968" s="536"/>
      <c r="C968" s="536"/>
      <c r="D968" s="536"/>
      <c r="E968" s="536"/>
      <c r="F968" s="536"/>
      <c r="G968" s="536"/>
      <c r="H968" s="538"/>
      <c r="I968" s="538"/>
      <c r="J968" s="260"/>
      <c r="K968" s="260"/>
      <c r="L968" s="260"/>
      <c r="M968" s="260"/>
      <c r="N968" s="260"/>
      <c r="O968" s="536"/>
      <c r="P968" s="536"/>
    </row>
    <row r="969" spans="1:16" ht="12.75" customHeight="1">
      <c r="A969" s="535"/>
      <c r="B969" s="536"/>
      <c r="C969" s="536"/>
      <c r="D969" s="536"/>
      <c r="E969" s="536"/>
      <c r="F969" s="536"/>
      <c r="G969" s="536"/>
      <c r="H969" s="538"/>
      <c r="I969" s="538"/>
      <c r="J969" s="260"/>
      <c r="K969" s="260"/>
      <c r="L969" s="260"/>
      <c r="M969" s="260"/>
      <c r="N969" s="260"/>
      <c r="O969" s="536"/>
      <c r="P969" s="536"/>
    </row>
    <row r="970" spans="1:16" ht="12.75" customHeight="1">
      <c r="A970" s="535"/>
      <c r="B970" s="536"/>
      <c r="C970" s="536"/>
      <c r="D970" s="536"/>
      <c r="E970" s="536"/>
      <c r="F970" s="536"/>
      <c r="G970" s="536"/>
      <c r="H970" s="538"/>
      <c r="I970" s="538"/>
      <c r="J970" s="260"/>
      <c r="K970" s="260"/>
      <c r="L970" s="260"/>
      <c r="M970" s="260"/>
      <c r="N970" s="260"/>
      <c r="O970" s="536"/>
      <c r="P970" s="536"/>
    </row>
    <row r="971" spans="1:16" ht="12.75" customHeight="1">
      <c r="A971" s="535"/>
      <c r="B971" s="536"/>
      <c r="C971" s="536"/>
      <c r="D971" s="536"/>
      <c r="E971" s="536"/>
      <c r="F971" s="536"/>
      <c r="G971" s="536"/>
      <c r="H971" s="538"/>
      <c r="I971" s="538"/>
      <c r="J971" s="260"/>
      <c r="K971" s="260"/>
      <c r="L971" s="260"/>
      <c r="M971" s="260"/>
      <c r="N971" s="260"/>
      <c r="O971" s="536"/>
      <c r="P971" s="536"/>
    </row>
    <row r="972" spans="1:16" ht="12.75" customHeight="1">
      <c r="A972" s="535"/>
      <c r="B972" s="536"/>
      <c r="C972" s="536"/>
      <c r="D972" s="536"/>
      <c r="E972" s="536"/>
      <c r="F972" s="536"/>
      <c r="G972" s="536"/>
      <c r="H972" s="538"/>
      <c r="I972" s="538"/>
      <c r="J972" s="260"/>
      <c r="K972" s="260"/>
      <c r="L972" s="260"/>
      <c r="M972" s="260"/>
      <c r="N972" s="260"/>
      <c r="O972" s="536"/>
      <c r="P972" s="536"/>
    </row>
    <row r="973" spans="1:16" ht="12.75" customHeight="1">
      <c r="A973" s="535"/>
      <c r="B973" s="536"/>
      <c r="C973" s="536"/>
      <c r="D973" s="536"/>
      <c r="E973" s="536"/>
      <c r="F973" s="536"/>
      <c r="G973" s="536"/>
      <c r="H973" s="538"/>
      <c r="I973" s="538"/>
      <c r="J973" s="260"/>
      <c r="K973" s="260"/>
      <c r="L973" s="260"/>
      <c r="M973" s="260"/>
      <c r="N973" s="260"/>
      <c r="O973" s="536"/>
      <c r="P973" s="536"/>
    </row>
    <row r="974" spans="1:16" ht="12.75" customHeight="1">
      <c r="A974" s="535"/>
      <c r="B974" s="536"/>
      <c r="C974" s="536"/>
      <c r="D974" s="536"/>
      <c r="E974" s="536"/>
      <c r="F974" s="536"/>
      <c r="G974" s="536"/>
      <c r="H974" s="538"/>
      <c r="I974" s="538"/>
      <c r="J974" s="260"/>
      <c r="K974" s="260"/>
      <c r="L974" s="260"/>
      <c r="M974" s="260"/>
      <c r="N974" s="260"/>
      <c r="O974" s="536"/>
      <c r="P974" s="536"/>
    </row>
    <row r="975" spans="1:16" ht="12.75" customHeight="1">
      <c r="A975" s="535"/>
      <c r="B975" s="536"/>
      <c r="C975" s="536"/>
      <c r="D975" s="536"/>
      <c r="E975" s="536"/>
      <c r="F975" s="536"/>
      <c r="G975" s="536"/>
      <c r="H975" s="538"/>
      <c r="I975" s="538"/>
      <c r="J975" s="260"/>
      <c r="K975" s="260"/>
      <c r="L975" s="260"/>
      <c r="M975" s="260"/>
      <c r="N975" s="260"/>
      <c r="O975" s="536"/>
      <c r="P975" s="536"/>
    </row>
    <row r="976" spans="1:16" ht="12.75" customHeight="1">
      <c r="A976" s="535"/>
      <c r="B976" s="536"/>
      <c r="C976" s="536"/>
      <c r="D976" s="536"/>
      <c r="E976" s="536"/>
      <c r="F976" s="536"/>
      <c r="G976" s="536"/>
      <c r="H976" s="538"/>
      <c r="I976" s="538"/>
      <c r="J976" s="260"/>
      <c r="K976" s="260"/>
      <c r="L976" s="260"/>
      <c r="M976" s="260"/>
      <c r="N976" s="260"/>
      <c r="O976" s="536"/>
      <c r="P976" s="536"/>
    </row>
    <row r="977" spans="1:16" ht="12.75" customHeight="1">
      <c r="A977" s="535"/>
      <c r="B977" s="536"/>
      <c r="C977" s="536"/>
      <c r="D977" s="536"/>
      <c r="E977" s="536"/>
      <c r="F977" s="536"/>
      <c r="G977" s="536"/>
      <c r="H977" s="538"/>
      <c r="I977" s="538"/>
      <c r="J977" s="260"/>
      <c r="K977" s="260"/>
      <c r="L977" s="260"/>
      <c r="M977" s="260"/>
      <c r="N977" s="260"/>
      <c r="O977" s="536"/>
      <c r="P977" s="536"/>
    </row>
    <row r="978" spans="1:16" ht="12.75" customHeight="1">
      <c r="A978" s="535"/>
      <c r="B978" s="536"/>
      <c r="C978" s="536"/>
      <c r="D978" s="536"/>
      <c r="E978" s="536"/>
      <c r="F978" s="536"/>
      <c r="G978" s="536"/>
      <c r="H978" s="538"/>
      <c r="I978" s="538"/>
      <c r="J978" s="260"/>
      <c r="K978" s="260"/>
      <c r="L978" s="260"/>
      <c r="M978" s="260"/>
      <c r="N978" s="260"/>
      <c r="O978" s="536"/>
      <c r="P978" s="536"/>
    </row>
    <row r="979" spans="1:16" ht="12.75" customHeight="1">
      <c r="A979" s="535"/>
      <c r="B979" s="536"/>
      <c r="C979" s="536"/>
      <c r="D979" s="536"/>
      <c r="E979" s="536"/>
      <c r="F979" s="536"/>
      <c r="G979" s="536"/>
      <c r="H979" s="538"/>
      <c r="I979" s="538"/>
      <c r="J979" s="260"/>
      <c r="K979" s="260"/>
      <c r="L979" s="260"/>
      <c r="M979" s="260"/>
      <c r="N979" s="260"/>
      <c r="O979" s="536"/>
      <c r="P979" s="536"/>
    </row>
    <row r="980" spans="1:16" ht="12.75" customHeight="1">
      <c r="A980" s="535"/>
      <c r="B980" s="536"/>
      <c r="C980" s="536"/>
      <c r="D980" s="536"/>
      <c r="E980" s="536"/>
      <c r="F980" s="536"/>
      <c r="G980" s="536"/>
      <c r="H980" s="538"/>
      <c r="I980" s="538"/>
      <c r="J980" s="260"/>
      <c r="K980" s="260"/>
      <c r="L980" s="260"/>
      <c r="M980" s="260"/>
      <c r="N980" s="260"/>
      <c r="O980" s="536"/>
      <c r="P980" s="536"/>
    </row>
    <row r="981" spans="1:16" ht="12.75" customHeight="1">
      <c r="A981" s="535"/>
      <c r="B981" s="536"/>
      <c r="C981" s="536"/>
      <c r="D981" s="536"/>
      <c r="E981" s="536"/>
      <c r="F981" s="536"/>
      <c r="G981" s="536"/>
      <c r="H981" s="538"/>
      <c r="I981" s="538"/>
      <c r="J981" s="260"/>
      <c r="K981" s="260"/>
      <c r="L981" s="260"/>
      <c r="M981" s="260"/>
      <c r="N981" s="260"/>
      <c r="O981" s="536"/>
      <c r="P981" s="536"/>
    </row>
    <row r="982" spans="1:16" ht="12.75" customHeight="1">
      <c r="A982" s="535"/>
      <c r="B982" s="536"/>
      <c r="C982" s="536"/>
      <c r="D982" s="536"/>
      <c r="E982" s="536"/>
      <c r="F982" s="536"/>
      <c r="G982" s="536"/>
      <c r="H982" s="538"/>
      <c r="I982" s="538"/>
      <c r="J982" s="260"/>
      <c r="K982" s="260"/>
      <c r="L982" s="260"/>
      <c r="M982" s="260"/>
      <c r="N982" s="260"/>
      <c r="O982" s="536"/>
      <c r="P982" s="536"/>
    </row>
    <row r="983" spans="1:16" ht="12.75" customHeight="1">
      <c r="A983" s="535"/>
      <c r="B983" s="536"/>
      <c r="C983" s="536"/>
      <c r="D983" s="536"/>
      <c r="E983" s="536"/>
      <c r="F983" s="536"/>
      <c r="G983" s="536"/>
      <c r="H983" s="538"/>
      <c r="I983" s="538"/>
      <c r="J983" s="260"/>
      <c r="K983" s="260"/>
      <c r="L983" s="260"/>
      <c r="M983" s="260"/>
      <c r="N983" s="260"/>
      <c r="O983" s="536"/>
      <c r="P983" s="536"/>
    </row>
    <row r="984" spans="1:16" ht="12.75" customHeight="1">
      <c r="A984" s="535"/>
      <c r="B984" s="536"/>
      <c r="C984" s="536"/>
      <c r="D984" s="536"/>
      <c r="E984" s="536"/>
      <c r="F984" s="536"/>
      <c r="G984" s="536"/>
      <c r="H984" s="538"/>
      <c r="I984" s="538"/>
      <c r="J984" s="260"/>
      <c r="K984" s="260"/>
      <c r="L984" s="260"/>
      <c r="M984" s="260"/>
      <c r="N984" s="260"/>
      <c r="O984" s="536"/>
      <c r="P984" s="536"/>
    </row>
    <row r="985" spans="1:16" ht="12.75" customHeight="1">
      <c r="A985" s="535"/>
      <c r="B985" s="536"/>
      <c r="C985" s="536"/>
      <c r="D985" s="536"/>
      <c r="E985" s="536"/>
      <c r="F985" s="536"/>
      <c r="G985" s="536"/>
      <c r="H985" s="538"/>
      <c r="I985" s="538"/>
      <c r="J985" s="260"/>
      <c r="K985" s="260"/>
      <c r="L985" s="260"/>
      <c r="M985" s="260"/>
      <c r="N985" s="260"/>
      <c r="O985" s="536"/>
      <c r="P985" s="536"/>
    </row>
    <row r="986" spans="1:16" ht="12.75" customHeight="1">
      <c r="A986" s="535"/>
      <c r="B986" s="536"/>
      <c r="C986" s="536"/>
      <c r="D986" s="536"/>
      <c r="E986" s="536"/>
      <c r="F986" s="536"/>
      <c r="G986" s="536"/>
      <c r="H986" s="538"/>
      <c r="I986" s="538"/>
      <c r="J986" s="260"/>
      <c r="K986" s="260"/>
      <c r="L986" s="260"/>
      <c r="M986" s="260"/>
      <c r="N986" s="260"/>
      <c r="O986" s="536"/>
      <c r="P986" s="536"/>
    </row>
    <row r="987" spans="1:16" ht="12.75" customHeight="1">
      <c r="A987" s="535"/>
      <c r="B987" s="536"/>
      <c r="C987" s="536"/>
      <c r="D987" s="536"/>
      <c r="E987" s="536"/>
      <c r="F987" s="536"/>
      <c r="G987" s="536"/>
      <c r="H987" s="538"/>
      <c r="I987" s="538"/>
      <c r="J987" s="260"/>
      <c r="K987" s="260"/>
      <c r="L987" s="260"/>
      <c r="M987" s="260"/>
      <c r="N987" s="260"/>
      <c r="O987" s="536"/>
      <c r="P987" s="536"/>
    </row>
    <row r="988" spans="1:16" ht="12.75" customHeight="1">
      <c r="A988" s="535"/>
      <c r="B988" s="536"/>
      <c r="C988" s="536"/>
      <c r="D988" s="536"/>
      <c r="E988" s="536"/>
      <c r="F988" s="536"/>
      <c r="G988" s="536"/>
      <c r="H988" s="538"/>
      <c r="I988" s="538"/>
      <c r="J988" s="260"/>
      <c r="K988" s="260"/>
      <c r="L988" s="260"/>
      <c r="M988" s="260"/>
      <c r="N988" s="260"/>
      <c r="O988" s="536"/>
      <c r="P988" s="536"/>
    </row>
  </sheetData>
  <sheetProtection password="CA9F" sheet="1"/>
  <mergeCells count="15">
    <mergeCell ref="F1:O3"/>
    <mergeCell ref="A5:O5"/>
    <mergeCell ref="A7:C7"/>
    <mergeCell ref="H7:O7"/>
    <mergeCell ref="M8:O8"/>
    <mergeCell ref="J9:O9"/>
    <mergeCell ref="A31:C31"/>
    <mergeCell ref="A9:A10"/>
    <mergeCell ref="B9:C10"/>
    <mergeCell ref="D9:D10"/>
    <mergeCell ref="E9:F9"/>
    <mergeCell ref="G9:I9"/>
    <mergeCell ref="A12:A29"/>
    <mergeCell ref="E12:E30"/>
    <mergeCell ref="F12:F30"/>
  </mergeCells>
  <dataValidations count="2">
    <dataValidation type="whole" allowBlank="1" showInputMessage="1" showErrorMessage="1" sqref="E10:O11">
      <formula1>1</formula1>
      <formula2>1E+27</formula2>
    </dataValidation>
    <dataValidation type="whole" allowBlank="1" showInputMessage="1" showErrorMessage="1" sqref="E12:O31">
      <formula1>0</formula1>
      <formula2>1000000000000000000</formula2>
    </dataValidation>
  </dataValidations>
  <pageMargins left="0.7" right="0.7" top="0.4" bottom="0.31" header="0.3" footer="0.3"/>
  <pageSetup scale="78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Y1001"/>
  <sheetViews>
    <sheetView topLeftCell="A4" workbookViewId="0">
      <selection activeCell="P44" sqref="P44"/>
    </sheetView>
  </sheetViews>
  <sheetFormatPr defaultColWidth="15.1796875" defaultRowHeight="14.5"/>
  <cols>
    <col min="1" max="1" width="3.453125" style="318" customWidth="1"/>
    <col min="2" max="2" width="45.453125" style="318" customWidth="1"/>
    <col min="3" max="3" width="8" style="318" customWidth="1"/>
    <col min="4" max="4" width="20.81640625" style="318" customWidth="1"/>
    <col min="5" max="14" width="8" style="318" customWidth="1"/>
    <col min="15" max="25" width="7.453125" style="318" customWidth="1"/>
    <col min="26" max="16384" width="15.1796875" style="318"/>
  </cols>
  <sheetData>
    <row r="1" spans="1:25" ht="12.75" customHeight="1">
      <c r="A1" s="571"/>
      <c r="B1" s="1042" t="s">
        <v>965</v>
      </c>
      <c r="C1" s="1173"/>
      <c r="D1" s="1173"/>
      <c r="E1" s="227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</row>
    <row r="2" spans="1:25" ht="12.75" customHeight="1">
      <c r="A2" s="571"/>
      <c r="B2" s="1173"/>
      <c r="C2" s="1173"/>
      <c r="D2" s="1173"/>
      <c r="E2" s="227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</row>
    <row r="3" spans="1:25" ht="12.75" customHeight="1">
      <c r="A3" s="571"/>
      <c r="B3" s="1173"/>
      <c r="C3" s="1173"/>
      <c r="D3" s="1173"/>
      <c r="E3" s="227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</row>
    <row r="4" spans="1:25" ht="12.75" customHeight="1">
      <c r="A4" s="571"/>
      <c r="B4" s="299"/>
      <c r="C4" s="299"/>
      <c r="D4" s="299"/>
      <c r="E4" s="227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</row>
    <row r="5" spans="1:25" ht="27" customHeight="1">
      <c r="A5" s="1174" t="s">
        <v>698</v>
      </c>
      <c r="B5" s="1175"/>
      <c r="C5" s="1175"/>
      <c r="D5" s="1175"/>
      <c r="E5" s="573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</row>
    <row r="6" spans="1:25" ht="12.75" customHeight="1">
      <c r="A6" s="571"/>
      <c r="B6" s="574"/>
      <c r="C6" s="575"/>
      <c r="D6" s="575"/>
      <c r="E6" s="227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</row>
    <row r="7" spans="1:25" ht="12.75" customHeight="1">
      <c r="A7" s="1176" t="str">
        <f>+i.04108!A7</f>
        <v>Даатгагчийн нэр:</v>
      </c>
      <c r="B7" s="1173"/>
      <c r="C7" s="1042" t="str">
        <f>+i.04108!F7</f>
        <v>..... оны .... сарын ...-ны өдөр</v>
      </c>
      <c r="D7" s="1173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</row>
    <row r="8" spans="1:25" ht="12.75" customHeight="1">
      <c r="A8" s="558"/>
      <c r="C8" s="301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</row>
    <row r="9" spans="1:25" ht="12.75" customHeight="1">
      <c r="A9" s="571"/>
      <c r="B9" s="576"/>
      <c r="C9" s="242"/>
      <c r="D9" s="577" t="s">
        <v>684</v>
      </c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</row>
    <row r="10" spans="1:25" ht="27" customHeight="1">
      <c r="A10" s="578" t="s">
        <v>2</v>
      </c>
      <c r="B10" s="579" t="s">
        <v>699</v>
      </c>
      <c r="C10" s="580" t="s">
        <v>700</v>
      </c>
      <c r="D10" s="580" t="s">
        <v>701</v>
      </c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</row>
    <row r="11" spans="1:25" ht="12.75" customHeight="1">
      <c r="A11" s="582" t="s">
        <v>6</v>
      </c>
      <c r="B11" s="428" t="s">
        <v>7</v>
      </c>
      <c r="C11" s="583" t="s">
        <v>8</v>
      </c>
      <c r="D11" s="583">
        <v>1</v>
      </c>
      <c r="E11" s="227"/>
      <c r="F11" s="571"/>
      <c r="G11" s="571"/>
      <c r="H11" s="571"/>
      <c r="I11" s="571"/>
      <c r="J11" s="571"/>
      <c r="K11" s="571"/>
      <c r="L11" s="571"/>
      <c r="M11" s="571"/>
      <c r="N11" s="571"/>
      <c r="O11" s="571"/>
      <c r="P11" s="571"/>
      <c r="Q11" s="571"/>
      <c r="R11" s="571"/>
      <c r="S11" s="571"/>
      <c r="T11" s="571"/>
      <c r="U11" s="571"/>
      <c r="V11" s="571"/>
      <c r="W11" s="571"/>
      <c r="X11" s="571"/>
      <c r="Y11" s="571"/>
    </row>
    <row r="12" spans="1:25" ht="12.75" customHeight="1">
      <c r="A12" s="584">
        <v>1</v>
      </c>
      <c r="B12" s="585" t="s">
        <v>702</v>
      </c>
      <c r="C12" s="586" t="s">
        <v>703</v>
      </c>
      <c r="D12" s="61"/>
      <c r="E12" s="227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</row>
    <row r="13" spans="1:25" ht="24.75" customHeight="1">
      <c r="A13" s="584">
        <f>+A12+1</f>
        <v>2</v>
      </c>
      <c r="B13" s="585" t="s">
        <v>704</v>
      </c>
      <c r="C13" s="586" t="s">
        <v>703</v>
      </c>
      <c r="D13" s="61"/>
      <c r="E13" s="227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</row>
    <row r="14" spans="1:25" ht="12.75" customHeight="1">
      <c r="A14" s="584">
        <f t="shared" ref="A14:A23" si="0">+A13+1</f>
        <v>3</v>
      </c>
      <c r="B14" s="585" t="s">
        <v>705</v>
      </c>
      <c r="C14" s="586" t="s">
        <v>706</v>
      </c>
      <c r="D14" s="61"/>
      <c r="E14" s="227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</row>
    <row r="15" spans="1:25" ht="12.75" customHeight="1">
      <c r="A15" s="584">
        <f t="shared" si="0"/>
        <v>4</v>
      </c>
      <c r="B15" s="585" t="s">
        <v>707</v>
      </c>
      <c r="C15" s="586" t="s">
        <v>706</v>
      </c>
      <c r="D15" s="61"/>
      <c r="E15" s="227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</row>
    <row r="16" spans="1:25" ht="12.75" customHeight="1">
      <c r="A16" s="584">
        <f t="shared" si="0"/>
        <v>5</v>
      </c>
      <c r="B16" s="585" t="s">
        <v>48</v>
      </c>
      <c r="C16" s="586" t="s">
        <v>706</v>
      </c>
      <c r="D16" s="61"/>
      <c r="E16" s="227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</row>
    <row r="17" spans="1:25" ht="12.75" customHeight="1">
      <c r="A17" s="584">
        <f t="shared" si="0"/>
        <v>6</v>
      </c>
      <c r="B17" s="585" t="s">
        <v>708</v>
      </c>
      <c r="C17" s="586" t="s">
        <v>706</v>
      </c>
      <c r="D17" s="61"/>
      <c r="E17" s="227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</row>
    <row r="18" spans="1:25" ht="12.75" customHeight="1">
      <c r="A18" s="584">
        <f t="shared" si="0"/>
        <v>7</v>
      </c>
      <c r="B18" s="588" t="s">
        <v>709</v>
      </c>
      <c r="C18" s="589" t="s">
        <v>710</v>
      </c>
      <c r="D18" s="61"/>
      <c r="E18" s="227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</row>
    <row r="19" spans="1:25" ht="12.75" customHeight="1">
      <c r="A19" s="584">
        <f t="shared" si="0"/>
        <v>8</v>
      </c>
      <c r="B19" s="585" t="s">
        <v>711</v>
      </c>
      <c r="C19" s="586" t="s">
        <v>712</v>
      </c>
      <c r="D19" s="61"/>
      <c r="E19" s="227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</row>
    <row r="20" spans="1:25" ht="12.75" customHeight="1">
      <c r="A20" s="584">
        <f t="shared" si="0"/>
        <v>9</v>
      </c>
      <c r="B20" s="585" t="s">
        <v>713</v>
      </c>
      <c r="C20" s="586" t="s">
        <v>714</v>
      </c>
      <c r="D20" s="61"/>
      <c r="E20" s="227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</row>
    <row r="21" spans="1:25" ht="12.75" customHeight="1">
      <c r="A21" s="584">
        <f t="shared" si="0"/>
        <v>10</v>
      </c>
      <c r="B21" s="585" t="s">
        <v>715</v>
      </c>
      <c r="C21" s="586" t="s">
        <v>706</v>
      </c>
      <c r="D21" s="61"/>
      <c r="E21" s="227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</row>
    <row r="22" spans="1:25" ht="12.75" customHeight="1">
      <c r="A22" s="584">
        <f t="shared" si="0"/>
        <v>11</v>
      </c>
      <c r="B22" s="585" t="s">
        <v>716</v>
      </c>
      <c r="C22" s="586" t="s">
        <v>717</v>
      </c>
      <c r="D22" s="61"/>
      <c r="E22" s="227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</row>
    <row r="23" spans="1:25" ht="12.75" customHeight="1">
      <c r="A23" s="584">
        <f t="shared" si="0"/>
        <v>12</v>
      </c>
      <c r="B23" s="590" t="s">
        <v>288</v>
      </c>
      <c r="C23" s="586"/>
      <c r="D23" s="61"/>
      <c r="E23" s="227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</row>
    <row r="24" spans="1:25" ht="12.75" customHeight="1">
      <c r="A24" s="1177" t="s">
        <v>664</v>
      </c>
      <c r="B24" s="1178"/>
      <c r="C24" s="591"/>
      <c r="D24" s="438">
        <f>SUM(D12:D23)</f>
        <v>0</v>
      </c>
      <c r="E24" s="227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</row>
    <row r="25" spans="1:25" ht="12.75" customHeight="1">
      <c r="A25" s="571"/>
      <c r="B25" s="576"/>
      <c r="C25" s="242"/>
      <c r="D25" s="242"/>
      <c r="E25" s="227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</row>
    <row r="26" spans="1:25" s="34" customFormat="1" ht="13">
      <c r="A26" s="225"/>
      <c r="B26" s="223" t="str">
        <f>+i.04108!C32</f>
        <v>тамга тэмдэг</v>
      </c>
      <c r="C26" s="225"/>
      <c r="D26" s="225"/>
      <c r="E26" s="225"/>
      <c r="F26" s="225"/>
    </row>
    <row r="27" spans="1:25">
      <c r="A27" s="225"/>
      <c r="B27" s="225"/>
      <c r="C27" s="225"/>
      <c r="D27" s="225"/>
      <c r="E27" s="225"/>
      <c r="F27" s="225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</row>
    <row r="28" spans="1:25">
      <c r="A28" s="225"/>
      <c r="B28" s="225" t="str">
        <f>+i.04108!C34</f>
        <v xml:space="preserve">ТАЙЛАН ГАРГАСАН:    </v>
      </c>
      <c r="C28" s="225"/>
      <c r="D28" s="225"/>
      <c r="E28" s="225"/>
      <c r="F28" s="225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</row>
    <row r="29" spans="1:25">
      <c r="A29" s="225"/>
      <c r="B29" s="225"/>
      <c r="C29" s="225"/>
      <c r="D29" s="225"/>
      <c r="E29" s="225"/>
      <c r="F29" s="225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</row>
    <row r="30" spans="1:25">
      <c r="A30" s="225"/>
      <c r="B30" s="225" t="str">
        <f>+i.04108!C36</f>
        <v xml:space="preserve"> Гүйцэтгэх захирал</v>
      </c>
      <c r="C30" s="225" t="str">
        <f>+i.04108!D36</f>
        <v xml:space="preserve">/................................../   </v>
      </c>
      <c r="D30" s="225"/>
      <c r="E30" s="225" t="str">
        <f>+i.04108!F36</f>
        <v>/................................./</v>
      </c>
      <c r="F30" s="225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</row>
    <row r="31" spans="1:25" ht="12.75" customHeight="1">
      <c r="A31" s="49"/>
      <c r="B31" s="225"/>
      <c r="C31" s="225"/>
      <c r="D31" s="225"/>
      <c r="E31" s="225"/>
      <c r="F31" s="225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</row>
    <row r="32" spans="1:25" ht="12.75" customHeight="1">
      <c r="A32" s="571"/>
      <c r="B32" s="225" t="str">
        <f>+i.04108!C38</f>
        <v xml:space="preserve"> Ерөнхий нягтлан бодогч  </v>
      </c>
      <c r="C32" s="225" t="str">
        <f>+i.04108!D38</f>
        <v xml:space="preserve">/.................................../   </v>
      </c>
      <c r="D32" s="225"/>
      <c r="E32" s="225" t="str">
        <f>+i.04108!F38</f>
        <v>/................................/</v>
      </c>
      <c r="F32" s="225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</row>
    <row r="33" spans="1:25" ht="12.75" customHeight="1">
      <c r="A33" s="571"/>
      <c r="B33" s="225"/>
      <c r="C33" s="225"/>
      <c r="D33" s="225"/>
      <c r="E33" s="225"/>
      <c r="F33" s="225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</row>
    <row r="34" spans="1:25" ht="12.75" customHeight="1">
      <c r="A34" s="592"/>
      <c r="B34" s="225" t="str">
        <f>+i.04108!C40</f>
        <v>...................................................</v>
      </c>
      <c r="C34" s="225" t="str">
        <f>+i.04108!D40</f>
        <v xml:space="preserve">/................................../   </v>
      </c>
      <c r="D34" s="225"/>
      <c r="E34" s="225" t="str">
        <f>+i.04108!F40</f>
        <v>/................................/</v>
      </c>
      <c r="F34" s="225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</row>
    <row r="35" spans="1:25" ht="12.75" customHeight="1">
      <c r="A35" s="571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</row>
    <row r="36" spans="1:25" ht="12.75" customHeight="1">
      <c r="A36" s="571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</row>
    <row r="37" spans="1:25" ht="12.75" customHeight="1">
      <c r="A37" s="571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</row>
    <row r="38" spans="1:25" ht="12.75" customHeight="1">
      <c r="A38" s="571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</row>
    <row r="39" spans="1:25" ht="12.75" customHeight="1">
      <c r="A39" s="571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</row>
    <row r="40" spans="1:25" ht="12.75" customHeight="1">
      <c r="A40" s="571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</row>
    <row r="41" spans="1:25" ht="12.75" customHeight="1">
      <c r="A41" s="571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</row>
    <row r="42" spans="1:25" ht="12.75" customHeight="1">
      <c r="A42" s="571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</row>
    <row r="43" spans="1:25" ht="12.75" customHeight="1">
      <c r="A43" s="571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</row>
    <row r="44" spans="1:25" ht="12.75" customHeight="1">
      <c r="A44" s="571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</row>
    <row r="45" spans="1:25" ht="12.75" customHeight="1">
      <c r="A45" s="571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</row>
    <row r="46" spans="1:25" ht="12.75" customHeight="1">
      <c r="A46" s="571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</row>
    <row r="47" spans="1:25" ht="12.75" customHeight="1">
      <c r="A47" s="571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</row>
    <row r="48" spans="1:25" ht="12.75" customHeight="1">
      <c r="A48" s="571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</row>
    <row r="49" spans="1:25" ht="12.75" customHeight="1">
      <c r="A49" s="571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</row>
    <row r="50" spans="1:25" ht="12.75" customHeight="1">
      <c r="A50" s="571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</row>
    <row r="51" spans="1:25" ht="12.75" customHeight="1">
      <c r="A51" s="571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</row>
    <row r="52" spans="1:25" ht="12.75" customHeight="1">
      <c r="A52" s="571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</row>
    <row r="53" spans="1:25" ht="12.75" customHeight="1">
      <c r="A53" s="571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</row>
    <row r="54" spans="1:25" ht="12.75" customHeight="1">
      <c r="A54" s="571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</row>
    <row r="55" spans="1:25" ht="12.75" customHeight="1">
      <c r="A55" s="571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</row>
    <row r="56" spans="1:25" ht="12.75" customHeight="1">
      <c r="A56" s="571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</row>
    <row r="57" spans="1:25" ht="12.75" customHeight="1">
      <c r="A57" s="571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</row>
    <row r="58" spans="1:25" ht="12.75" customHeight="1">
      <c r="A58" s="571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</row>
    <row r="59" spans="1:25" ht="12.75" customHeight="1">
      <c r="A59" s="571"/>
      <c r="B59" s="572"/>
      <c r="C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</row>
    <row r="60" spans="1:25" ht="12.75" customHeight="1">
      <c r="A60" s="571"/>
      <c r="B60" s="572"/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</row>
    <row r="61" spans="1:25" ht="12.75" customHeight="1">
      <c r="A61" s="571"/>
      <c r="B61" s="572"/>
      <c r="C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</row>
    <row r="62" spans="1:25" ht="12.75" customHeight="1">
      <c r="A62" s="571"/>
      <c r="B62" s="572"/>
      <c r="C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</row>
    <row r="63" spans="1:25" ht="12.75" customHeight="1">
      <c r="A63" s="571"/>
      <c r="B63" s="572"/>
      <c r="C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</row>
    <row r="64" spans="1:25" ht="12.75" customHeight="1">
      <c r="A64" s="571"/>
      <c r="B64" s="572"/>
      <c r="C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</row>
    <row r="65" spans="1:25" ht="12.75" customHeight="1">
      <c r="A65" s="571"/>
      <c r="B65" s="572"/>
      <c r="C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</row>
    <row r="66" spans="1:25" ht="12.75" customHeight="1">
      <c r="A66" s="571"/>
      <c r="B66" s="572"/>
      <c r="C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</row>
    <row r="67" spans="1:25" ht="12.75" customHeight="1">
      <c r="A67" s="571"/>
      <c r="B67" s="572"/>
      <c r="C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</row>
    <row r="68" spans="1:25" ht="12.75" customHeight="1">
      <c r="A68" s="571"/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</row>
    <row r="69" spans="1:25" ht="12.75" customHeight="1">
      <c r="A69" s="571"/>
      <c r="B69" s="572"/>
      <c r="C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</row>
    <row r="70" spans="1:25" ht="12.75" customHeight="1">
      <c r="A70" s="571"/>
      <c r="B70" s="572"/>
      <c r="C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</row>
    <row r="71" spans="1:25" ht="12.75" customHeight="1">
      <c r="A71" s="571"/>
      <c r="B71" s="572"/>
      <c r="C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</row>
    <row r="72" spans="1:25" ht="12.75" customHeight="1">
      <c r="A72" s="571"/>
      <c r="B72" s="572"/>
      <c r="C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</row>
    <row r="73" spans="1:25" ht="12.75" customHeight="1">
      <c r="A73" s="571"/>
      <c r="B73" s="572"/>
      <c r="C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</row>
    <row r="74" spans="1:25" ht="12.75" customHeight="1">
      <c r="A74" s="571"/>
      <c r="B74" s="572"/>
      <c r="C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</row>
    <row r="75" spans="1:25" ht="12.75" customHeight="1">
      <c r="A75" s="571"/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</row>
    <row r="76" spans="1:25" ht="12.75" customHeight="1">
      <c r="A76" s="571"/>
      <c r="B76" s="572"/>
      <c r="C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</row>
    <row r="77" spans="1:25" ht="12.75" customHeight="1">
      <c r="A77" s="571"/>
      <c r="B77" s="572"/>
      <c r="C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</row>
    <row r="78" spans="1:25" ht="12.75" customHeight="1">
      <c r="A78" s="571"/>
      <c r="B78" s="572"/>
      <c r="C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</row>
    <row r="79" spans="1:25" ht="12.75" customHeight="1">
      <c r="A79" s="571"/>
      <c r="B79" s="572"/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</row>
    <row r="80" spans="1:25" ht="12.75" customHeight="1">
      <c r="A80" s="571"/>
      <c r="B80" s="572"/>
      <c r="C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</row>
    <row r="81" spans="1:25" ht="12.75" customHeight="1">
      <c r="A81" s="571"/>
      <c r="B81" s="572"/>
      <c r="C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</row>
    <row r="82" spans="1:25" ht="12.75" customHeight="1">
      <c r="A82" s="571"/>
      <c r="B82" s="572"/>
      <c r="C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</row>
    <row r="83" spans="1:25" ht="12.75" customHeight="1">
      <c r="A83" s="571"/>
      <c r="B83" s="572"/>
      <c r="C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</row>
    <row r="84" spans="1:25" ht="12.75" customHeight="1">
      <c r="A84" s="571"/>
      <c r="B84" s="572"/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</row>
    <row r="85" spans="1:25" ht="12.75" customHeight="1">
      <c r="A85" s="571"/>
      <c r="B85" s="572"/>
      <c r="C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</row>
    <row r="86" spans="1:25" ht="12.75" customHeight="1">
      <c r="A86" s="571"/>
      <c r="B86" s="572"/>
      <c r="C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</row>
    <row r="87" spans="1:25" ht="12.75" customHeight="1">
      <c r="A87" s="571"/>
      <c r="B87" s="572"/>
      <c r="C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</row>
    <row r="88" spans="1:25" ht="12.75" customHeight="1">
      <c r="A88" s="571"/>
      <c r="B88" s="572"/>
      <c r="C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</row>
    <row r="89" spans="1:25" ht="12.75" customHeight="1">
      <c r="A89" s="571"/>
      <c r="B89" s="572"/>
      <c r="C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</row>
    <row r="90" spans="1:25" ht="12.75" customHeight="1">
      <c r="A90" s="571"/>
      <c r="B90" s="572"/>
      <c r="C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</row>
    <row r="91" spans="1:25" ht="12.75" customHeight="1">
      <c r="A91" s="571"/>
      <c r="B91" s="572"/>
      <c r="C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</row>
    <row r="92" spans="1:25" ht="12.75" customHeight="1">
      <c r="A92" s="571"/>
      <c r="B92" s="572"/>
      <c r="C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</row>
    <row r="93" spans="1:25" ht="12.75" customHeight="1">
      <c r="A93" s="571"/>
      <c r="B93" s="572"/>
      <c r="C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</row>
    <row r="94" spans="1:25" ht="12.75" customHeight="1">
      <c r="A94" s="571"/>
      <c r="B94" s="572"/>
      <c r="C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</row>
    <row r="95" spans="1:25" ht="12.75" customHeight="1">
      <c r="A95" s="571"/>
      <c r="B95" s="572"/>
      <c r="C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</row>
    <row r="96" spans="1:25" ht="12.75" customHeight="1">
      <c r="A96" s="571"/>
      <c r="B96" s="572"/>
      <c r="C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</row>
    <row r="97" spans="1:25" ht="12.75" customHeight="1">
      <c r="A97" s="571"/>
      <c r="B97" s="572"/>
      <c r="C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</row>
    <row r="98" spans="1:25" ht="12.75" customHeight="1">
      <c r="A98" s="571"/>
      <c r="B98" s="572"/>
      <c r="C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</row>
    <row r="99" spans="1:25" ht="12.75" customHeight="1">
      <c r="A99" s="571"/>
      <c r="B99" s="572"/>
      <c r="C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</row>
    <row r="100" spans="1:25" ht="12.75" customHeight="1">
      <c r="A100" s="571"/>
      <c r="B100" s="572"/>
      <c r="C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</row>
    <row r="101" spans="1:25" ht="12.75" customHeight="1">
      <c r="A101" s="571"/>
      <c r="B101" s="572"/>
      <c r="C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</row>
    <row r="102" spans="1:25" ht="12.75" customHeight="1">
      <c r="A102" s="571"/>
      <c r="B102" s="572"/>
      <c r="C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</row>
    <row r="103" spans="1:25" ht="12.75" customHeight="1">
      <c r="A103" s="571"/>
      <c r="B103" s="572"/>
      <c r="C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</row>
    <row r="104" spans="1:25" ht="12.75" customHeight="1">
      <c r="A104" s="571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</row>
    <row r="105" spans="1:25" ht="12.75" customHeight="1">
      <c r="A105" s="571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</row>
    <row r="106" spans="1:25" ht="12.75" customHeight="1">
      <c r="A106" s="571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</row>
    <row r="107" spans="1:25" ht="12.75" customHeight="1">
      <c r="A107" s="571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</row>
    <row r="108" spans="1:25" ht="12.75" customHeight="1">
      <c r="A108" s="571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</row>
    <row r="109" spans="1:25" ht="12.75" customHeight="1">
      <c r="A109" s="571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</row>
    <row r="110" spans="1:25" ht="12.75" customHeight="1">
      <c r="A110" s="571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</row>
    <row r="111" spans="1:25" ht="12.75" customHeight="1">
      <c r="A111" s="571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</row>
    <row r="112" spans="1:25" ht="12.75" customHeight="1">
      <c r="A112" s="571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</row>
    <row r="113" spans="1:25" ht="12.75" customHeight="1">
      <c r="A113" s="571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</row>
    <row r="114" spans="1:25" ht="12.75" customHeight="1">
      <c r="A114" s="571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</row>
    <row r="115" spans="1:25" ht="12.75" customHeight="1">
      <c r="A115" s="571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</row>
    <row r="116" spans="1:25" ht="12.75" customHeight="1">
      <c r="A116" s="571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</row>
    <row r="117" spans="1:25" ht="12.75" customHeight="1">
      <c r="A117" s="571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</row>
    <row r="118" spans="1:25" ht="12.75" customHeight="1">
      <c r="A118" s="571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</row>
    <row r="119" spans="1:25" ht="12.75" customHeight="1">
      <c r="A119" s="571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</row>
    <row r="120" spans="1:25" ht="12.75" customHeight="1">
      <c r="A120" s="571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</row>
    <row r="121" spans="1:25" ht="12.75" customHeight="1">
      <c r="A121" s="571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</row>
    <row r="122" spans="1:25" ht="12.75" customHeight="1">
      <c r="A122" s="571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</row>
    <row r="123" spans="1:25" ht="12.75" customHeight="1">
      <c r="A123" s="571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</row>
    <row r="124" spans="1:25" ht="12.75" customHeight="1">
      <c r="A124" s="571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</row>
    <row r="125" spans="1:25" ht="12.75" customHeight="1">
      <c r="A125" s="571"/>
      <c r="B125" s="572"/>
      <c r="C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</row>
    <row r="126" spans="1:25" ht="12.75" customHeight="1">
      <c r="A126" s="571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</row>
    <row r="127" spans="1:25" ht="12.75" customHeight="1">
      <c r="A127" s="571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</row>
    <row r="128" spans="1:25" ht="12.75" customHeight="1">
      <c r="A128" s="571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</row>
    <row r="129" spans="1:25" ht="12.75" customHeight="1">
      <c r="A129" s="571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</row>
    <row r="130" spans="1:25" ht="12.75" customHeight="1">
      <c r="A130" s="571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</row>
    <row r="131" spans="1:25" ht="12.75" customHeight="1">
      <c r="A131" s="571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</row>
    <row r="132" spans="1:25" ht="12.75" customHeight="1">
      <c r="A132" s="571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</row>
    <row r="133" spans="1:25" ht="12.75" customHeight="1">
      <c r="A133" s="571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</row>
    <row r="134" spans="1:25" ht="12.75" customHeight="1">
      <c r="A134" s="571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</row>
    <row r="135" spans="1:25" ht="12.75" customHeight="1">
      <c r="A135" s="571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</row>
    <row r="136" spans="1:25" ht="12.75" customHeight="1">
      <c r="A136" s="571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</row>
    <row r="137" spans="1:25" ht="12.75" customHeight="1">
      <c r="A137" s="571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</row>
    <row r="138" spans="1:25" ht="12.75" customHeight="1">
      <c r="A138" s="571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</row>
    <row r="139" spans="1:25" ht="12.75" customHeight="1">
      <c r="A139" s="571"/>
      <c r="B139" s="572"/>
      <c r="C139" s="572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</row>
    <row r="140" spans="1:25" ht="12.75" customHeight="1">
      <c r="A140" s="571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</row>
    <row r="141" spans="1:25" ht="12.75" customHeight="1">
      <c r="A141" s="571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</row>
    <row r="142" spans="1:25" ht="12.75" customHeight="1">
      <c r="A142" s="571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</row>
    <row r="143" spans="1:25" ht="12.75" customHeight="1">
      <c r="A143" s="571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</row>
    <row r="144" spans="1:25" ht="12.75" customHeight="1">
      <c r="A144" s="571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</row>
    <row r="145" spans="1:25" ht="12.75" customHeight="1">
      <c r="A145" s="571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</row>
    <row r="146" spans="1:25" ht="12.75" customHeight="1">
      <c r="A146" s="571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</row>
    <row r="147" spans="1:25" ht="12.75" customHeight="1">
      <c r="A147" s="571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</row>
    <row r="148" spans="1:25" ht="12.75" customHeight="1">
      <c r="A148" s="571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</row>
    <row r="149" spans="1:25" ht="12.75" customHeight="1">
      <c r="A149" s="571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</row>
    <row r="150" spans="1:25" ht="12.75" customHeight="1">
      <c r="A150" s="571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</row>
    <row r="151" spans="1:25" ht="12.75" customHeight="1">
      <c r="A151" s="571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</row>
    <row r="152" spans="1:25" ht="12.75" customHeight="1">
      <c r="A152" s="571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</row>
    <row r="153" spans="1:25" ht="12.75" customHeight="1">
      <c r="A153" s="571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</row>
    <row r="154" spans="1:25" ht="12.75" customHeight="1">
      <c r="A154" s="571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</row>
    <row r="155" spans="1:25" ht="12.75" customHeight="1">
      <c r="A155" s="571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</row>
    <row r="156" spans="1:25" ht="12.75" customHeight="1">
      <c r="A156" s="571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</row>
    <row r="157" spans="1:25" ht="12.75" customHeight="1">
      <c r="A157" s="571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</row>
    <row r="158" spans="1:25" ht="12.75" customHeight="1">
      <c r="A158" s="571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</row>
    <row r="159" spans="1:25" ht="12.75" customHeight="1">
      <c r="A159" s="571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</row>
    <row r="160" spans="1:25" ht="12.75" customHeight="1">
      <c r="A160" s="571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</row>
    <row r="161" spans="1:25" ht="12.75" customHeight="1">
      <c r="A161" s="571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</row>
    <row r="162" spans="1:25" ht="12.75" customHeight="1">
      <c r="A162" s="571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</row>
    <row r="163" spans="1:25" ht="12.75" customHeight="1">
      <c r="A163" s="571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</row>
    <row r="164" spans="1:25" ht="12.75" customHeight="1">
      <c r="A164" s="571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</row>
    <row r="165" spans="1:25" ht="12.75" customHeight="1">
      <c r="A165" s="571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</row>
    <row r="166" spans="1:25" ht="12.75" customHeight="1">
      <c r="A166" s="571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</row>
    <row r="167" spans="1:25" ht="12.75" customHeight="1">
      <c r="A167" s="571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</row>
    <row r="168" spans="1:25" ht="12.75" customHeight="1">
      <c r="A168" s="571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</row>
    <row r="169" spans="1:25" ht="12.75" customHeight="1">
      <c r="A169" s="571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</row>
    <row r="170" spans="1:25" ht="12.75" customHeight="1">
      <c r="A170" s="571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</row>
    <row r="171" spans="1:25" ht="12.75" customHeight="1">
      <c r="A171" s="571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</row>
    <row r="172" spans="1:25" ht="12.75" customHeight="1">
      <c r="A172" s="571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</row>
    <row r="173" spans="1:25" ht="12.75" customHeight="1">
      <c r="A173" s="571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</row>
    <row r="174" spans="1:25" ht="12.75" customHeight="1">
      <c r="A174" s="571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</row>
    <row r="175" spans="1:25" ht="12.75" customHeight="1">
      <c r="A175" s="571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</row>
    <row r="176" spans="1:25" ht="12.75" customHeight="1">
      <c r="A176" s="571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</row>
    <row r="177" spans="1:25" ht="12.75" customHeight="1">
      <c r="A177" s="571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</row>
    <row r="178" spans="1:25" ht="12.75" customHeight="1">
      <c r="A178" s="571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</row>
    <row r="179" spans="1:25" ht="12.75" customHeight="1">
      <c r="A179" s="571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</row>
    <row r="180" spans="1:25" ht="12.75" customHeight="1">
      <c r="A180" s="571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</row>
    <row r="181" spans="1:25" ht="12.75" customHeight="1">
      <c r="A181" s="571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</row>
    <row r="182" spans="1:25" ht="12.75" customHeight="1">
      <c r="A182" s="571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</row>
    <row r="183" spans="1:25" ht="12.75" customHeight="1">
      <c r="A183" s="571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</row>
    <row r="184" spans="1:25" ht="12.75" customHeight="1">
      <c r="A184" s="571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</row>
    <row r="185" spans="1:25" ht="12.75" customHeight="1">
      <c r="A185" s="571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</row>
    <row r="186" spans="1:25" ht="12.75" customHeight="1">
      <c r="A186" s="571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</row>
    <row r="187" spans="1:25" ht="12.75" customHeight="1">
      <c r="A187" s="571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</row>
    <row r="188" spans="1:25" ht="12.75" customHeight="1">
      <c r="A188" s="571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</row>
    <row r="189" spans="1:25" ht="12.75" customHeight="1">
      <c r="A189" s="571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</row>
    <row r="190" spans="1:25" ht="12.75" customHeight="1">
      <c r="A190" s="571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</row>
    <row r="191" spans="1:25" ht="12.75" customHeight="1">
      <c r="A191" s="571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</row>
    <row r="192" spans="1:25" ht="12.75" customHeight="1">
      <c r="A192" s="571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</row>
    <row r="193" spans="1:25" ht="12.75" customHeight="1">
      <c r="A193" s="571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</row>
    <row r="194" spans="1:25" ht="12.75" customHeight="1">
      <c r="A194" s="571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</row>
    <row r="195" spans="1:25" ht="12.75" customHeight="1">
      <c r="A195" s="571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</row>
    <row r="196" spans="1:25" ht="12.75" customHeight="1">
      <c r="A196" s="571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</row>
    <row r="197" spans="1:25" ht="12.75" customHeight="1">
      <c r="A197" s="571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</row>
    <row r="198" spans="1:25" ht="12.75" customHeight="1">
      <c r="A198" s="571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</row>
    <row r="199" spans="1:25" ht="12.75" customHeight="1">
      <c r="A199" s="571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</row>
    <row r="200" spans="1:25" ht="12.75" customHeight="1">
      <c r="A200" s="571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</row>
    <row r="201" spans="1:25" ht="12.75" customHeight="1">
      <c r="A201" s="571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</row>
    <row r="202" spans="1:25" ht="12.75" customHeight="1">
      <c r="A202" s="571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</row>
    <row r="203" spans="1:25" ht="12.75" customHeight="1">
      <c r="A203" s="571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</row>
    <row r="204" spans="1:25" ht="12.75" customHeight="1">
      <c r="A204" s="571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</row>
    <row r="205" spans="1:25" ht="12.75" customHeight="1">
      <c r="A205" s="571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</row>
    <row r="206" spans="1:25" ht="12.75" customHeight="1">
      <c r="A206" s="571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</row>
    <row r="207" spans="1:25" ht="12.75" customHeight="1">
      <c r="A207" s="571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</row>
    <row r="208" spans="1:25" ht="12.75" customHeight="1">
      <c r="A208" s="571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</row>
    <row r="209" spans="1:25" ht="12.75" customHeight="1">
      <c r="A209" s="571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</row>
    <row r="210" spans="1:25" ht="12.75" customHeight="1">
      <c r="A210" s="571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</row>
    <row r="211" spans="1:25" ht="12.75" customHeight="1">
      <c r="A211" s="571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</row>
    <row r="212" spans="1:25" ht="12.75" customHeight="1">
      <c r="A212" s="571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</row>
    <row r="213" spans="1:25" ht="12.75" customHeight="1">
      <c r="A213" s="571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</row>
    <row r="214" spans="1:25" ht="12.75" customHeight="1">
      <c r="A214" s="571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</row>
    <row r="215" spans="1:25" ht="12.75" customHeight="1">
      <c r="A215" s="571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</row>
    <row r="216" spans="1:25" ht="12.75" customHeight="1">
      <c r="A216" s="571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</row>
    <row r="217" spans="1:25" ht="12.75" customHeight="1">
      <c r="A217" s="571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</row>
    <row r="218" spans="1:25" ht="12.75" customHeight="1">
      <c r="A218" s="571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</row>
    <row r="219" spans="1:25" ht="12.75" customHeight="1">
      <c r="A219" s="571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</row>
    <row r="220" spans="1:25" ht="12.75" customHeight="1">
      <c r="A220" s="571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</row>
    <row r="221" spans="1:25" ht="12.75" customHeight="1">
      <c r="A221" s="571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</row>
    <row r="222" spans="1:25" ht="12.75" customHeight="1">
      <c r="A222" s="571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</row>
    <row r="223" spans="1:25" ht="12.75" customHeight="1">
      <c r="A223" s="571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</row>
    <row r="224" spans="1:25" ht="12.75" customHeight="1">
      <c r="A224" s="571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</row>
    <row r="225" spans="1:25" ht="12.75" customHeight="1">
      <c r="A225" s="571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</row>
    <row r="226" spans="1:25" ht="12.75" customHeight="1">
      <c r="A226" s="571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</row>
    <row r="227" spans="1:25" ht="12.75" customHeight="1">
      <c r="A227" s="571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</row>
    <row r="228" spans="1:25" ht="12.75" customHeight="1">
      <c r="A228" s="571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</row>
    <row r="229" spans="1:25" ht="12.75" customHeight="1">
      <c r="A229" s="571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</row>
    <row r="230" spans="1:25" ht="12.75" customHeight="1">
      <c r="A230" s="571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</row>
    <row r="231" spans="1:25" ht="12.75" customHeight="1">
      <c r="A231" s="571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</row>
    <row r="232" spans="1:25" ht="12.75" customHeight="1">
      <c r="A232" s="571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</row>
    <row r="233" spans="1:25" ht="12.75" customHeight="1">
      <c r="A233" s="571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</row>
    <row r="234" spans="1:25" ht="12.75" customHeight="1">
      <c r="A234" s="571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</row>
    <row r="235" spans="1:25" ht="12.75" customHeight="1">
      <c r="A235" s="571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</row>
    <row r="236" spans="1:25" ht="12.75" customHeight="1">
      <c r="A236" s="571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</row>
    <row r="237" spans="1:25" ht="12.75" customHeight="1">
      <c r="A237" s="571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</row>
    <row r="238" spans="1:25" ht="12.75" customHeight="1">
      <c r="A238" s="571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</row>
    <row r="239" spans="1:25" ht="12.75" customHeight="1">
      <c r="A239" s="571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</row>
    <row r="240" spans="1:25" ht="12.75" customHeight="1">
      <c r="A240" s="571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</row>
    <row r="241" spans="1:25" ht="12.75" customHeight="1">
      <c r="A241" s="571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</row>
    <row r="242" spans="1:25" ht="12.75" customHeight="1">
      <c r="A242" s="571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</row>
    <row r="243" spans="1:25" ht="12.75" customHeight="1">
      <c r="A243" s="571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</row>
    <row r="244" spans="1:25" ht="12.75" customHeight="1">
      <c r="A244" s="571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</row>
    <row r="245" spans="1:25" ht="12.75" customHeight="1">
      <c r="A245" s="571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</row>
    <row r="246" spans="1:25" ht="12.75" customHeight="1">
      <c r="A246" s="571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</row>
    <row r="247" spans="1:25" ht="12.75" customHeight="1">
      <c r="A247" s="571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</row>
    <row r="248" spans="1:25" ht="12.75" customHeight="1">
      <c r="A248" s="571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</row>
    <row r="249" spans="1:25" ht="12.75" customHeight="1">
      <c r="A249" s="571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</row>
    <row r="250" spans="1:25" ht="12.75" customHeight="1">
      <c r="A250" s="571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</row>
    <row r="251" spans="1:25" ht="12.75" customHeight="1">
      <c r="A251" s="571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</row>
    <row r="252" spans="1:25" ht="12.75" customHeight="1">
      <c r="A252" s="571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</row>
    <row r="253" spans="1:25" ht="12.75" customHeight="1">
      <c r="A253" s="571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</row>
    <row r="254" spans="1:25" ht="12.75" customHeight="1">
      <c r="A254" s="571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</row>
    <row r="255" spans="1:25" ht="12.75" customHeight="1">
      <c r="A255" s="571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</row>
    <row r="256" spans="1:25" ht="12.75" customHeight="1">
      <c r="A256" s="571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</row>
    <row r="257" spans="1:25" ht="12.75" customHeight="1">
      <c r="A257" s="571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</row>
    <row r="258" spans="1:25" ht="12.75" customHeight="1">
      <c r="A258" s="571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</row>
    <row r="259" spans="1:25" ht="12.75" customHeight="1">
      <c r="A259" s="571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</row>
    <row r="260" spans="1:25" ht="12.75" customHeight="1">
      <c r="A260" s="571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</row>
    <row r="261" spans="1:25" ht="12.75" customHeight="1">
      <c r="A261" s="571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</row>
    <row r="262" spans="1:25" ht="12.75" customHeight="1">
      <c r="A262" s="571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</row>
    <row r="263" spans="1:25" ht="12.75" customHeight="1">
      <c r="A263" s="571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</row>
    <row r="264" spans="1:25" ht="12.75" customHeight="1">
      <c r="A264" s="571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</row>
    <row r="265" spans="1:25" ht="12.75" customHeight="1">
      <c r="A265" s="571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</row>
    <row r="266" spans="1:25" ht="12.75" customHeight="1">
      <c r="A266" s="571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</row>
    <row r="267" spans="1:25" ht="12.75" customHeight="1">
      <c r="A267" s="571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</row>
    <row r="268" spans="1:25" ht="12.75" customHeight="1">
      <c r="A268" s="571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</row>
    <row r="269" spans="1:25" ht="12.75" customHeight="1">
      <c r="A269" s="571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</row>
    <row r="270" spans="1:25" ht="12.75" customHeight="1">
      <c r="A270" s="571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</row>
    <row r="271" spans="1:25" ht="12.75" customHeight="1">
      <c r="A271" s="571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</row>
    <row r="272" spans="1:25" ht="12.75" customHeight="1">
      <c r="A272" s="571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</row>
    <row r="273" spans="1:25" ht="12.75" customHeight="1">
      <c r="A273" s="571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</row>
    <row r="274" spans="1:25" ht="12.75" customHeight="1">
      <c r="A274" s="571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</row>
    <row r="275" spans="1:25" ht="12.75" customHeight="1">
      <c r="A275" s="571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</row>
    <row r="276" spans="1:25" ht="12.75" customHeight="1">
      <c r="A276" s="571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</row>
    <row r="277" spans="1:25" ht="12.75" customHeight="1">
      <c r="A277" s="571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</row>
    <row r="278" spans="1:25" ht="12.75" customHeight="1">
      <c r="A278" s="571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</row>
    <row r="279" spans="1:25" ht="12.75" customHeight="1">
      <c r="A279" s="571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</row>
    <row r="280" spans="1:25" ht="12.75" customHeight="1">
      <c r="A280" s="571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</row>
    <row r="281" spans="1:25" ht="12.75" customHeight="1">
      <c r="A281" s="571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</row>
    <row r="282" spans="1:25" ht="12.75" customHeight="1">
      <c r="A282" s="571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</row>
    <row r="283" spans="1:25" ht="12.75" customHeight="1">
      <c r="A283" s="571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</row>
    <row r="284" spans="1:25" ht="12.75" customHeight="1">
      <c r="A284" s="571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</row>
    <row r="285" spans="1:25" ht="12.75" customHeight="1">
      <c r="A285" s="571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</row>
    <row r="286" spans="1:25" ht="12.75" customHeight="1">
      <c r="A286" s="571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</row>
    <row r="287" spans="1:25" ht="12.75" customHeight="1">
      <c r="A287" s="571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</row>
    <row r="288" spans="1:25" ht="12.75" customHeight="1">
      <c r="A288" s="571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</row>
    <row r="289" spans="1:25" ht="12.75" customHeight="1">
      <c r="A289" s="571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</row>
    <row r="290" spans="1:25" ht="12.75" customHeight="1">
      <c r="A290" s="571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</row>
    <row r="291" spans="1:25" ht="12.75" customHeight="1">
      <c r="A291" s="571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</row>
    <row r="292" spans="1:25" ht="12.75" customHeight="1">
      <c r="A292" s="571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</row>
    <row r="293" spans="1:25" ht="12.75" customHeight="1">
      <c r="A293" s="571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</row>
    <row r="294" spans="1:25" ht="12.75" customHeight="1">
      <c r="A294" s="571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</row>
    <row r="295" spans="1:25" ht="12.75" customHeight="1">
      <c r="A295" s="571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</row>
    <row r="296" spans="1:25" ht="12.75" customHeight="1">
      <c r="A296" s="571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</row>
    <row r="297" spans="1:25" ht="12.75" customHeight="1">
      <c r="A297" s="571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</row>
    <row r="298" spans="1:25" ht="12.75" customHeight="1">
      <c r="A298" s="571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</row>
    <row r="299" spans="1:25" ht="12.75" customHeight="1">
      <c r="A299" s="571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</row>
    <row r="300" spans="1:25" ht="12.75" customHeight="1">
      <c r="A300" s="571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</row>
    <row r="301" spans="1:25" ht="12.75" customHeight="1">
      <c r="A301" s="571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</row>
    <row r="302" spans="1:25" ht="12.75" customHeight="1">
      <c r="A302" s="571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</row>
    <row r="303" spans="1:25" ht="12.75" customHeight="1">
      <c r="A303" s="571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</row>
    <row r="304" spans="1:25" ht="12.75" customHeight="1">
      <c r="A304" s="571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</row>
    <row r="305" spans="1:25" ht="12.75" customHeight="1">
      <c r="A305" s="571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</row>
    <row r="306" spans="1:25" ht="12.75" customHeight="1">
      <c r="A306" s="571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</row>
    <row r="307" spans="1:25" ht="12.75" customHeight="1">
      <c r="A307" s="571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</row>
    <row r="308" spans="1:25" ht="12.75" customHeight="1">
      <c r="A308" s="571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</row>
    <row r="309" spans="1:25" ht="12.75" customHeight="1">
      <c r="A309" s="571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</row>
    <row r="310" spans="1:25" ht="12.75" customHeight="1">
      <c r="A310" s="571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</row>
    <row r="311" spans="1:25" ht="12.75" customHeight="1">
      <c r="A311" s="571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</row>
    <row r="312" spans="1:25" ht="12.75" customHeight="1">
      <c r="A312" s="571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</row>
    <row r="313" spans="1:25" ht="12.75" customHeight="1">
      <c r="A313" s="571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</row>
    <row r="314" spans="1:25" ht="12.75" customHeight="1">
      <c r="A314" s="571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</row>
    <row r="315" spans="1:25" ht="12.75" customHeight="1">
      <c r="A315" s="571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</row>
    <row r="316" spans="1:25" ht="12.75" customHeight="1">
      <c r="A316" s="571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</row>
    <row r="317" spans="1:25" ht="12.75" customHeight="1">
      <c r="A317" s="571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</row>
    <row r="318" spans="1:25" ht="12.75" customHeight="1">
      <c r="A318" s="571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</row>
    <row r="319" spans="1:25" ht="12.75" customHeight="1">
      <c r="A319" s="571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</row>
    <row r="320" spans="1:25" ht="12.75" customHeight="1">
      <c r="A320" s="571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</row>
    <row r="321" spans="1:25" ht="12.75" customHeight="1">
      <c r="A321" s="571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</row>
    <row r="322" spans="1:25" ht="12.75" customHeight="1">
      <c r="A322" s="571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</row>
    <row r="323" spans="1:25" ht="12.75" customHeight="1">
      <c r="A323" s="571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</row>
    <row r="324" spans="1:25" ht="12.75" customHeight="1">
      <c r="A324" s="571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</row>
    <row r="325" spans="1:25" ht="12.75" customHeight="1">
      <c r="A325" s="571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</row>
    <row r="326" spans="1:25" ht="12.75" customHeight="1">
      <c r="A326" s="571"/>
      <c r="B326" s="572"/>
      <c r="C326" s="572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</row>
    <row r="327" spans="1:25" ht="12.75" customHeight="1">
      <c r="A327" s="571"/>
      <c r="B327" s="572"/>
      <c r="C327" s="572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</row>
    <row r="328" spans="1:25" ht="12.75" customHeight="1">
      <c r="A328" s="571"/>
      <c r="B328" s="572"/>
      <c r="C328" s="572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</row>
    <row r="329" spans="1:25" ht="12.75" customHeight="1">
      <c r="A329" s="571"/>
      <c r="B329" s="572"/>
      <c r="C329" s="572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</row>
    <row r="330" spans="1:25" ht="12.75" customHeight="1">
      <c r="A330" s="571"/>
      <c r="B330" s="572"/>
      <c r="C330" s="572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</row>
    <row r="331" spans="1:25" ht="12.75" customHeight="1">
      <c r="A331" s="571"/>
      <c r="B331" s="572"/>
      <c r="C331" s="572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</row>
    <row r="332" spans="1:25" ht="12.75" customHeight="1">
      <c r="A332" s="571"/>
      <c r="B332" s="572"/>
      <c r="C332" s="572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</row>
    <row r="333" spans="1:25" ht="12.75" customHeight="1">
      <c r="A333" s="571"/>
      <c r="B333" s="572"/>
      <c r="C333" s="572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</row>
    <row r="334" spans="1:25" ht="12.75" customHeight="1">
      <c r="A334" s="571"/>
      <c r="B334" s="572"/>
      <c r="C334" s="572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</row>
    <row r="335" spans="1:25" ht="12.75" customHeight="1">
      <c r="A335" s="571"/>
      <c r="B335" s="572"/>
      <c r="C335" s="572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</row>
    <row r="336" spans="1:25" ht="12.75" customHeight="1">
      <c r="A336" s="571"/>
      <c r="B336" s="572"/>
      <c r="C336" s="572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</row>
    <row r="337" spans="1:25" ht="12.75" customHeight="1">
      <c r="A337" s="571"/>
      <c r="B337" s="572"/>
      <c r="C337" s="572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</row>
    <row r="338" spans="1:25" ht="12.75" customHeight="1">
      <c r="A338" s="571"/>
      <c r="B338" s="572"/>
      <c r="C338" s="572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</row>
    <row r="339" spans="1:25" ht="12.75" customHeight="1">
      <c r="A339" s="571"/>
      <c r="B339" s="572"/>
      <c r="C339" s="572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</row>
    <row r="340" spans="1:25" ht="12.75" customHeight="1">
      <c r="A340" s="571"/>
      <c r="B340" s="572"/>
      <c r="C340" s="572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</row>
    <row r="341" spans="1:25" ht="12.75" customHeight="1">
      <c r="A341" s="571"/>
      <c r="B341" s="572"/>
      <c r="C341" s="572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</row>
    <row r="342" spans="1:25" ht="12.75" customHeight="1">
      <c r="A342" s="571"/>
      <c r="B342" s="572"/>
      <c r="C342" s="572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</row>
    <row r="343" spans="1:25" ht="12.75" customHeight="1">
      <c r="A343" s="571"/>
      <c r="B343" s="572"/>
      <c r="C343" s="572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</row>
    <row r="344" spans="1:25" ht="12.75" customHeight="1">
      <c r="A344" s="571"/>
      <c r="B344" s="572"/>
      <c r="C344" s="572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</row>
    <row r="345" spans="1:25" ht="12.75" customHeight="1">
      <c r="A345" s="571"/>
      <c r="B345" s="572"/>
      <c r="C345" s="572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</row>
    <row r="346" spans="1:25" ht="12.75" customHeight="1">
      <c r="A346" s="571"/>
      <c r="B346" s="572"/>
      <c r="C346" s="572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</row>
    <row r="347" spans="1:25" ht="12.75" customHeight="1">
      <c r="A347" s="571"/>
      <c r="B347" s="572"/>
      <c r="C347" s="572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</row>
    <row r="348" spans="1:25" ht="12.75" customHeight="1">
      <c r="A348" s="571"/>
      <c r="B348" s="572"/>
      <c r="C348" s="572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</row>
    <row r="349" spans="1:25" ht="12.75" customHeight="1">
      <c r="A349" s="571"/>
      <c r="B349" s="572"/>
      <c r="C349" s="572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</row>
    <row r="350" spans="1:25" ht="12.75" customHeight="1">
      <c r="A350" s="571"/>
      <c r="B350" s="572"/>
      <c r="C350" s="572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</row>
    <row r="351" spans="1:25" ht="12.75" customHeight="1">
      <c r="A351" s="571"/>
      <c r="B351" s="572"/>
      <c r="C351" s="572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</row>
    <row r="352" spans="1:25" ht="12.75" customHeight="1">
      <c r="A352" s="571"/>
      <c r="B352" s="572"/>
      <c r="C352" s="572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</row>
    <row r="353" spans="1:25" ht="12.75" customHeight="1">
      <c r="A353" s="571"/>
      <c r="B353" s="572"/>
      <c r="C353" s="572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</row>
    <row r="354" spans="1:25" ht="12.75" customHeight="1">
      <c r="A354" s="571"/>
      <c r="B354" s="572"/>
      <c r="C354" s="572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</row>
    <row r="355" spans="1:25" ht="12.75" customHeight="1">
      <c r="A355" s="571"/>
      <c r="B355" s="572"/>
      <c r="C355" s="572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</row>
    <row r="356" spans="1:25" ht="12.75" customHeight="1">
      <c r="A356" s="571"/>
      <c r="B356" s="572"/>
      <c r="C356" s="572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</row>
    <row r="357" spans="1:25" ht="12.75" customHeight="1">
      <c r="A357" s="571"/>
      <c r="B357" s="572"/>
      <c r="C357" s="572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</row>
    <row r="358" spans="1:25" ht="12.75" customHeight="1">
      <c r="A358" s="571"/>
      <c r="B358" s="572"/>
      <c r="C358" s="572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</row>
    <row r="359" spans="1:25" ht="12.75" customHeight="1">
      <c r="A359" s="571"/>
      <c r="B359" s="572"/>
      <c r="C359" s="572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</row>
    <row r="360" spans="1:25" ht="12.75" customHeight="1">
      <c r="A360" s="571"/>
      <c r="B360" s="572"/>
      <c r="C360" s="572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</row>
    <row r="361" spans="1:25" ht="12.75" customHeight="1">
      <c r="A361" s="571"/>
      <c r="B361" s="572"/>
      <c r="C361" s="572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</row>
    <row r="362" spans="1:25" ht="12.75" customHeight="1">
      <c r="A362" s="571"/>
      <c r="B362" s="572"/>
      <c r="C362" s="572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</row>
    <row r="363" spans="1:25" ht="12.75" customHeight="1">
      <c r="A363" s="571"/>
      <c r="B363" s="572"/>
      <c r="C363" s="572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</row>
    <row r="364" spans="1:25" ht="12.75" customHeight="1">
      <c r="A364" s="571"/>
      <c r="B364" s="572"/>
      <c r="C364" s="572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</row>
    <row r="365" spans="1:25" ht="12.75" customHeight="1">
      <c r="A365" s="571"/>
      <c r="B365" s="572"/>
      <c r="C365" s="572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</row>
    <row r="366" spans="1:25" ht="12.75" customHeight="1">
      <c r="A366" s="571"/>
      <c r="B366" s="572"/>
      <c r="C366" s="572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</row>
    <row r="367" spans="1:25" ht="12.75" customHeight="1">
      <c r="A367" s="571"/>
      <c r="B367" s="572"/>
      <c r="C367" s="572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</row>
    <row r="368" spans="1:25" ht="12.75" customHeight="1">
      <c r="A368" s="571"/>
      <c r="B368" s="572"/>
      <c r="C368" s="572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</row>
    <row r="369" spans="1:25" ht="12.75" customHeight="1">
      <c r="A369" s="571"/>
      <c r="B369" s="572"/>
      <c r="C369" s="572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</row>
    <row r="370" spans="1:25" ht="12.75" customHeight="1">
      <c r="A370" s="571"/>
      <c r="B370" s="572"/>
      <c r="C370" s="572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</row>
    <row r="371" spans="1:25" ht="12.75" customHeight="1">
      <c r="A371" s="571"/>
      <c r="B371" s="572"/>
      <c r="C371" s="572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</row>
    <row r="372" spans="1:25" ht="12.75" customHeight="1">
      <c r="A372" s="571"/>
      <c r="B372" s="572"/>
      <c r="C372" s="572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</row>
    <row r="373" spans="1:25" ht="12.75" customHeight="1">
      <c r="A373" s="571"/>
      <c r="B373" s="572"/>
      <c r="C373" s="572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</row>
    <row r="374" spans="1:25" ht="12.75" customHeight="1">
      <c r="A374" s="571"/>
      <c r="B374" s="572"/>
      <c r="C374" s="572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</row>
    <row r="375" spans="1:25" ht="12.75" customHeight="1">
      <c r="A375" s="571"/>
      <c r="B375" s="572"/>
      <c r="C375" s="572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</row>
    <row r="376" spans="1:25" ht="12.75" customHeight="1">
      <c r="A376" s="571"/>
      <c r="B376" s="572"/>
      <c r="C376" s="572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</row>
    <row r="377" spans="1:25" ht="12.75" customHeight="1">
      <c r="A377" s="571"/>
      <c r="B377" s="572"/>
      <c r="C377" s="572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</row>
    <row r="378" spans="1:25" ht="12.75" customHeight="1">
      <c r="A378" s="571"/>
      <c r="B378" s="572"/>
      <c r="C378" s="572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</row>
    <row r="379" spans="1:25" ht="12.75" customHeight="1">
      <c r="A379" s="571"/>
      <c r="B379" s="572"/>
      <c r="C379" s="572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</row>
    <row r="380" spans="1:25" ht="12.75" customHeight="1">
      <c r="A380" s="571"/>
      <c r="B380" s="572"/>
      <c r="C380" s="572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</row>
    <row r="381" spans="1:25" ht="12.75" customHeight="1">
      <c r="A381" s="571"/>
      <c r="B381" s="572"/>
      <c r="C381" s="572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</row>
    <row r="382" spans="1:25" ht="12.75" customHeight="1">
      <c r="A382" s="571"/>
      <c r="B382" s="572"/>
      <c r="C382" s="572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</row>
    <row r="383" spans="1:25" ht="12.75" customHeight="1">
      <c r="A383" s="571"/>
      <c r="B383" s="572"/>
      <c r="C383" s="572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</row>
    <row r="384" spans="1:25" ht="12.75" customHeight="1">
      <c r="A384" s="571"/>
      <c r="B384" s="572"/>
      <c r="C384" s="572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</row>
    <row r="385" spans="1:25" ht="12.75" customHeight="1">
      <c r="A385" s="571"/>
      <c r="B385" s="572"/>
      <c r="C385" s="572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</row>
    <row r="386" spans="1:25" ht="12.75" customHeight="1">
      <c r="A386" s="571"/>
      <c r="B386" s="572"/>
      <c r="C386" s="572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</row>
    <row r="387" spans="1:25" ht="12.75" customHeight="1">
      <c r="A387" s="571"/>
      <c r="B387" s="572"/>
      <c r="C387" s="572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</row>
    <row r="388" spans="1:25" ht="12.75" customHeight="1">
      <c r="A388" s="571"/>
      <c r="B388" s="572"/>
      <c r="C388" s="572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</row>
    <row r="389" spans="1:25" ht="12.75" customHeight="1">
      <c r="A389" s="571"/>
      <c r="B389" s="572"/>
      <c r="C389" s="572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</row>
    <row r="390" spans="1:25" ht="12.75" customHeight="1">
      <c r="A390" s="571"/>
      <c r="B390" s="572"/>
      <c r="C390" s="572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</row>
    <row r="391" spans="1:25" ht="12.75" customHeight="1">
      <c r="A391" s="571"/>
      <c r="B391" s="572"/>
      <c r="C391" s="572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</row>
    <row r="392" spans="1:25" ht="12.75" customHeight="1">
      <c r="A392" s="571"/>
      <c r="B392" s="572"/>
      <c r="C392" s="572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</row>
    <row r="393" spans="1:25" ht="12.75" customHeight="1">
      <c r="A393" s="571"/>
      <c r="B393" s="572"/>
      <c r="C393" s="572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</row>
    <row r="394" spans="1:25" ht="12.75" customHeight="1">
      <c r="A394" s="571"/>
      <c r="B394" s="572"/>
      <c r="C394" s="572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</row>
    <row r="395" spans="1:25" ht="12.75" customHeight="1">
      <c r="A395" s="571"/>
      <c r="B395" s="572"/>
      <c r="C395" s="572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</row>
    <row r="396" spans="1:25" ht="12.75" customHeight="1">
      <c r="A396" s="571"/>
      <c r="B396" s="572"/>
      <c r="C396" s="572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</row>
    <row r="397" spans="1:25" ht="12.75" customHeight="1">
      <c r="A397" s="571"/>
      <c r="B397" s="572"/>
      <c r="C397" s="572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</row>
    <row r="398" spans="1:25" ht="12.75" customHeight="1">
      <c r="A398" s="571"/>
      <c r="B398" s="572"/>
      <c r="C398" s="572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</row>
    <row r="399" spans="1:25" ht="12.75" customHeight="1">
      <c r="A399" s="571"/>
      <c r="B399" s="572"/>
      <c r="C399" s="572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</row>
    <row r="400" spans="1:25" ht="12.75" customHeight="1">
      <c r="A400" s="571"/>
      <c r="B400" s="572"/>
      <c r="C400" s="572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</row>
    <row r="401" spans="1:25" ht="12.75" customHeight="1">
      <c r="A401" s="571"/>
      <c r="B401" s="572"/>
      <c r="C401" s="572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</row>
    <row r="402" spans="1:25" ht="12.75" customHeight="1">
      <c r="A402" s="571"/>
      <c r="B402" s="572"/>
      <c r="C402" s="572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</row>
    <row r="403" spans="1:25" ht="12.75" customHeight="1">
      <c r="A403" s="571"/>
      <c r="B403" s="572"/>
      <c r="C403" s="572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</row>
    <row r="404" spans="1:25" ht="12.75" customHeight="1">
      <c r="A404" s="571"/>
      <c r="B404" s="572"/>
      <c r="C404" s="572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</row>
    <row r="405" spans="1:25" ht="12.75" customHeight="1">
      <c r="A405" s="571"/>
      <c r="B405" s="572"/>
      <c r="C405" s="572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</row>
    <row r="406" spans="1:25" ht="12.75" customHeight="1">
      <c r="A406" s="571"/>
      <c r="B406" s="572"/>
      <c r="C406" s="572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</row>
    <row r="407" spans="1:25" ht="12.75" customHeight="1">
      <c r="A407" s="571"/>
      <c r="B407" s="572"/>
      <c r="C407" s="572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</row>
    <row r="408" spans="1:25" ht="12.75" customHeight="1">
      <c r="A408" s="571"/>
      <c r="B408" s="572"/>
      <c r="C408" s="572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</row>
    <row r="409" spans="1:25" ht="12.75" customHeight="1">
      <c r="A409" s="571"/>
      <c r="B409" s="572"/>
      <c r="C409" s="572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</row>
    <row r="410" spans="1:25" ht="12.75" customHeight="1">
      <c r="A410" s="571"/>
      <c r="B410" s="572"/>
      <c r="C410" s="572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</row>
    <row r="411" spans="1:25" ht="12.75" customHeight="1">
      <c r="A411" s="571"/>
      <c r="B411" s="572"/>
      <c r="C411" s="572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</row>
    <row r="412" spans="1:25" ht="12.75" customHeight="1">
      <c r="A412" s="571"/>
      <c r="B412" s="572"/>
      <c r="C412" s="572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</row>
    <row r="413" spans="1:25" ht="12.75" customHeight="1">
      <c r="A413" s="571"/>
      <c r="B413" s="572"/>
      <c r="C413" s="572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</row>
    <row r="414" spans="1:25" ht="12.75" customHeight="1">
      <c r="A414" s="571"/>
      <c r="B414" s="572"/>
      <c r="C414" s="572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</row>
    <row r="415" spans="1:25" ht="12.75" customHeight="1">
      <c r="A415" s="571"/>
      <c r="B415" s="572"/>
      <c r="C415" s="572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</row>
    <row r="416" spans="1:25" ht="12.75" customHeight="1">
      <c r="A416" s="571"/>
      <c r="B416" s="572"/>
      <c r="C416" s="572"/>
      <c r="D416" s="572"/>
      <c r="E416" s="572"/>
      <c r="F416" s="572"/>
      <c r="G416" s="572"/>
      <c r="H416" s="572"/>
      <c r="I416" s="572"/>
      <c r="J416" s="572"/>
      <c r="K416" s="572"/>
      <c r="L416" s="572"/>
      <c r="M416" s="572"/>
      <c r="N416" s="572"/>
      <c r="O416" s="572"/>
      <c r="P416" s="572"/>
      <c r="Q416" s="572"/>
      <c r="R416" s="572"/>
      <c r="S416" s="572"/>
      <c r="T416" s="572"/>
      <c r="U416" s="572"/>
      <c r="V416" s="572"/>
      <c r="W416" s="572"/>
      <c r="X416" s="572"/>
      <c r="Y416" s="572"/>
    </row>
    <row r="417" spans="1:25" ht="12.75" customHeight="1">
      <c r="A417" s="571"/>
      <c r="B417" s="572"/>
      <c r="C417" s="572"/>
      <c r="D417" s="572"/>
      <c r="E417" s="572"/>
      <c r="F417" s="572"/>
      <c r="G417" s="572"/>
      <c r="H417" s="572"/>
      <c r="I417" s="572"/>
      <c r="J417" s="572"/>
      <c r="K417" s="572"/>
      <c r="L417" s="572"/>
      <c r="M417" s="572"/>
      <c r="N417" s="572"/>
      <c r="O417" s="572"/>
      <c r="P417" s="572"/>
      <c r="Q417" s="572"/>
      <c r="R417" s="572"/>
      <c r="S417" s="572"/>
      <c r="T417" s="572"/>
      <c r="U417" s="572"/>
      <c r="V417" s="572"/>
      <c r="W417" s="572"/>
      <c r="X417" s="572"/>
      <c r="Y417" s="572"/>
    </row>
    <row r="418" spans="1:25" ht="12.75" customHeight="1">
      <c r="A418" s="571"/>
      <c r="B418" s="572"/>
      <c r="C418" s="572"/>
      <c r="D418" s="572"/>
      <c r="E418" s="572"/>
      <c r="F418" s="572"/>
      <c r="G418" s="572"/>
      <c r="H418" s="572"/>
      <c r="I418" s="572"/>
      <c r="J418" s="572"/>
      <c r="K418" s="572"/>
      <c r="L418" s="572"/>
      <c r="M418" s="572"/>
      <c r="N418" s="572"/>
      <c r="O418" s="572"/>
      <c r="P418" s="572"/>
      <c r="Q418" s="572"/>
      <c r="R418" s="572"/>
      <c r="S418" s="572"/>
      <c r="T418" s="572"/>
      <c r="U418" s="572"/>
      <c r="V418" s="572"/>
      <c r="W418" s="572"/>
      <c r="X418" s="572"/>
      <c r="Y418" s="572"/>
    </row>
    <row r="419" spans="1:25" ht="12.75" customHeight="1">
      <c r="A419" s="571"/>
      <c r="B419" s="572"/>
      <c r="C419" s="572"/>
      <c r="D419" s="572"/>
      <c r="E419" s="572"/>
      <c r="F419" s="572"/>
      <c r="G419" s="572"/>
      <c r="H419" s="572"/>
      <c r="I419" s="572"/>
      <c r="J419" s="572"/>
      <c r="K419" s="572"/>
      <c r="L419" s="572"/>
      <c r="M419" s="572"/>
      <c r="N419" s="572"/>
      <c r="O419" s="572"/>
      <c r="P419" s="572"/>
      <c r="Q419" s="572"/>
      <c r="R419" s="572"/>
      <c r="S419" s="572"/>
      <c r="T419" s="572"/>
      <c r="U419" s="572"/>
      <c r="V419" s="572"/>
      <c r="W419" s="572"/>
      <c r="X419" s="572"/>
      <c r="Y419" s="572"/>
    </row>
    <row r="420" spans="1:25" ht="12.75" customHeight="1">
      <c r="A420" s="571"/>
      <c r="B420" s="572"/>
      <c r="C420" s="572"/>
      <c r="D420" s="572"/>
      <c r="E420" s="572"/>
      <c r="F420" s="572"/>
      <c r="G420" s="572"/>
      <c r="H420" s="572"/>
      <c r="I420" s="572"/>
      <c r="J420" s="572"/>
      <c r="K420" s="572"/>
      <c r="L420" s="572"/>
      <c r="M420" s="572"/>
      <c r="N420" s="572"/>
      <c r="O420" s="572"/>
      <c r="P420" s="572"/>
      <c r="Q420" s="572"/>
      <c r="R420" s="572"/>
      <c r="S420" s="572"/>
      <c r="T420" s="572"/>
      <c r="U420" s="572"/>
      <c r="V420" s="572"/>
      <c r="W420" s="572"/>
      <c r="X420" s="572"/>
      <c r="Y420" s="572"/>
    </row>
    <row r="421" spans="1:25" ht="12.75" customHeight="1">
      <c r="A421" s="571"/>
      <c r="B421" s="572"/>
      <c r="C421" s="572"/>
      <c r="D421" s="572"/>
      <c r="E421" s="572"/>
      <c r="F421" s="572"/>
      <c r="G421" s="572"/>
      <c r="H421" s="572"/>
      <c r="I421" s="572"/>
      <c r="J421" s="572"/>
      <c r="K421" s="572"/>
      <c r="L421" s="572"/>
      <c r="M421" s="572"/>
      <c r="N421" s="572"/>
      <c r="O421" s="572"/>
      <c r="P421" s="572"/>
      <c r="Q421" s="572"/>
      <c r="R421" s="572"/>
      <c r="S421" s="572"/>
      <c r="T421" s="572"/>
      <c r="U421" s="572"/>
      <c r="V421" s="572"/>
      <c r="W421" s="572"/>
      <c r="X421" s="572"/>
      <c r="Y421" s="572"/>
    </row>
    <row r="422" spans="1:25" ht="12.75" customHeight="1">
      <c r="A422" s="571"/>
      <c r="B422" s="572"/>
      <c r="C422" s="572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</row>
    <row r="423" spans="1:25" ht="12.75" customHeight="1">
      <c r="A423" s="571"/>
      <c r="B423" s="572"/>
      <c r="C423" s="572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</row>
    <row r="424" spans="1:25" ht="12.75" customHeight="1">
      <c r="A424" s="571"/>
      <c r="B424" s="572"/>
      <c r="C424" s="572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</row>
    <row r="425" spans="1:25" ht="12.75" customHeight="1">
      <c r="A425" s="571"/>
      <c r="B425" s="572"/>
      <c r="C425" s="572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</row>
    <row r="426" spans="1:25" ht="12.75" customHeight="1">
      <c r="A426" s="571"/>
      <c r="B426" s="572"/>
      <c r="C426" s="572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</row>
    <row r="427" spans="1:25" ht="12.75" customHeight="1">
      <c r="A427" s="571"/>
      <c r="B427" s="572"/>
      <c r="C427" s="572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</row>
    <row r="428" spans="1:25" ht="12.75" customHeight="1">
      <c r="A428" s="571"/>
      <c r="B428" s="572"/>
      <c r="C428" s="572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</row>
    <row r="429" spans="1:25" ht="12.75" customHeight="1">
      <c r="A429" s="571"/>
      <c r="B429" s="572"/>
      <c r="C429" s="572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</row>
    <row r="430" spans="1:25" ht="12.75" customHeight="1">
      <c r="A430" s="571"/>
      <c r="B430" s="572"/>
      <c r="C430" s="572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</row>
    <row r="431" spans="1:25" ht="12.75" customHeight="1">
      <c r="A431" s="571"/>
      <c r="B431" s="572"/>
      <c r="C431" s="572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</row>
    <row r="432" spans="1:25" ht="12.75" customHeight="1">
      <c r="A432" s="571"/>
      <c r="B432" s="572"/>
      <c r="C432" s="572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</row>
    <row r="433" spans="1:25" ht="12.75" customHeight="1">
      <c r="A433" s="571"/>
      <c r="B433" s="572"/>
      <c r="C433" s="572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</row>
    <row r="434" spans="1:25" ht="12.75" customHeight="1">
      <c r="A434" s="571"/>
      <c r="B434" s="572"/>
      <c r="C434" s="572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</row>
    <row r="435" spans="1:25" ht="12.75" customHeight="1">
      <c r="A435" s="571"/>
      <c r="B435" s="572"/>
      <c r="C435" s="572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</row>
    <row r="436" spans="1:25" ht="12.75" customHeight="1">
      <c r="A436" s="571"/>
      <c r="B436" s="572"/>
      <c r="C436" s="572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</row>
    <row r="437" spans="1:25" ht="12.75" customHeight="1">
      <c r="A437" s="571"/>
      <c r="B437" s="572"/>
      <c r="C437" s="572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</row>
    <row r="438" spans="1:25" ht="12.75" customHeight="1">
      <c r="A438" s="571"/>
      <c r="B438" s="572"/>
      <c r="C438" s="572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</row>
    <row r="439" spans="1:25" ht="12.75" customHeight="1">
      <c r="A439" s="571"/>
      <c r="B439" s="572"/>
      <c r="C439" s="572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</row>
    <row r="440" spans="1:25" ht="12.75" customHeight="1">
      <c r="A440" s="571"/>
      <c r="B440" s="572"/>
      <c r="C440" s="572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</row>
    <row r="441" spans="1:25" ht="12.75" customHeight="1">
      <c r="A441" s="571"/>
      <c r="B441" s="572"/>
      <c r="C441" s="572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</row>
    <row r="442" spans="1:25" ht="12.75" customHeight="1">
      <c r="A442" s="571"/>
      <c r="B442" s="572"/>
      <c r="C442" s="572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</row>
    <row r="443" spans="1:25" ht="12.75" customHeight="1">
      <c r="A443" s="571"/>
      <c r="B443" s="572"/>
      <c r="C443" s="572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</row>
    <row r="444" spans="1:25" ht="12.75" customHeight="1">
      <c r="A444" s="571"/>
      <c r="B444" s="572"/>
      <c r="C444" s="572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</row>
    <row r="445" spans="1:25" ht="12.75" customHeight="1">
      <c r="A445" s="571"/>
      <c r="B445" s="572"/>
      <c r="C445" s="572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</row>
    <row r="446" spans="1:25" ht="12.75" customHeight="1">
      <c r="A446" s="571"/>
      <c r="B446" s="572"/>
      <c r="C446" s="572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</row>
    <row r="447" spans="1:25" ht="12.75" customHeight="1">
      <c r="A447" s="571"/>
      <c r="B447" s="572"/>
      <c r="C447" s="572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</row>
    <row r="448" spans="1:25" ht="12.75" customHeight="1">
      <c r="A448" s="571"/>
      <c r="B448" s="572"/>
      <c r="C448" s="572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</row>
    <row r="449" spans="1:25" ht="12.75" customHeight="1">
      <c r="A449" s="571"/>
      <c r="B449" s="572"/>
      <c r="C449" s="572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</row>
    <row r="450" spans="1:25" ht="12.75" customHeight="1">
      <c r="A450" s="571"/>
      <c r="B450" s="572"/>
      <c r="C450" s="572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</row>
    <row r="451" spans="1:25" ht="12.75" customHeight="1">
      <c r="A451" s="571"/>
      <c r="B451" s="572"/>
      <c r="C451" s="572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</row>
    <row r="452" spans="1:25" ht="12.75" customHeight="1">
      <c r="A452" s="571"/>
      <c r="B452" s="572"/>
      <c r="C452" s="572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</row>
    <row r="453" spans="1:25" ht="12.75" customHeight="1">
      <c r="A453" s="571"/>
      <c r="B453" s="572"/>
      <c r="C453" s="572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</row>
    <row r="454" spans="1:25" ht="12.75" customHeight="1">
      <c r="A454" s="571"/>
      <c r="B454" s="572"/>
      <c r="C454" s="572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</row>
    <row r="455" spans="1:25" ht="12.75" customHeight="1">
      <c r="A455" s="571"/>
      <c r="B455" s="572"/>
      <c r="C455" s="572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</row>
    <row r="456" spans="1:25" ht="12.75" customHeight="1">
      <c r="A456" s="571"/>
      <c r="B456" s="572"/>
      <c r="C456" s="572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</row>
    <row r="457" spans="1:25" ht="12.75" customHeight="1">
      <c r="A457" s="571"/>
      <c r="B457" s="572"/>
      <c r="C457" s="572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</row>
    <row r="458" spans="1:25" ht="12.75" customHeight="1">
      <c r="A458" s="571"/>
      <c r="B458" s="572"/>
      <c r="C458" s="572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</row>
    <row r="459" spans="1:25" ht="12.75" customHeight="1">
      <c r="A459" s="571"/>
      <c r="B459" s="572"/>
      <c r="C459" s="572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</row>
    <row r="460" spans="1:25" ht="12.75" customHeight="1">
      <c r="A460" s="571"/>
      <c r="B460" s="572"/>
      <c r="C460" s="572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</row>
    <row r="461" spans="1:25" ht="12.75" customHeight="1">
      <c r="A461" s="571"/>
      <c r="B461" s="572"/>
      <c r="C461" s="572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</row>
    <row r="462" spans="1:25" ht="12.75" customHeight="1">
      <c r="A462" s="571"/>
      <c r="B462" s="572"/>
      <c r="C462" s="572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</row>
    <row r="463" spans="1:25" ht="12.75" customHeight="1">
      <c r="A463" s="571"/>
      <c r="B463" s="572"/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</row>
    <row r="464" spans="1:25" ht="12.75" customHeight="1">
      <c r="A464" s="571"/>
      <c r="B464" s="572"/>
      <c r="C464" s="572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</row>
    <row r="465" spans="1:25" ht="12.75" customHeight="1">
      <c r="A465" s="571"/>
      <c r="B465" s="572"/>
      <c r="C465" s="572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</row>
    <row r="466" spans="1:25" ht="12.75" customHeight="1">
      <c r="A466" s="571"/>
      <c r="B466" s="572"/>
      <c r="C466" s="572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</row>
    <row r="467" spans="1:25" ht="12.75" customHeight="1">
      <c r="A467" s="571"/>
      <c r="B467" s="572"/>
      <c r="C467" s="572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</row>
    <row r="468" spans="1:25" ht="12.75" customHeight="1">
      <c r="A468" s="571"/>
      <c r="B468" s="572"/>
      <c r="C468" s="572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</row>
    <row r="469" spans="1:25" ht="12.75" customHeight="1">
      <c r="A469" s="571"/>
      <c r="B469" s="572"/>
      <c r="C469" s="572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</row>
    <row r="470" spans="1:25" ht="12.75" customHeight="1">
      <c r="A470" s="571"/>
      <c r="B470" s="572"/>
      <c r="C470" s="572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</row>
    <row r="471" spans="1:25" ht="12.75" customHeight="1">
      <c r="A471" s="571"/>
      <c r="B471" s="572"/>
      <c r="C471" s="572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</row>
    <row r="472" spans="1:25" ht="12.75" customHeight="1">
      <c r="A472" s="571"/>
      <c r="B472" s="572"/>
      <c r="C472" s="572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</row>
    <row r="473" spans="1:25" ht="12.75" customHeight="1">
      <c r="A473" s="571"/>
      <c r="B473" s="572"/>
      <c r="C473" s="572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</row>
    <row r="474" spans="1:25" ht="12.75" customHeight="1">
      <c r="A474" s="571"/>
      <c r="B474" s="572"/>
      <c r="C474" s="572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</row>
    <row r="475" spans="1:25" ht="12.75" customHeight="1">
      <c r="A475" s="571"/>
      <c r="B475" s="572"/>
      <c r="C475" s="572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</row>
    <row r="476" spans="1:25" ht="12.75" customHeight="1">
      <c r="A476" s="571"/>
      <c r="B476" s="572"/>
      <c r="C476" s="572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</row>
    <row r="477" spans="1:25" ht="12.75" customHeight="1">
      <c r="A477" s="571"/>
      <c r="B477" s="572"/>
      <c r="C477" s="572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</row>
    <row r="478" spans="1:25" ht="12.75" customHeight="1">
      <c r="A478" s="571"/>
      <c r="B478" s="572"/>
      <c r="C478" s="572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</row>
    <row r="479" spans="1:25" ht="12.75" customHeight="1">
      <c r="A479" s="571"/>
      <c r="B479" s="572"/>
      <c r="C479" s="572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</row>
    <row r="480" spans="1:25" ht="12.75" customHeight="1">
      <c r="A480" s="571"/>
      <c r="B480" s="572"/>
      <c r="C480" s="572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</row>
    <row r="481" spans="1:25" ht="12.75" customHeight="1">
      <c r="A481" s="571"/>
      <c r="B481" s="572"/>
      <c r="C481" s="572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</row>
    <row r="482" spans="1:25" ht="12.75" customHeight="1">
      <c r="A482" s="571"/>
      <c r="B482" s="572"/>
      <c r="C482" s="572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</row>
    <row r="483" spans="1:25" ht="12.75" customHeight="1">
      <c r="A483" s="571"/>
      <c r="B483" s="572"/>
      <c r="C483" s="572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</row>
    <row r="484" spans="1:25" ht="12.75" customHeight="1">
      <c r="A484" s="571"/>
      <c r="B484" s="572"/>
      <c r="C484" s="572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</row>
    <row r="485" spans="1:25" ht="12.75" customHeight="1">
      <c r="A485" s="571"/>
      <c r="B485" s="572"/>
      <c r="C485" s="572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</row>
    <row r="486" spans="1:25" ht="12.75" customHeight="1">
      <c r="A486" s="571"/>
      <c r="B486" s="572"/>
      <c r="C486" s="572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</row>
    <row r="487" spans="1:25" ht="12.75" customHeight="1">
      <c r="A487" s="571"/>
      <c r="B487" s="572"/>
      <c r="C487" s="572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</row>
    <row r="488" spans="1:25" ht="12.75" customHeight="1">
      <c r="A488" s="571"/>
      <c r="B488" s="572"/>
      <c r="C488" s="572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</row>
    <row r="489" spans="1:25" ht="12.75" customHeight="1">
      <c r="A489" s="571"/>
      <c r="B489" s="572"/>
      <c r="C489" s="572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</row>
    <row r="490" spans="1:25" ht="12.75" customHeight="1">
      <c r="A490" s="571"/>
      <c r="B490" s="572"/>
      <c r="C490" s="572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</row>
    <row r="491" spans="1:25" ht="12.75" customHeight="1">
      <c r="A491" s="571"/>
      <c r="B491" s="572"/>
      <c r="C491" s="572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</row>
    <row r="492" spans="1:25" ht="12.75" customHeight="1">
      <c r="A492" s="571"/>
      <c r="B492" s="572"/>
      <c r="C492" s="572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</row>
    <row r="493" spans="1:25" ht="12.75" customHeight="1">
      <c r="A493" s="571"/>
      <c r="B493" s="572"/>
      <c r="C493" s="572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</row>
    <row r="494" spans="1:25" ht="12.75" customHeight="1">
      <c r="A494" s="571"/>
      <c r="B494" s="572"/>
      <c r="C494" s="572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</row>
    <row r="495" spans="1:25" ht="12.75" customHeight="1">
      <c r="A495" s="571"/>
      <c r="B495" s="572"/>
      <c r="C495" s="572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</row>
    <row r="496" spans="1:25" ht="12.75" customHeight="1">
      <c r="A496" s="571"/>
      <c r="B496" s="572"/>
      <c r="C496" s="572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</row>
    <row r="497" spans="1:25" ht="12.75" customHeight="1">
      <c r="A497" s="571"/>
      <c r="B497" s="572"/>
      <c r="C497" s="572"/>
      <c r="D497" s="572"/>
      <c r="E497" s="572"/>
      <c r="F497" s="572"/>
      <c r="G497" s="572"/>
      <c r="H497" s="572"/>
      <c r="I497" s="572"/>
      <c r="J497" s="572"/>
      <c r="K497" s="572"/>
      <c r="L497" s="572"/>
      <c r="M497" s="572"/>
      <c r="N497" s="572"/>
      <c r="O497" s="572"/>
      <c r="P497" s="572"/>
      <c r="Q497" s="572"/>
      <c r="R497" s="572"/>
      <c r="S497" s="572"/>
      <c r="T497" s="572"/>
      <c r="U497" s="572"/>
      <c r="V497" s="572"/>
      <c r="W497" s="572"/>
      <c r="X497" s="572"/>
      <c r="Y497" s="572"/>
    </row>
    <row r="498" spans="1:25" ht="12.75" customHeight="1">
      <c r="A498" s="571"/>
      <c r="B498" s="572"/>
      <c r="C498" s="572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</row>
    <row r="499" spans="1:25" ht="12.75" customHeight="1">
      <c r="A499" s="571"/>
      <c r="B499" s="572"/>
      <c r="C499" s="572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</row>
    <row r="500" spans="1:25" ht="12.75" customHeight="1">
      <c r="A500" s="571"/>
      <c r="B500" s="572"/>
      <c r="C500" s="572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</row>
    <row r="501" spans="1:25" ht="12.75" customHeight="1">
      <c r="A501" s="571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</row>
    <row r="502" spans="1:25" ht="12.75" customHeight="1">
      <c r="A502" s="571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</row>
    <row r="503" spans="1:25" ht="12.75" customHeight="1">
      <c r="A503" s="571"/>
      <c r="B503" s="572"/>
      <c r="C503" s="572"/>
      <c r="D503" s="572"/>
      <c r="E503" s="572"/>
      <c r="F503" s="572"/>
      <c r="G503" s="572"/>
      <c r="H503" s="572"/>
      <c r="I503" s="572"/>
      <c r="J503" s="572"/>
      <c r="K503" s="572"/>
      <c r="L503" s="572"/>
      <c r="M503" s="572"/>
      <c r="N503" s="572"/>
      <c r="O503" s="572"/>
      <c r="P503" s="572"/>
      <c r="Q503" s="572"/>
      <c r="R503" s="572"/>
      <c r="S503" s="572"/>
      <c r="T503" s="572"/>
      <c r="U503" s="572"/>
      <c r="V503" s="572"/>
      <c r="W503" s="572"/>
      <c r="X503" s="572"/>
      <c r="Y503" s="572"/>
    </row>
    <row r="504" spans="1:25" ht="12.75" customHeight="1">
      <c r="A504" s="571"/>
      <c r="B504" s="572"/>
      <c r="C504" s="572"/>
      <c r="D504" s="572"/>
      <c r="E504" s="572"/>
      <c r="F504" s="572"/>
      <c r="G504" s="572"/>
      <c r="H504" s="572"/>
      <c r="I504" s="572"/>
      <c r="J504" s="572"/>
      <c r="K504" s="572"/>
      <c r="L504" s="572"/>
      <c r="M504" s="572"/>
      <c r="N504" s="572"/>
      <c r="O504" s="572"/>
      <c r="P504" s="572"/>
      <c r="Q504" s="572"/>
      <c r="R504" s="572"/>
      <c r="S504" s="572"/>
      <c r="T504" s="572"/>
      <c r="U504" s="572"/>
      <c r="V504" s="572"/>
      <c r="W504" s="572"/>
      <c r="X504" s="572"/>
      <c r="Y504" s="572"/>
    </row>
    <row r="505" spans="1:25" ht="12.75" customHeight="1">
      <c r="A505" s="571"/>
      <c r="B505" s="572"/>
      <c r="C505" s="572"/>
      <c r="D505" s="572"/>
      <c r="E505" s="572"/>
      <c r="F505" s="572"/>
      <c r="G505" s="572"/>
      <c r="H505" s="572"/>
      <c r="I505" s="572"/>
      <c r="J505" s="572"/>
      <c r="K505" s="572"/>
      <c r="L505" s="572"/>
      <c r="M505" s="572"/>
      <c r="N505" s="572"/>
      <c r="O505" s="572"/>
      <c r="P505" s="572"/>
      <c r="Q505" s="572"/>
      <c r="R505" s="572"/>
      <c r="S505" s="572"/>
      <c r="T505" s="572"/>
      <c r="U505" s="572"/>
      <c r="V505" s="572"/>
      <c r="W505" s="572"/>
      <c r="X505" s="572"/>
      <c r="Y505" s="572"/>
    </row>
    <row r="506" spans="1:25" ht="12.75" customHeight="1">
      <c r="A506" s="571"/>
      <c r="B506" s="572"/>
      <c r="C506" s="572"/>
      <c r="D506" s="572"/>
      <c r="E506" s="572"/>
      <c r="F506" s="572"/>
      <c r="G506" s="572"/>
      <c r="H506" s="572"/>
      <c r="I506" s="572"/>
      <c r="J506" s="572"/>
      <c r="K506" s="572"/>
      <c r="L506" s="572"/>
      <c r="M506" s="572"/>
      <c r="N506" s="572"/>
      <c r="O506" s="572"/>
      <c r="P506" s="572"/>
      <c r="Q506" s="572"/>
      <c r="R506" s="572"/>
      <c r="S506" s="572"/>
      <c r="T506" s="572"/>
      <c r="U506" s="572"/>
      <c r="V506" s="572"/>
      <c r="W506" s="572"/>
      <c r="X506" s="572"/>
      <c r="Y506" s="572"/>
    </row>
    <row r="507" spans="1:25" ht="12.75" customHeight="1">
      <c r="A507" s="571"/>
      <c r="B507" s="572"/>
      <c r="C507" s="572"/>
      <c r="D507" s="572"/>
      <c r="E507" s="572"/>
      <c r="F507" s="572"/>
      <c r="G507" s="572"/>
      <c r="H507" s="572"/>
      <c r="I507" s="572"/>
      <c r="J507" s="572"/>
      <c r="K507" s="572"/>
      <c r="L507" s="572"/>
      <c r="M507" s="572"/>
      <c r="N507" s="572"/>
      <c r="O507" s="572"/>
      <c r="P507" s="572"/>
      <c r="Q507" s="572"/>
      <c r="R507" s="572"/>
      <c r="S507" s="572"/>
      <c r="T507" s="572"/>
      <c r="U507" s="572"/>
      <c r="V507" s="572"/>
      <c r="W507" s="572"/>
      <c r="X507" s="572"/>
      <c r="Y507" s="572"/>
    </row>
    <row r="508" spans="1:25" ht="12.75" customHeight="1">
      <c r="A508" s="571"/>
      <c r="B508" s="572"/>
      <c r="C508" s="572"/>
      <c r="D508" s="572"/>
      <c r="E508" s="572"/>
      <c r="F508" s="572"/>
      <c r="G508" s="572"/>
      <c r="H508" s="572"/>
      <c r="I508" s="572"/>
      <c r="J508" s="572"/>
      <c r="K508" s="572"/>
      <c r="L508" s="572"/>
      <c r="M508" s="572"/>
      <c r="N508" s="572"/>
      <c r="O508" s="572"/>
      <c r="P508" s="572"/>
      <c r="Q508" s="572"/>
      <c r="R508" s="572"/>
      <c r="S508" s="572"/>
      <c r="T508" s="572"/>
      <c r="U508" s="572"/>
      <c r="V508" s="572"/>
      <c r="W508" s="572"/>
      <c r="X508" s="572"/>
      <c r="Y508" s="572"/>
    </row>
    <row r="509" spans="1:25" ht="12.75" customHeight="1">
      <c r="A509" s="571"/>
      <c r="B509" s="572"/>
      <c r="C509" s="572"/>
      <c r="D509" s="572"/>
      <c r="E509" s="572"/>
      <c r="F509" s="572"/>
      <c r="G509" s="572"/>
      <c r="H509" s="572"/>
      <c r="I509" s="572"/>
      <c r="J509" s="572"/>
      <c r="K509" s="572"/>
      <c r="L509" s="572"/>
      <c r="M509" s="572"/>
      <c r="N509" s="572"/>
      <c r="O509" s="572"/>
      <c r="P509" s="572"/>
      <c r="Q509" s="572"/>
      <c r="R509" s="572"/>
      <c r="S509" s="572"/>
      <c r="T509" s="572"/>
      <c r="U509" s="572"/>
      <c r="V509" s="572"/>
      <c r="W509" s="572"/>
      <c r="X509" s="572"/>
      <c r="Y509" s="572"/>
    </row>
    <row r="510" spans="1:25" ht="12.75" customHeight="1">
      <c r="A510" s="571"/>
      <c r="B510" s="572"/>
      <c r="C510" s="572"/>
      <c r="D510" s="572"/>
      <c r="E510" s="572"/>
      <c r="F510" s="572"/>
      <c r="G510" s="572"/>
      <c r="H510" s="572"/>
      <c r="I510" s="572"/>
      <c r="J510" s="572"/>
      <c r="K510" s="572"/>
      <c r="L510" s="572"/>
      <c r="M510" s="572"/>
      <c r="N510" s="572"/>
      <c r="O510" s="572"/>
      <c r="P510" s="572"/>
      <c r="Q510" s="572"/>
      <c r="R510" s="572"/>
      <c r="S510" s="572"/>
      <c r="T510" s="572"/>
      <c r="U510" s="572"/>
      <c r="V510" s="572"/>
      <c r="W510" s="572"/>
      <c r="X510" s="572"/>
      <c r="Y510" s="572"/>
    </row>
    <row r="511" spans="1:25" ht="12.75" customHeight="1">
      <c r="A511" s="571"/>
      <c r="B511" s="572"/>
      <c r="C511" s="572"/>
      <c r="D511" s="572"/>
      <c r="E511" s="572"/>
      <c r="F511" s="572"/>
      <c r="G511" s="572"/>
      <c r="H511" s="572"/>
      <c r="I511" s="572"/>
      <c r="J511" s="572"/>
      <c r="K511" s="572"/>
      <c r="L511" s="572"/>
      <c r="M511" s="572"/>
      <c r="N511" s="572"/>
      <c r="O511" s="572"/>
      <c r="P511" s="572"/>
      <c r="Q511" s="572"/>
      <c r="R511" s="572"/>
      <c r="S511" s="572"/>
      <c r="T511" s="572"/>
      <c r="U511" s="572"/>
      <c r="V511" s="572"/>
      <c r="W511" s="572"/>
      <c r="X511" s="572"/>
      <c r="Y511" s="572"/>
    </row>
    <row r="512" spans="1:25" ht="12.75" customHeight="1">
      <c r="A512" s="571"/>
      <c r="B512" s="572"/>
      <c r="C512" s="572"/>
      <c r="D512" s="572"/>
      <c r="E512" s="572"/>
      <c r="F512" s="572"/>
      <c r="G512" s="572"/>
      <c r="H512" s="572"/>
      <c r="I512" s="572"/>
      <c r="J512" s="572"/>
      <c r="K512" s="572"/>
      <c r="L512" s="572"/>
      <c r="M512" s="572"/>
      <c r="N512" s="572"/>
      <c r="O512" s="572"/>
      <c r="P512" s="572"/>
      <c r="Q512" s="572"/>
      <c r="R512" s="572"/>
      <c r="S512" s="572"/>
      <c r="T512" s="572"/>
      <c r="U512" s="572"/>
      <c r="V512" s="572"/>
      <c r="W512" s="572"/>
      <c r="X512" s="572"/>
      <c r="Y512" s="572"/>
    </row>
    <row r="513" spans="1:25" ht="12.75" customHeight="1">
      <c r="A513" s="571"/>
      <c r="B513" s="572"/>
      <c r="C513" s="572"/>
      <c r="D513" s="572"/>
      <c r="E513" s="572"/>
      <c r="F513" s="572"/>
      <c r="G513" s="572"/>
      <c r="H513" s="572"/>
      <c r="I513" s="572"/>
      <c r="J513" s="572"/>
      <c r="K513" s="572"/>
      <c r="L513" s="572"/>
      <c r="M513" s="572"/>
      <c r="N513" s="572"/>
      <c r="O513" s="572"/>
      <c r="P513" s="572"/>
      <c r="Q513" s="572"/>
      <c r="R513" s="572"/>
      <c r="S513" s="572"/>
      <c r="T513" s="572"/>
      <c r="U513" s="572"/>
      <c r="V513" s="572"/>
      <c r="W513" s="572"/>
      <c r="X513" s="572"/>
      <c r="Y513" s="572"/>
    </row>
    <row r="514" spans="1:25" ht="12.75" customHeight="1">
      <c r="A514" s="571"/>
      <c r="B514" s="572"/>
      <c r="C514" s="572"/>
      <c r="D514" s="572"/>
      <c r="E514" s="572"/>
      <c r="F514" s="572"/>
      <c r="G514" s="572"/>
      <c r="H514" s="572"/>
      <c r="I514" s="572"/>
      <c r="J514" s="572"/>
      <c r="K514" s="572"/>
      <c r="L514" s="572"/>
      <c r="M514" s="572"/>
      <c r="N514" s="572"/>
      <c r="O514" s="572"/>
      <c r="P514" s="572"/>
      <c r="Q514" s="572"/>
      <c r="R514" s="572"/>
      <c r="S514" s="572"/>
      <c r="T514" s="572"/>
      <c r="U514" s="572"/>
      <c r="V514" s="572"/>
      <c r="W514" s="572"/>
      <c r="X514" s="572"/>
      <c r="Y514" s="572"/>
    </row>
    <row r="515" spans="1:25" ht="12.75" customHeight="1">
      <c r="A515" s="571"/>
      <c r="B515" s="572"/>
      <c r="C515" s="572"/>
      <c r="D515" s="572"/>
      <c r="E515" s="572"/>
      <c r="F515" s="572"/>
      <c r="G515" s="572"/>
      <c r="H515" s="572"/>
      <c r="I515" s="572"/>
      <c r="J515" s="572"/>
      <c r="K515" s="572"/>
      <c r="L515" s="572"/>
      <c r="M515" s="572"/>
      <c r="N515" s="572"/>
      <c r="O515" s="572"/>
      <c r="P515" s="572"/>
      <c r="Q515" s="572"/>
      <c r="R515" s="572"/>
      <c r="S515" s="572"/>
      <c r="T515" s="572"/>
      <c r="U515" s="572"/>
      <c r="V515" s="572"/>
      <c r="W515" s="572"/>
      <c r="X515" s="572"/>
      <c r="Y515" s="572"/>
    </row>
    <row r="516" spans="1:25" ht="12.75" customHeight="1">
      <c r="A516" s="571"/>
      <c r="B516" s="572"/>
      <c r="C516" s="572"/>
      <c r="D516" s="572"/>
      <c r="E516" s="572"/>
      <c r="F516" s="572"/>
      <c r="G516" s="572"/>
      <c r="H516" s="572"/>
      <c r="I516" s="572"/>
      <c r="J516" s="572"/>
      <c r="K516" s="572"/>
      <c r="L516" s="572"/>
      <c r="M516" s="572"/>
      <c r="N516" s="572"/>
      <c r="O516" s="572"/>
      <c r="P516" s="572"/>
      <c r="Q516" s="572"/>
      <c r="R516" s="572"/>
      <c r="S516" s="572"/>
      <c r="T516" s="572"/>
      <c r="U516" s="572"/>
      <c r="V516" s="572"/>
      <c r="W516" s="572"/>
      <c r="X516" s="572"/>
      <c r="Y516" s="572"/>
    </row>
    <row r="517" spans="1:25" ht="12.75" customHeight="1">
      <c r="A517" s="571"/>
      <c r="B517" s="572"/>
      <c r="C517" s="572"/>
      <c r="D517" s="572"/>
      <c r="E517" s="572"/>
      <c r="F517" s="572"/>
      <c r="G517" s="572"/>
      <c r="H517" s="572"/>
      <c r="I517" s="572"/>
      <c r="J517" s="572"/>
      <c r="K517" s="572"/>
      <c r="L517" s="572"/>
      <c r="M517" s="572"/>
      <c r="N517" s="572"/>
      <c r="O517" s="572"/>
      <c r="P517" s="572"/>
      <c r="Q517" s="572"/>
      <c r="R517" s="572"/>
      <c r="S517" s="572"/>
      <c r="T517" s="572"/>
      <c r="U517" s="572"/>
      <c r="V517" s="572"/>
      <c r="W517" s="572"/>
      <c r="X517" s="572"/>
      <c r="Y517" s="572"/>
    </row>
    <row r="518" spans="1:25" ht="12.75" customHeight="1">
      <c r="A518" s="571"/>
      <c r="B518" s="572"/>
      <c r="C518" s="572"/>
      <c r="D518" s="572"/>
      <c r="E518" s="572"/>
      <c r="F518" s="572"/>
      <c r="G518" s="572"/>
      <c r="H518" s="572"/>
      <c r="I518" s="572"/>
      <c r="J518" s="572"/>
      <c r="K518" s="572"/>
      <c r="L518" s="572"/>
      <c r="M518" s="572"/>
      <c r="N518" s="572"/>
      <c r="O518" s="572"/>
      <c r="P518" s="572"/>
      <c r="Q518" s="572"/>
      <c r="R518" s="572"/>
      <c r="S518" s="572"/>
      <c r="T518" s="572"/>
      <c r="U518" s="572"/>
      <c r="V518" s="572"/>
      <c r="W518" s="572"/>
      <c r="X518" s="572"/>
      <c r="Y518" s="572"/>
    </row>
    <row r="519" spans="1:25" ht="12.75" customHeight="1">
      <c r="A519" s="571"/>
      <c r="B519" s="572"/>
      <c r="C519" s="572"/>
      <c r="D519" s="572"/>
      <c r="E519" s="572"/>
      <c r="F519" s="572"/>
      <c r="G519" s="572"/>
      <c r="H519" s="572"/>
      <c r="I519" s="572"/>
      <c r="J519" s="572"/>
      <c r="K519" s="572"/>
      <c r="L519" s="572"/>
      <c r="M519" s="572"/>
      <c r="N519" s="572"/>
      <c r="O519" s="572"/>
      <c r="P519" s="572"/>
      <c r="Q519" s="572"/>
      <c r="R519" s="572"/>
      <c r="S519" s="572"/>
      <c r="T519" s="572"/>
      <c r="U519" s="572"/>
      <c r="V519" s="572"/>
      <c r="W519" s="572"/>
      <c r="X519" s="572"/>
      <c r="Y519" s="572"/>
    </row>
    <row r="520" spans="1:25" ht="12.75" customHeight="1">
      <c r="A520" s="571"/>
      <c r="B520" s="572"/>
      <c r="C520" s="572"/>
      <c r="D520" s="572"/>
      <c r="E520" s="572"/>
      <c r="F520" s="572"/>
      <c r="G520" s="572"/>
      <c r="H520" s="572"/>
      <c r="I520" s="572"/>
      <c r="J520" s="572"/>
      <c r="K520" s="572"/>
      <c r="L520" s="572"/>
      <c r="M520" s="572"/>
      <c r="N520" s="572"/>
      <c r="O520" s="572"/>
      <c r="P520" s="572"/>
      <c r="Q520" s="572"/>
      <c r="R520" s="572"/>
      <c r="S520" s="572"/>
      <c r="T520" s="572"/>
      <c r="U520" s="572"/>
      <c r="V520" s="572"/>
      <c r="W520" s="572"/>
      <c r="X520" s="572"/>
      <c r="Y520" s="572"/>
    </row>
    <row r="521" spans="1:25" ht="12.75" customHeight="1">
      <c r="A521" s="571"/>
      <c r="B521" s="572"/>
      <c r="C521" s="572"/>
      <c r="D521" s="572"/>
      <c r="E521" s="572"/>
      <c r="F521" s="572"/>
      <c r="G521" s="572"/>
      <c r="H521" s="572"/>
      <c r="I521" s="572"/>
      <c r="J521" s="572"/>
      <c r="K521" s="572"/>
      <c r="L521" s="572"/>
      <c r="M521" s="572"/>
      <c r="N521" s="572"/>
      <c r="O521" s="572"/>
      <c r="P521" s="572"/>
      <c r="Q521" s="572"/>
      <c r="R521" s="572"/>
      <c r="S521" s="572"/>
      <c r="T521" s="572"/>
      <c r="U521" s="572"/>
      <c r="V521" s="572"/>
      <c r="W521" s="572"/>
      <c r="X521" s="572"/>
      <c r="Y521" s="572"/>
    </row>
    <row r="522" spans="1:25" ht="12.75" customHeight="1">
      <c r="A522" s="571"/>
      <c r="B522" s="572"/>
      <c r="C522" s="572"/>
      <c r="D522" s="572"/>
      <c r="E522" s="572"/>
      <c r="F522" s="572"/>
      <c r="G522" s="572"/>
      <c r="H522" s="572"/>
      <c r="I522" s="572"/>
      <c r="J522" s="572"/>
      <c r="K522" s="572"/>
      <c r="L522" s="572"/>
      <c r="M522" s="572"/>
      <c r="N522" s="572"/>
      <c r="O522" s="572"/>
      <c r="P522" s="572"/>
      <c r="Q522" s="572"/>
      <c r="R522" s="572"/>
      <c r="S522" s="572"/>
      <c r="T522" s="572"/>
      <c r="U522" s="572"/>
      <c r="V522" s="572"/>
      <c r="W522" s="572"/>
      <c r="X522" s="572"/>
      <c r="Y522" s="572"/>
    </row>
    <row r="523" spans="1:25" ht="12.75" customHeight="1">
      <c r="A523" s="571"/>
      <c r="B523" s="572"/>
      <c r="C523" s="572"/>
      <c r="D523" s="572"/>
      <c r="E523" s="572"/>
      <c r="F523" s="572"/>
      <c r="G523" s="572"/>
      <c r="H523" s="572"/>
      <c r="I523" s="572"/>
      <c r="J523" s="572"/>
      <c r="K523" s="572"/>
      <c r="L523" s="572"/>
      <c r="M523" s="572"/>
      <c r="N523" s="572"/>
      <c r="O523" s="572"/>
      <c r="P523" s="572"/>
      <c r="Q523" s="572"/>
      <c r="R523" s="572"/>
      <c r="S523" s="572"/>
      <c r="T523" s="572"/>
      <c r="U523" s="572"/>
      <c r="V523" s="572"/>
      <c r="W523" s="572"/>
      <c r="X523" s="572"/>
      <c r="Y523" s="572"/>
    </row>
    <row r="524" spans="1:25" ht="12.75" customHeight="1">
      <c r="A524" s="571"/>
      <c r="B524" s="572"/>
      <c r="C524" s="572"/>
      <c r="D524" s="572"/>
      <c r="E524" s="572"/>
      <c r="F524" s="572"/>
      <c r="G524" s="572"/>
      <c r="H524" s="572"/>
      <c r="I524" s="572"/>
      <c r="J524" s="572"/>
      <c r="K524" s="572"/>
      <c r="L524" s="572"/>
      <c r="M524" s="572"/>
      <c r="N524" s="572"/>
      <c r="O524" s="572"/>
      <c r="P524" s="572"/>
      <c r="Q524" s="572"/>
      <c r="R524" s="572"/>
      <c r="S524" s="572"/>
      <c r="T524" s="572"/>
      <c r="U524" s="572"/>
      <c r="V524" s="572"/>
      <c r="W524" s="572"/>
      <c r="X524" s="572"/>
      <c r="Y524" s="572"/>
    </row>
    <row r="525" spans="1:25" ht="12.75" customHeight="1">
      <c r="A525" s="571"/>
      <c r="B525" s="572"/>
      <c r="C525" s="572"/>
      <c r="D525" s="572"/>
      <c r="E525" s="572"/>
      <c r="F525" s="572"/>
      <c r="G525" s="572"/>
      <c r="H525" s="572"/>
      <c r="I525" s="572"/>
      <c r="J525" s="572"/>
      <c r="K525" s="572"/>
      <c r="L525" s="572"/>
      <c r="M525" s="572"/>
      <c r="N525" s="572"/>
      <c r="O525" s="572"/>
      <c r="P525" s="572"/>
      <c r="Q525" s="572"/>
      <c r="R525" s="572"/>
      <c r="S525" s="572"/>
      <c r="T525" s="572"/>
      <c r="U525" s="572"/>
      <c r="V525" s="572"/>
      <c r="W525" s="572"/>
      <c r="X525" s="572"/>
      <c r="Y525" s="572"/>
    </row>
    <row r="526" spans="1:25" ht="12.75" customHeight="1">
      <c r="A526" s="571"/>
      <c r="B526" s="572"/>
      <c r="C526" s="572"/>
      <c r="D526" s="572"/>
      <c r="E526" s="572"/>
      <c r="F526" s="572"/>
      <c r="G526" s="572"/>
      <c r="H526" s="572"/>
      <c r="I526" s="572"/>
      <c r="J526" s="572"/>
      <c r="K526" s="572"/>
      <c r="L526" s="572"/>
      <c r="M526" s="572"/>
      <c r="N526" s="572"/>
      <c r="O526" s="572"/>
      <c r="P526" s="572"/>
      <c r="Q526" s="572"/>
      <c r="R526" s="572"/>
      <c r="S526" s="572"/>
      <c r="T526" s="572"/>
      <c r="U526" s="572"/>
      <c r="V526" s="572"/>
      <c r="W526" s="572"/>
      <c r="X526" s="572"/>
      <c r="Y526" s="572"/>
    </row>
    <row r="527" spans="1:25" ht="12.75" customHeight="1">
      <c r="A527" s="571"/>
      <c r="B527" s="572"/>
      <c r="C527" s="572"/>
      <c r="D527" s="572"/>
      <c r="E527" s="572"/>
      <c r="F527" s="572"/>
      <c r="G527" s="572"/>
      <c r="H527" s="572"/>
      <c r="I527" s="572"/>
      <c r="J527" s="572"/>
      <c r="K527" s="572"/>
      <c r="L527" s="572"/>
      <c r="M527" s="572"/>
      <c r="N527" s="572"/>
      <c r="O527" s="572"/>
      <c r="P527" s="572"/>
      <c r="Q527" s="572"/>
      <c r="R527" s="572"/>
      <c r="S527" s="572"/>
      <c r="T527" s="572"/>
      <c r="U527" s="572"/>
      <c r="V527" s="572"/>
      <c r="W527" s="572"/>
      <c r="X527" s="572"/>
      <c r="Y527" s="572"/>
    </row>
    <row r="528" spans="1:25" ht="12.75" customHeight="1">
      <c r="A528" s="571"/>
      <c r="B528" s="572"/>
      <c r="C528" s="572"/>
      <c r="D528" s="572"/>
      <c r="E528" s="572"/>
      <c r="F528" s="572"/>
      <c r="G528" s="572"/>
      <c r="H528" s="572"/>
      <c r="I528" s="572"/>
      <c r="J528" s="572"/>
      <c r="K528" s="572"/>
      <c r="L528" s="572"/>
      <c r="M528" s="572"/>
      <c r="N528" s="572"/>
      <c r="O528" s="572"/>
      <c r="P528" s="572"/>
      <c r="Q528" s="572"/>
      <c r="R528" s="572"/>
      <c r="S528" s="572"/>
      <c r="T528" s="572"/>
      <c r="U528" s="572"/>
      <c r="V528" s="572"/>
      <c r="W528" s="572"/>
      <c r="X528" s="572"/>
      <c r="Y528" s="572"/>
    </row>
    <row r="529" spans="1:25" ht="12.75" customHeight="1">
      <c r="A529" s="571"/>
      <c r="B529" s="572"/>
      <c r="C529" s="572"/>
      <c r="D529" s="572"/>
      <c r="E529" s="572"/>
      <c r="F529" s="572"/>
      <c r="G529" s="572"/>
      <c r="H529" s="572"/>
      <c r="I529" s="572"/>
      <c r="J529" s="572"/>
      <c r="K529" s="572"/>
      <c r="L529" s="572"/>
      <c r="M529" s="572"/>
      <c r="N529" s="572"/>
      <c r="O529" s="572"/>
      <c r="P529" s="572"/>
      <c r="Q529" s="572"/>
      <c r="R529" s="572"/>
      <c r="S529" s="572"/>
      <c r="T529" s="572"/>
      <c r="U529" s="572"/>
      <c r="V529" s="572"/>
      <c r="W529" s="572"/>
      <c r="X529" s="572"/>
      <c r="Y529" s="572"/>
    </row>
    <row r="530" spans="1:25" ht="12.75" customHeight="1">
      <c r="A530" s="571"/>
      <c r="B530" s="572"/>
      <c r="C530" s="572"/>
      <c r="D530" s="572"/>
      <c r="E530" s="572"/>
      <c r="F530" s="572"/>
      <c r="G530" s="572"/>
      <c r="H530" s="572"/>
      <c r="I530" s="572"/>
      <c r="J530" s="572"/>
      <c r="K530" s="572"/>
      <c r="L530" s="572"/>
      <c r="M530" s="572"/>
      <c r="N530" s="572"/>
      <c r="O530" s="572"/>
      <c r="P530" s="572"/>
      <c r="Q530" s="572"/>
      <c r="R530" s="572"/>
      <c r="S530" s="572"/>
      <c r="T530" s="572"/>
      <c r="U530" s="572"/>
      <c r="V530" s="572"/>
      <c r="W530" s="572"/>
      <c r="X530" s="572"/>
      <c r="Y530" s="572"/>
    </row>
    <row r="531" spans="1:25" ht="12.75" customHeight="1">
      <c r="A531" s="571"/>
      <c r="B531" s="572"/>
      <c r="C531" s="572"/>
      <c r="D531" s="572"/>
      <c r="E531" s="572"/>
      <c r="F531" s="572"/>
      <c r="G531" s="572"/>
      <c r="H531" s="572"/>
      <c r="I531" s="572"/>
      <c r="J531" s="572"/>
      <c r="K531" s="572"/>
      <c r="L531" s="572"/>
      <c r="M531" s="572"/>
      <c r="N531" s="572"/>
      <c r="O531" s="572"/>
      <c r="P531" s="572"/>
      <c r="Q531" s="572"/>
      <c r="R531" s="572"/>
      <c r="S531" s="572"/>
      <c r="T531" s="572"/>
      <c r="U531" s="572"/>
      <c r="V531" s="572"/>
      <c r="W531" s="572"/>
      <c r="X531" s="572"/>
      <c r="Y531" s="572"/>
    </row>
    <row r="532" spans="1:25" ht="12.75" customHeight="1">
      <c r="A532" s="571"/>
      <c r="B532" s="572"/>
      <c r="C532" s="572"/>
      <c r="D532" s="572"/>
      <c r="E532" s="572"/>
      <c r="F532" s="572"/>
      <c r="G532" s="572"/>
      <c r="H532" s="572"/>
      <c r="I532" s="572"/>
      <c r="J532" s="572"/>
      <c r="K532" s="572"/>
      <c r="L532" s="572"/>
      <c r="M532" s="572"/>
      <c r="N532" s="572"/>
      <c r="O532" s="572"/>
      <c r="P532" s="572"/>
      <c r="Q532" s="572"/>
      <c r="R532" s="572"/>
      <c r="S532" s="572"/>
      <c r="T532" s="572"/>
      <c r="U532" s="572"/>
      <c r="V532" s="572"/>
      <c r="W532" s="572"/>
      <c r="X532" s="572"/>
      <c r="Y532" s="572"/>
    </row>
    <row r="533" spans="1:25" ht="12.75" customHeight="1">
      <c r="A533" s="571"/>
      <c r="B533" s="572"/>
      <c r="C533" s="572"/>
      <c r="D533" s="572"/>
      <c r="E533" s="572"/>
      <c r="F533" s="572"/>
      <c r="G533" s="572"/>
      <c r="H533" s="572"/>
      <c r="I533" s="572"/>
      <c r="J533" s="572"/>
      <c r="K533" s="572"/>
      <c r="L533" s="572"/>
      <c r="M533" s="572"/>
      <c r="N533" s="572"/>
      <c r="O533" s="572"/>
      <c r="P533" s="572"/>
      <c r="Q533" s="572"/>
      <c r="R533" s="572"/>
      <c r="S533" s="572"/>
      <c r="T533" s="572"/>
      <c r="U533" s="572"/>
      <c r="V533" s="572"/>
      <c r="W533" s="572"/>
      <c r="X533" s="572"/>
      <c r="Y533" s="572"/>
    </row>
    <row r="534" spans="1:25" ht="12.75" customHeight="1">
      <c r="A534" s="571"/>
      <c r="B534" s="572"/>
      <c r="C534" s="572"/>
      <c r="D534" s="572"/>
      <c r="E534" s="572"/>
      <c r="F534" s="572"/>
      <c r="G534" s="572"/>
      <c r="H534" s="572"/>
      <c r="I534" s="572"/>
      <c r="J534" s="572"/>
      <c r="K534" s="572"/>
      <c r="L534" s="572"/>
      <c r="M534" s="572"/>
      <c r="N534" s="572"/>
      <c r="O534" s="572"/>
      <c r="P534" s="572"/>
      <c r="Q534" s="572"/>
      <c r="R534" s="572"/>
      <c r="S534" s="572"/>
      <c r="T534" s="572"/>
      <c r="U534" s="572"/>
      <c r="V534" s="572"/>
      <c r="W534" s="572"/>
      <c r="X534" s="572"/>
      <c r="Y534" s="572"/>
    </row>
    <row r="535" spans="1:25" ht="12.75" customHeight="1">
      <c r="A535" s="571"/>
      <c r="B535" s="572"/>
      <c r="C535" s="572"/>
      <c r="D535" s="572"/>
      <c r="E535" s="572"/>
      <c r="F535" s="572"/>
      <c r="G535" s="572"/>
      <c r="H535" s="572"/>
      <c r="I535" s="572"/>
      <c r="J535" s="572"/>
      <c r="K535" s="572"/>
      <c r="L535" s="572"/>
      <c r="M535" s="572"/>
      <c r="N535" s="572"/>
      <c r="O535" s="572"/>
      <c r="P535" s="572"/>
      <c r="Q535" s="572"/>
      <c r="R535" s="572"/>
      <c r="S535" s="572"/>
      <c r="T535" s="572"/>
      <c r="U535" s="572"/>
      <c r="V535" s="572"/>
      <c r="W535" s="572"/>
      <c r="X535" s="572"/>
      <c r="Y535" s="572"/>
    </row>
    <row r="536" spans="1:25" ht="12.75" customHeight="1">
      <c r="A536" s="571"/>
      <c r="B536" s="572"/>
      <c r="C536" s="572"/>
      <c r="D536" s="572"/>
      <c r="E536" s="572"/>
      <c r="F536" s="572"/>
      <c r="G536" s="572"/>
      <c r="H536" s="572"/>
      <c r="I536" s="572"/>
      <c r="J536" s="572"/>
      <c r="K536" s="572"/>
      <c r="L536" s="572"/>
      <c r="M536" s="572"/>
      <c r="N536" s="572"/>
      <c r="O536" s="572"/>
      <c r="P536" s="572"/>
      <c r="Q536" s="572"/>
      <c r="R536" s="572"/>
      <c r="S536" s="572"/>
      <c r="T536" s="572"/>
      <c r="U536" s="572"/>
      <c r="V536" s="572"/>
      <c r="W536" s="572"/>
      <c r="X536" s="572"/>
      <c r="Y536" s="572"/>
    </row>
    <row r="537" spans="1:25" ht="12.75" customHeight="1">
      <c r="A537" s="571"/>
      <c r="B537" s="572"/>
      <c r="C537" s="572"/>
      <c r="D537" s="572"/>
      <c r="E537" s="572"/>
      <c r="F537" s="572"/>
      <c r="G537" s="572"/>
      <c r="H537" s="572"/>
      <c r="I537" s="572"/>
      <c r="J537" s="572"/>
      <c r="K537" s="572"/>
      <c r="L537" s="572"/>
      <c r="M537" s="572"/>
      <c r="N537" s="572"/>
      <c r="O537" s="572"/>
      <c r="P537" s="572"/>
      <c r="Q537" s="572"/>
      <c r="R537" s="572"/>
      <c r="S537" s="572"/>
      <c r="T537" s="572"/>
      <c r="U537" s="572"/>
      <c r="V537" s="572"/>
      <c r="W537" s="572"/>
      <c r="X537" s="572"/>
      <c r="Y537" s="572"/>
    </row>
    <row r="538" spans="1:25" ht="12.75" customHeight="1">
      <c r="A538" s="571"/>
      <c r="B538" s="572"/>
      <c r="C538" s="572"/>
      <c r="D538" s="572"/>
      <c r="E538" s="572"/>
      <c r="F538" s="572"/>
      <c r="G538" s="572"/>
      <c r="H538" s="572"/>
      <c r="I538" s="572"/>
      <c r="J538" s="572"/>
      <c r="K538" s="572"/>
      <c r="L538" s="572"/>
      <c r="M538" s="572"/>
      <c r="N538" s="572"/>
      <c r="O538" s="572"/>
      <c r="P538" s="572"/>
      <c r="Q538" s="572"/>
      <c r="R538" s="572"/>
      <c r="S538" s="572"/>
      <c r="T538" s="572"/>
      <c r="U538" s="572"/>
      <c r="V538" s="572"/>
      <c r="W538" s="572"/>
      <c r="X538" s="572"/>
      <c r="Y538" s="572"/>
    </row>
    <row r="539" spans="1:25" ht="12.75" customHeight="1">
      <c r="A539" s="571"/>
      <c r="B539" s="572"/>
      <c r="C539" s="572"/>
      <c r="D539" s="572"/>
      <c r="E539" s="572"/>
      <c r="F539" s="572"/>
      <c r="G539" s="572"/>
      <c r="H539" s="572"/>
      <c r="I539" s="572"/>
      <c r="J539" s="572"/>
      <c r="K539" s="572"/>
      <c r="L539" s="572"/>
      <c r="M539" s="572"/>
      <c r="N539" s="572"/>
      <c r="O539" s="572"/>
      <c r="P539" s="572"/>
      <c r="Q539" s="572"/>
      <c r="R539" s="572"/>
      <c r="S539" s="572"/>
      <c r="T539" s="572"/>
      <c r="U539" s="572"/>
      <c r="V539" s="572"/>
      <c r="W539" s="572"/>
      <c r="X539" s="572"/>
      <c r="Y539" s="572"/>
    </row>
    <row r="540" spans="1:25" ht="12.75" customHeight="1">
      <c r="A540" s="571"/>
      <c r="B540" s="572"/>
      <c r="C540" s="572"/>
      <c r="D540" s="572"/>
      <c r="E540" s="572"/>
      <c r="F540" s="572"/>
      <c r="G540" s="572"/>
      <c r="H540" s="572"/>
      <c r="I540" s="572"/>
      <c r="J540" s="572"/>
      <c r="K540" s="572"/>
      <c r="L540" s="572"/>
      <c r="M540" s="572"/>
      <c r="N540" s="572"/>
      <c r="O540" s="572"/>
      <c r="P540" s="572"/>
      <c r="Q540" s="572"/>
      <c r="R540" s="572"/>
      <c r="S540" s="572"/>
      <c r="T540" s="572"/>
      <c r="U540" s="572"/>
      <c r="V540" s="572"/>
      <c r="W540" s="572"/>
      <c r="X540" s="572"/>
      <c r="Y540" s="572"/>
    </row>
    <row r="541" spans="1:25" ht="12.75" customHeight="1">
      <c r="A541" s="571"/>
      <c r="B541" s="572"/>
      <c r="C541" s="572"/>
      <c r="D541" s="572"/>
      <c r="E541" s="572"/>
      <c r="F541" s="572"/>
      <c r="G541" s="572"/>
      <c r="H541" s="572"/>
      <c r="I541" s="572"/>
      <c r="J541" s="572"/>
      <c r="K541" s="572"/>
      <c r="L541" s="572"/>
      <c r="M541" s="572"/>
      <c r="N541" s="572"/>
      <c r="O541" s="572"/>
      <c r="P541" s="572"/>
      <c r="Q541" s="572"/>
      <c r="R541" s="572"/>
      <c r="S541" s="572"/>
      <c r="T541" s="572"/>
      <c r="U541" s="572"/>
      <c r="V541" s="572"/>
      <c r="W541" s="572"/>
      <c r="X541" s="572"/>
      <c r="Y541" s="572"/>
    </row>
    <row r="542" spans="1:25" ht="12.75" customHeight="1">
      <c r="A542" s="571"/>
      <c r="B542" s="572"/>
      <c r="C542" s="572"/>
      <c r="D542" s="572"/>
      <c r="E542" s="572"/>
      <c r="F542" s="572"/>
      <c r="G542" s="572"/>
      <c r="H542" s="572"/>
      <c r="I542" s="572"/>
      <c r="J542" s="572"/>
      <c r="K542" s="572"/>
      <c r="L542" s="572"/>
      <c r="M542" s="572"/>
      <c r="N542" s="572"/>
      <c r="O542" s="572"/>
      <c r="P542" s="572"/>
      <c r="Q542" s="572"/>
      <c r="R542" s="572"/>
      <c r="S542" s="572"/>
      <c r="T542" s="572"/>
      <c r="U542" s="572"/>
      <c r="V542" s="572"/>
      <c r="W542" s="572"/>
      <c r="X542" s="572"/>
      <c r="Y542" s="572"/>
    </row>
    <row r="543" spans="1:25" ht="12.75" customHeight="1">
      <c r="A543" s="571"/>
      <c r="B543" s="572"/>
      <c r="C543" s="572"/>
      <c r="D543" s="572"/>
      <c r="E543" s="572"/>
      <c r="F543" s="572"/>
      <c r="G543" s="572"/>
      <c r="H543" s="572"/>
      <c r="I543" s="572"/>
      <c r="J543" s="572"/>
      <c r="K543" s="572"/>
      <c r="L543" s="572"/>
      <c r="M543" s="572"/>
      <c r="N543" s="572"/>
      <c r="O543" s="572"/>
      <c r="P543" s="572"/>
      <c r="Q543" s="572"/>
      <c r="R543" s="572"/>
      <c r="S543" s="572"/>
      <c r="T543" s="572"/>
      <c r="U543" s="572"/>
      <c r="V543" s="572"/>
      <c r="W543" s="572"/>
      <c r="X543" s="572"/>
      <c r="Y543" s="572"/>
    </row>
    <row r="544" spans="1:25" ht="12.75" customHeight="1">
      <c r="A544" s="571"/>
      <c r="B544" s="572"/>
      <c r="C544" s="572"/>
      <c r="D544" s="572"/>
      <c r="E544" s="572"/>
      <c r="F544" s="572"/>
      <c r="G544" s="572"/>
      <c r="H544" s="572"/>
      <c r="I544" s="572"/>
      <c r="J544" s="572"/>
      <c r="K544" s="572"/>
      <c r="L544" s="572"/>
      <c r="M544" s="572"/>
      <c r="N544" s="572"/>
      <c r="O544" s="572"/>
      <c r="P544" s="572"/>
      <c r="Q544" s="572"/>
      <c r="R544" s="572"/>
      <c r="S544" s="572"/>
      <c r="T544" s="572"/>
      <c r="U544" s="572"/>
      <c r="V544" s="572"/>
      <c r="W544" s="572"/>
      <c r="X544" s="572"/>
      <c r="Y544" s="572"/>
    </row>
    <row r="545" spans="1:25" ht="12.75" customHeight="1">
      <c r="A545" s="571"/>
      <c r="B545" s="572"/>
      <c r="C545" s="572"/>
      <c r="D545" s="572"/>
      <c r="E545" s="572"/>
      <c r="F545" s="572"/>
      <c r="G545" s="572"/>
      <c r="H545" s="572"/>
      <c r="I545" s="572"/>
      <c r="J545" s="572"/>
      <c r="K545" s="572"/>
      <c r="L545" s="572"/>
      <c r="M545" s="572"/>
      <c r="N545" s="572"/>
      <c r="O545" s="572"/>
      <c r="P545" s="572"/>
      <c r="Q545" s="572"/>
      <c r="R545" s="572"/>
      <c r="S545" s="572"/>
      <c r="T545" s="572"/>
      <c r="U545" s="572"/>
      <c r="V545" s="572"/>
      <c r="W545" s="572"/>
      <c r="X545" s="572"/>
      <c r="Y545" s="572"/>
    </row>
    <row r="546" spans="1:25" ht="12.75" customHeight="1">
      <c r="A546" s="571"/>
      <c r="B546" s="572"/>
      <c r="C546" s="572"/>
      <c r="D546" s="572"/>
      <c r="E546" s="572"/>
      <c r="F546" s="572"/>
      <c r="G546" s="572"/>
      <c r="H546" s="572"/>
      <c r="I546" s="572"/>
      <c r="J546" s="572"/>
      <c r="K546" s="572"/>
      <c r="L546" s="572"/>
      <c r="M546" s="572"/>
      <c r="N546" s="572"/>
      <c r="O546" s="572"/>
      <c r="P546" s="572"/>
      <c r="Q546" s="572"/>
      <c r="R546" s="572"/>
      <c r="S546" s="572"/>
      <c r="T546" s="572"/>
      <c r="U546" s="572"/>
      <c r="V546" s="572"/>
      <c r="W546" s="572"/>
      <c r="X546" s="572"/>
      <c r="Y546" s="572"/>
    </row>
    <row r="547" spans="1:25" ht="12.75" customHeight="1">
      <c r="A547" s="571"/>
      <c r="B547" s="572"/>
      <c r="C547" s="572"/>
      <c r="D547" s="572"/>
      <c r="E547" s="572"/>
      <c r="F547" s="572"/>
      <c r="G547" s="572"/>
      <c r="H547" s="572"/>
      <c r="I547" s="572"/>
      <c r="J547" s="572"/>
      <c r="K547" s="572"/>
      <c r="L547" s="572"/>
      <c r="M547" s="572"/>
      <c r="N547" s="572"/>
      <c r="O547" s="572"/>
      <c r="P547" s="572"/>
      <c r="Q547" s="572"/>
      <c r="R547" s="572"/>
      <c r="S547" s="572"/>
      <c r="T547" s="572"/>
      <c r="U547" s="572"/>
      <c r="V547" s="572"/>
      <c r="W547" s="572"/>
      <c r="X547" s="572"/>
      <c r="Y547" s="572"/>
    </row>
    <row r="548" spans="1:25" ht="12.75" customHeight="1">
      <c r="A548" s="571"/>
      <c r="B548" s="572"/>
      <c r="C548" s="572"/>
      <c r="D548" s="572"/>
      <c r="E548" s="572"/>
      <c r="F548" s="572"/>
      <c r="G548" s="572"/>
      <c r="H548" s="572"/>
      <c r="I548" s="572"/>
      <c r="J548" s="572"/>
      <c r="K548" s="572"/>
      <c r="L548" s="572"/>
      <c r="M548" s="572"/>
      <c r="N548" s="572"/>
      <c r="O548" s="572"/>
      <c r="P548" s="572"/>
      <c r="Q548" s="572"/>
      <c r="R548" s="572"/>
      <c r="S548" s="572"/>
      <c r="T548" s="572"/>
      <c r="U548" s="572"/>
      <c r="V548" s="572"/>
      <c r="W548" s="572"/>
      <c r="X548" s="572"/>
      <c r="Y548" s="572"/>
    </row>
    <row r="549" spans="1:25" ht="12.75" customHeight="1">
      <c r="A549" s="571"/>
      <c r="B549" s="572"/>
      <c r="C549" s="572"/>
      <c r="D549" s="572"/>
      <c r="E549" s="572"/>
      <c r="F549" s="572"/>
      <c r="G549" s="572"/>
      <c r="H549" s="572"/>
      <c r="I549" s="572"/>
      <c r="J549" s="572"/>
      <c r="K549" s="572"/>
      <c r="L549" s="572"/>
      <c r="M549" s="572"/>
      <c r="N549" s="572"/>
      <c r="O549" s="572"/>
      <c r="P549" s="572"/>
      <c r="Q549" s="572"/>
      <c r="R549" s="572"/>
      <c r="S549" s="572"/>
      <c r="T549" s="572"/>
      <c r="U549" s="572"/>
      <c r="V549" s="572"/>
      <c r="W549" s="572"/>
      <c r="X549" s="572"/>
      <c r="Y549" s="572"/>
    </row>
    <row r="550" spans="1:25" ht="12.75" customHeight="1">
      <c r="A550" s="571"/>
      <c r="B550" s="572"/>
      <c r="C550" s="572"/>
      <c r="D550" s="572"/>
      <c r="E550" s="572"/>
      <c r="F550" s="572"/>
      <c r="G550" s="572"/>
      <c r="H550" s="572"/>
      <c r="I550" s="572"/>
      <c r="J550" s="572"/>
      <c r="K550" s="572"/>
      <c r="L550" s="572"/>
      <c r="M550" s="572"/>
      <c r="N550" s="572"/>
      <c r="O550" s="572"/>
      <c r="P550" s="572"/>
      <c r="Q550" s="572"/>
      <c r="R550" s="572"/>
      <c r="S550" s="572"/>
      <c r="T550" s="572"/>
      <c r="U550" s="572"/>
      <c r="V550" s="572"/>
      <c r="W550" s="572"/>
      <c r="X550" s="572"/>
      <c r="Y550" s="572"/>
    </row>
    <row r="551" spans="1:25" ht="12.75" customHeight="1">
      <c r="A551" s="571"/>
      <c r="B551" s="572"/>
      <c r="C551" s="572"/>
      <c r="D551" s="572"/>
      <c r="E551" s="572"/>
      <c r="F551" s="572"/>
      <c r="G551" s="572"/>
      <c r="H551" s="572"/>
      <c r="I551" s="572"/>
      <c r="J551" s="572"/>
      <c r="K551" s="572"/>
      <c r="L551" s="572"/>
      <c r="M551" s="572"/>
      <c r="N551" s="572"/>
      <c r="O551" s="572"/>
      <c r="P551" s="572"/>
      <c r="Q551" s="572"/>
      <c r="R551" s="572"/>
      <c r="S551" s="572"/>
      <c r="T551" s="572"/>
      <c r="U551" s="572"/>
      <c r="V551" s="572"/>
      <c r="W551" s="572"/>
      <c r="X551" s="572"/>
      <c r="Y551" s="572"/>
    </row>
    <row r="552" spans="1:25" ht="12.75" customHeight="1">
      <c r="A552" s="571"/>
      <c r="B552" s="572"/>
      <c r="C552" s="572"/>
      <c r="D552" s="572"/>
      <c r="E552" s="572"/>
      <c r="F552" s="572"/>
      <c r="G552" s="572"/>
      <c r="H552" s="572"/>
      <c r="I552" s="572"/>
      <c r="J552" s="572"/>
      <c r="K552" s="572"/>
      <c r="L552" s="572"/>
      <c r="M552" s="572"/>
      <c r="N552" s="572"/>
      <c r="O552" s="572"/>
      <c r="P552" s="572"/>
      <c r="Q552" s="572"/>
      <c r="R552" s="572"/>
      <c r="S552" s="572"/>
      <c r="T552" s="572"/>
      <c r="U552" s="572"/>
      <c r="V552" s="572"/>
      <c r="W552" s="572"/>
      <c r="X552" s="572"/>
      <c r="Y552" s="572"/>
    </row>
    <row r="553" spans="1:25" ht="12.75" customHeight="1">
      <c r="A553" s="571"/>
      <c r="B553" s="572"/>
      <c r="C553" s="572"/>
      <c r="D553" s="572"/>
      <c r="E553" s="572"/>
      <c r="F553" s="572"/>
      <c r="G553" s="572"/>
      <c r="H553" s="572"/>
      <c r="I553" s="572"/>
      <c r="J553" s="572"/>
      <c r="K553" s="572"/>
      <c r="L553" s="572"/>
      <c r="M553" s="572"/>
      <c r="N553" s="572"/>
      <c r="O553" s="572"/>
      <c r="P553" s="572"/>
      <c r="Q553" s="572"/>
      <c r="R553" s="572"/>
      <c r="S553" s="572"/>
      <c r="T553" s="572"/>
      <c r="U553" s="572"/>
      <c r="V553" s="572"/>
      <c r="W553" s="572"/>
      <c r="X553" s="572"/>
      <c r="Y553" s="572"/>
    </row>
    <row r="554" spans="1:25" ht="12.75" customHeight="1">
      <c r="A554" s="571"/>
      <c r="B554" s="572"/>
      <c r="C554" s="572"/>
      <c r="D554" s="572"/>
      <c r="E554" s="572"/>
      <c r="F554" s="572"/>
      <c r="G554" s="572"/>
      <c r="H554" s="572"/>
      <c r="I554" s="572"/>
      <c r="J554" s="572"/>
      <c r="K554" s="572"/>
      <c r="L554" s="572"/>
      <c r="M554" s="572"/>
      <c r="N554" s="572"/>
      <c r="O554" s="572"/>
      <c r="P554" s="572"/>
      <c r="Q554" s="572"/>
      <c r="R554" s="572"/>
      <c r="S554" s="572"/>
      <c r="T554" s="572"/>
      <c r="U554" s="572"/>
      <c r="V554" s="572"/>
      <c r="W554" s="572"/>
      <c r="X554" s="572"/>
      <c r="Y554" s="572"/>
    </row>
    <row r="555" spans="1:25" ht="12.75" customHeight="1">
      <c r="A555" s="571"/>
      <c r="B555" s="572"/>
      <c r="C555" s="572"/>
      <c r="D555" s="572"/>
      <c r="E555" s="572"/>
      <c r="F555" s="572"/>
      <c r="G555" s="572"/>
      <c r="H555" s="572"/>
      <c r="I555" s="572"/>
      <c r="J555" s="572"/>
      <c r="K555" s="572"/>
      <c r="L555" s="572"/>
      <c r="M555" s="572"/>
      <c r="N555" s="572"/>
      <c r="O555" s="572"/>
      <c r="P555" s="572"/>
      <c r="Q555" s="572"/>
      <c r="R555" s="572"/>
      <c r="S555" s="572"/>
      <c r="T555" s="572"/>
      <c r="U555" s="572"/>
      <c r="V555" s="572"/>
      <c r="W555" s="572"/>
      <c r="X555" s="572"/>
      <c r="Y555" s="572"/>
    </row>
    <row r="556" spans="1:25" ht="12.75" customHeight="1">
      <c r="A556" s="571"/>
      <c r="B556" s="572"/>
      <c r="C556" s="572"/>
      <c r="D556" s="572"/>
      <c r="E556" s="572"/>
      <c r="F556" s="572"/>
      <c r="G556" s="572"/>
      <c r="H556" s="572"/>
      <c r="I556" s="572"/>
      <c r="J556" s="572"/>
      <c r="K556" s="572"/>
      <c r="L556" s="572"/>
      <c r="M556" s="572"/>
      <c r="N556" s="572"/>
      <c r="O556" s="572"/>
      <c r="P556" s="572"/>
      <c r="Q556" s="572"/>
      <c r="R556" s="572"/>
      <c r="S556" s="572"/>
      <c r="T556" s="572"/>
      <c r="U556" s="572"/>
      <c r="V556" s="572"/>
      <c r="W556" s="572"/>
      <c r="X556" s="572"/>
      <c r="Y556" s="572"/>
    </row>
    <row r="557" spans="1:25" ht="12.75" customHeight="1">
      <c r="A557" s="571"/>
      <c r="B557" s="572"/>
      <c r="C557" s="572"/>
      <c r="D557" s="572"/>
      <c r="E557" s="572"/>
      <c r="F557" s="572"/>
      <c r="G557" s="572"/>
      <c r="H557" s="572"/>
      <c r="I557" s="572"/>
      <c r="J557" s="572"/>
      <c r="K557" s="572"/>
      <c r="L557" s="572"/>
      <c r="M557" s="572"/>
      <c r="N557" s="572"/>
      <c r="O557" s="572"/>
      <c r="P557" s="572"/>
      <c r="Q557" s="572"/>
      <c r="R557" s="572"/>
      <c r="S557" s="572"/>
      <c r="T557" s="572"/>
      <c r="U557" s="572"/>
      <c r="V557" s="572"/>
      <c r="W557" s="572"/>
      <c r="X557" s="572"/>
      <c r="Y557" s="572"/>
    </row>
    <row r="558" spans="1:25" ht="12.75" customHeight="1">
      <c r="A558" s="571"/>
      <c r="B558" s="572"/>
      <c r="C558" s="572"/>
      <c r="D558" s="572"/>
      <c r="E558" s="572"/>
      <c r="F558" s="572"/>
      <c r="G558" s="572"/>
      <c r="H558" s="572"/>
      <c r="I558" s="572"/>
      <c r="J558" s="572"/>
      <c r="K558" s="572"/>
      <c r="L558" s="572"/>
      <c r="M558" s="572"/>
      <c r="N558" s="572"/>
      <c r="O558" s="572"/>
      <c r="P558" s="572"/>
      <c r="Q558" s="572"/>
      <c r="R558" s="572"/>
      <c r="S558" s="572"/>
      <c r="T558" s="572"/>
      <c r="U558" s="572"/>
      <c r="V558" s="572"/>
      <c r="W558" s="572"/>
      <c r="X558" s="572"/>
      <c r="Y558" s="572"/>
    </row>
    <row r="559" spans="1:25" ht="12.75" customHeight="1">
      <c r="A559" s="571"/>
      <c r="B559" s="572"/>
      <c r="C559" s="572"/>
      <c r="D559" s="572"/>
      <c r="E559" s="572"/>
      <c r="F559" s="572"/>
      <c r="G559" s="572"/>
      <c r="H559" s="572"/>
      <c r="I559" s="572"/>
      <c r="J559" s="572"/>
      <c r="K559" s="572"/>
      <c r="L559" s="572"/>
      <c r="M559" s="572"/>
      <c r="N559" s="572"/>
      <c r="O559" s="572"/>
      <c r="P559" s="572"/>
      <c r="Q559" s="572"/>
      <c r="R559" s="572"/>
      <c r="S559" s="572"/>
      <c r="T559" s="572"/>
      <c r="U559" s="572"/>
      <c r="V559" s="572"/>
      <c r="W559" s="572"/>
      <c r="X559" s="572"/>
      <c r="Y559" s="572"/>
    </row>
    <row r="560" spans="1:25" ht="12.75" customHeight="1">
      <c r="A560" s="571"/>
      <c r="B560" s="572"/>
      <c r="C560" s="572"/>
      <c r="D560" s="572"/>
      <c r="E560" s="572"/>
      <c r="F560" s="572"/>
      <c r="G560" s="572"/>
      <c r="H560" s="572"/>
      <c r="I560" s="572"/>
      <c r="J560" s="572"/>
      <c r="K560" s="572"/>
      <c r="L560" s="572"/>
      <c r="M560" s="572"/>
      <c r="N560" s="572"/>
      <c r="O560" s="572"/>
      <c r="P560" s="572"/>
      <c r="Q560" s="572"/>
      <c r="R560" s="572"/>
      <c r="S560" s="572"/>
      <c r="T560" s="572"/>
      <c r="U560" s="572"/>
      <c r="V560" s="572"/>
      <c r="W560" s="572"/>
      <c r="X560" s="572"/>
      <c r="Y560" s="572"/>
    </row>
    <row r="561" spans="1:25" ht="12.75" customHeight="1">
      <c r="A561" s="571"/>
      <c r="B561" s="572"/>
      <c r="C561" s="572"/>
      <c r="D561" s="572"/>
      <c r="E561" s="572"/>
      <c r="F561" s="572"/>
      <c r="G561" s="572"/>
      <c r="H561" s="572"/>
      <c r="I561" s="572"/>
      <c r="J561" s="572"/>
      <c r="K561" s="572"/>
      <c r="L561" s="572"/>
      <c r="M561" s="572"/>
      <c r="N561" s="572"/>
      <c r="O561" s="572"/>
      <c r="P561" s="572"/>
      <c r="Q561" s="572"/>
      <c r="R561" s="572"/>
      <c r="S561" s="572"/>
      <c r="T561" s="572"/>
      <c r="U561" s="572"/>
      <c r="V561" s="572"/>
      <c r="W561" s="572"/>
      <c r="X561" s="572"/>
      <c r="Y561" s="572"/>
    </row>
    <row r="562" spans="1:25" ht="12.75" customHeight="1">
      <c r="A562" s="571"/>
      <c r="B562" s="572"/>
      <c r="C562" s="572"/>
      <c r="D562" s="572"/>
      <c r="E562" s="572"/>
      <c r="F562" s="572"/>
      <c r="G562" s="572"/>
      <c r="H562" s="572"/>
      <c r="I562" s="572"/>
      <c r="J562" s="572"/>
      <c r="K562" s="572"/>
      <c r="L562" s="572"/>
      <c r="M562" s="572"/>
      <c r="N562" s="572"/>
      <c r="O562" s="572"/>
      <c r="P562" s="572"/>
      <c r="Q562" s="572"/>
      <c r="R562" s="572"/>
      <c r="S562" s="572"/>
      <c r="T562" s="572"/>
      <c r="U562" s="572"/>
      <c r="V562" s="572"/>
      <c r="W562" s="572"/>
      <c r="X562" s="572"/>
      <c r="Y562" s="572"/>
    </row>
    <row r="563" spans="1:25" ht="12.75" customHeight="1">
      <c r="A563" s="571"/>
      <c r="B563" s="572"/>
      <c r="C563" s="572"/>
      <c r="D563" s="572"/>
      <c r="E563" s="572"/>
      <c r="F563" s="572"/>
      <c r="G563" s="572"/>
      <c r="H563" s="572"/>
      <c r="I563" s="572"/>
      <c r="J563" s="572"/>
      <c r="K563" s="572"/>
      <c r="L563" s="572"/>
      <c r="M563" s="572"/>
      <c r="N563" s="572"/>
      <c r="O563" s="572"/>
      <c r="P563" s="572"/>
      <c r="Q563" s="572"/>
      <c r="R563" s="572"/>
      <c r="S563" s="572"/>
      <c r="T563" s="572"/>
      <c r="U563" s="572"/>
      <c r="V563" s="572"/>
      <c r="W563" s="572"/>
      <c r="X563" s="572"/>
      <c r="Y563" s="572"/>
    </row>
    <row r="564" spans="1:25" ht="12.75" customHeight="1">
      <c r="A564" s="571"/>
      <c r="B564" s="572"/>
      <c r="C564" s="572"/>
      <c r="D564" s="572"/>
      <c r="E564" s="572"/>
      <c r="F564" s="572"/>
      <c r="G564" s="572"/>
      <c r="H564" s="572"/>
      <c r="I564" s="572"/>
      <c r="J564" s="572"/>
      <c r="K564" s="572"/>
      <c r="L564" s="572"/>
      <c r="M564" s="572"/>
      <c r="N564" s="572"/>
      <c r="O564" s="572"/>
      <c r="P564" s="572"/>
      <c r="Q564" s="572"/>
      <c r="R564" s="572"/>
      <c r="S564" s="572"/>
      <c r="T564" s="572"/>
      <c r="U564" s="572"/>
      <c r="V564" s="572"/>
      <c r="W564" s="572"/>
      <c r="X564" s="572"/>
      <c r="Y564" s="572"/>
    </row>
    <row r="565" spans="1:25" ht="12.75" customHeight="1">
      <c r="A565" s="571"/>
      <c r="B565" s="572"/>
      <c r="C565" s="572"/>
      <c r="D565" s="572"/>
      <c r="E565" s="572"/>
      <c r="F565" s="572"/>
      <c r="G565" s="572"/>
      <c r="H565" s="572"/>
      <c r="I565" s="572"/>
      <c r="J565" s="572"/>
      <c r="K565" s="572"/>
      <c r="L565" s="572"/>
      <c r="M565" s="572"/>
      <c r="N565" s="572"/>
      <c r="O565" s="572"/>
      <c r="P565" s="572"/>
      <c r="Q565" s="572"/>
      <c r="R565" s="572"/>
      <c r="S565" s="572"/>
      <c r="T565" s="572"/>
      <c r="U565" s="572"/>
      <c r="V565" s="572"/>
      <c r="W565" s="572"/>
      <c r="X565" s="572"/>
      <c r="Y565" s="572"/>
    </row>
    <row r="566" spans="1:25" ht="12.75" customHeight="1">
      <c r="A566" s="571"/>
      <c r="B566" s="572"/>
      <c r="C566" s="572"/>
      <c r="D566" s="572"/>
      <c r="E566" s="572"/>
      <c r="F566" s="572"/>
      <c r="G566" s="572"/>
      <c r="H566" s="572"/>
      <c r="I566" s="572"/>
      <c r="J566" s="572"/>
      <c r="K566" s="572"/>
      <c r="L566" s="572"/>
      <c r="M566" s="572"/>
      <c r="N566" s="572"/>
      <c r="O566" s="572"/>
      <c r="P566" s="572"/>
      <c r="Q566" s="572"/>
      <c r="R566" s="572"/>
      <c r="S566" s="572"/>
      <c r="T566" s="572"/>
      <c r="U566" s="572"/>
      <c r="V566" s="572"/>
      <c r="W566" s="572"/>
      <c r="X566" s="572"/>
      <c r="Y566" s="572"/>
    </row>
    <row r="567" spans="1:25" ht="12.75" customHeight="1">
      <c r="A567" s="571"/>
      <c r="B567" s="572"/>
      <c r="C567" s="572"/>
      <c r="D567" s="572"/>
      <c r="E567" s="572"/>
      <c r="F567" s="572"/>
      <c r="G567" s="572"/>
      <c r="H567" s="572"/>
      <c r="I567" s="572"/>
      <c r="J567" s="572"/>
      <c r="K567" s="572"/>
      <c r="L567" s="572"/>
      <c r="M567" s="572"/>
      <c r="N567" s="572"/>
      <c r="O567" s="572"/>
      <c r="P567" s="572"/>
      <c r="Q567" s="572"/>
      <c r="R567" s="572"/>
      <c r="S567" s="572"/>
      <c r="T567" s="572"/>
      <c r="U567" s="572"/>
      <c r="V567" s="572"/>
      <c r="W567" s="572"/>
      <c r="X567" s="572"/>
      <c r="Y567" s="572"/>
    </row>
    <row r="568" spans="1:25" ht="12.75" customHeight="1">
      <c r="A568" s="571"/>
      <c r="B568" s="572"/>
      <c r="C568" s="572"/>
      <c r="D568" s="572"/>
      <c r="E568" s="572"/>
      <c r="F568" s="572"/>
      <c r="G568" s="572"/>
      <c r="H568" s="572"/>
      <c r="I568" s="572"/>
      <c r="J568" s="572"/>
      <c r="K568" s="572"/>
      <c r="L568" s="572"/>
      <c r="M568" s="572"/>
      <c r="N568" s="572"/>
      <c r="O568" s="572"/>
      <c r="P568" s="572"/>
      <c r="Q568" s="572"/>
      <c r="R568" s="572"/>
      <c r="S568" s="572"/>
      <c r="T568" s="572"/>
      <c r="U568" s="572"/>
      <c r="V568" s="572"/>
      <c r="W568" s="572"/>
      <c r="X568" s="572"/>
      <c r="Y568" s="572"/>
    </row>
    <row r="569" spans="1:25" ht="12.75" customHeight="1">
      <c r="A569" s="571"/>
      <c r="B569" s="572"/>
      <c r="C569" s="572"/>
      <c r="D569" s="572"/>
      <c r="E569" s="572"/>
      <c r="F569" s="572"/>
      <c r="G569" s="572"/>
      <c r="H569" s="572"/>
      <c r="I569" s="572"/>
      <c r="J569" s="572"/>
      <c r="K569" s="572"/>
      <c r="L569" s="572"/>
      <c r="M569" s="572"/>
      <c r="N569" s="572"/>
      <c r="O569" s="572"/>
      <c r="P569" s="572"/>
      <c r="Q569" s="572"/>
      <c r="R569" s="572"/>
      <c r="S569" s="572"/>
      <c r="T569" s="572"/>
      <c r="U569" s="572"/>
      <c r="V569" s="572"/>
      <c r="W569" s="572"/>
      <c r="X569" s="572"/>
      <c r="Y569" s="572"/>
    </row>
    <row r="570" spans="1:25" ht="12.75" customHeight="1">
      <c r="A570" s="571"/>
      <c r="B570" s="572"/>
      <c r="C570" s="572"/>
      <c r="D570" s="572"/>
      <c r="E570" s="572"/>
      <c r="F570" s="572"/>
      <c r="G570" s="572"/>
      <c r="H570" s="572"/>
      <c r="I570" s="572"/>
      <c r="J570" s="572"/>
      <c r="K570" s="572"/>
      <c r="L570" s="572"/>
      <c r="M570" s="572"/>
      <c r="N570" s="572"/>
      <c r="O570" s="572"/>
      <c r="P570" s="572"/>
      <c r="Q570" s="572"/>
      <c r="R570" s="572"/>
      <c r="S570" s="572"/>
      <c r="T570" s="572"/>
      <c r="U570" s="572"/>
      <c r="V570" s="572"/>
      <c r="W570" s="572"/>
      <c r="X570" s="572"/>
      <c r="Y570" s="572"/>
    </row>
    <row r="571" spans="1:25" ht="12.75" customHeight="1">
      <c r="A571" s="571"/>
      <c r="B571" s="572"/>
      <c r="C571" s="572"/>
      <c r="D571" s="572"/>
      <c r="E571" s="572"/>
      <c r="F571" s="572"/>
      <c r="G571" s="572"/>
      <c r="H571" s="572"/>
      <c r="I571" s="572"/>
      <c r="J571" s="572"/>
      <c r="K571" s="572"/>
      <c r="L571" s="572"/>
      <c r="M571" s="572"/>
      <c r="N571" s="572"/>
      <c r="O571" s="572"/>
      <c r="P571" s="572"/>
      <c r="Q571" s="572"/>
      <c r="R571" s="572"/>
      <c r="S571" s="572"/>
      <c r="T571" s="572"/>
      <c r="U571" s="572"/>
      <c r="V571" s="572"/>
      <c r="W571" s="572"/>
      <c r="X571" s="572"/>
      <c r="Y571" s="572"/>
    </row>
    <row r="572" spans="1:25" ht="12.75" customHeight="1">
      <c r="A572" s="571"/>
      <c r="B572" s="572"/>
      <c r="C572" s="572"/>
      <c r="D572" s="572"/>
      <c r="E572" s="572"/>
      <c r="F572" s="572"/>
      <c r="G572" s="572"/>
      <c r="H572" s="572"/>
      <c r="I572" s="572"/>
      <c r="J572" s="572"/>
      <c r="K572" s="572"/>
      <c r="L572" s="572"/>
      <c r="M572" s="572"/>
      <c r="N572" s="572"/>
      <c r="O572" s="572"/>
      <c r="P572" s="572"/>
      <c r="Q572" s="572"/>
      <c r="R572" s="572"/>
      <c r="S572" s="572"/>
      <c r="T572" s="572"/>
      <c r="U572" s="572"/>
      <c r="V572" s="572"/>
      <c r="W572" s="572"/>
      <c r="X572" s="572"/>
      <c r="Y572" s="572"/>
    </row>
    <row r="573" spans="1:25" ht="12.75" customHeight="1">
      <c r="A573" s="571"/>
      <c r="B573" s="572"/>
      <c r="C573" s="572"/>
      <c r="D573" s="572"/>
      <c r="E573" s="572"/>
      <c r="F573" s="572"/>
      <c r="G573" s="572"/>
      <c r="H573" s="572"/>
      <c r="I573" s="572"/>
      <c r="J573" s="572"/>
      <c r="K573" s="572"/>
      <c r="L573" s="572"/>
      <c r="M573" s="572"/>
      <c r="N573" s="572"/>
      <c r="O573" s="572"/>
      <c r="P573" s="572"/>
      <c r="Q573" s="572"/>
      <c r="R573" s="572"/>
      <c r="S573" s="572"/>
      <c r="T573" s="572"/>
      <c r="U573" s="572"/>
      <c r="V573" s="572"/>
      <c r="W573" s="572"/>
      <c r="X573" s="572"/>
      <c r="Y573" s="572"/>
    </row>
    <row r="574" spans="1:25" ht="12.75" customHeight="1">
      <c r="A574" s="571"/>
      <c r="B574" s="572"/>
      <c r="C574" s="572"/>
      <c r="D574" s="572"/>
      <c r="E574" s="572"/>
      <c r="F574" s="572"/>
      <c r="G574" s="572"/>
      <c r="H574" s="572"/>
      <c r="I574" s="572"/>
      <c r="J574" s="572"/>
      <c r="K574" s="572"/>
      <c r="L574" s="572"/>
      <c r="M574" s="572"/>
      <c r="N574" s="572"/>
      <c r="O574" s="572"/>
      <c r="P574" s="572"/>
      <c r="Q574" s="572"/>
      <c r="R574" s="572"/>
      <c r="S574" s="572"/>
      <c r="T574" s="572"/>
      <c r="U574" s="572"/>
      <c r="V574" s="572"/>
      <c r="W574" s="572"/>
      <c r="X574" s="572"/>
      <c r="Y574" s="572"/>
    </row>
    <row r="575" spans="1:25" ht="12.75" customHeight="1">
      <c r="A575" s="571"/>
      <c r="B575" s="572"/>
      <c r="C575" s="572"/>
      <c r="D575" s="572"/>
      <c r="E575" s="572"/>
      <c r="F575" s="572"/>
      <c r="G575" s="572"/>
      <c r="H575" s="572"/>
      <c r="I575" s="572"/>
      <c r="J575" s="572"/>
      <c r="K575" s="572"/>
      <c r="L575" s="572"/>
      <c r="M575" s="572"/>
      <c r="N575" s="572"/>
      <c r="O575" s="572"/>
      <c r="P575" s="572"/>
      <c r="Q575" s="572"/>
      <c r="R575" s="572"/>
      <c r="S575" s="572"/>
      <c r="T575" s="572"/>
      <c r="U575" s="572"/>
      <c r="V575" s="572"/>
      <c r="W575" s="572"/>
      <c r="X575" s="572"/>
      <c r="Y575" s="572"/>
    </row>
    <row r="576" spans="1:25" ht="12.75" customHeight="1">
      <c r="A576" s="571"/>
      <c r="B576" s="572"/>
      <c r="C576" s="572"/>
      <c r="D576" s="572"/>
      <c r="E576" s="572"/>
      <c r="F576" s="572"/>
      <c r="G576" s="572"/>
      <c r="H576" s="572"/>
      <c r="I576" s="572"/>
      <c r="J576" s="572"/>
      <c r="K576" s="572"/>
      <c r="L576" s="572"/>
      <c r="M576" s="572"/>
      <c r="N576" s="572"/>
      <c r="O576" s="572"/>
      <c r="P576" s="572"/>
      <c r="Q576" s="572"/>
      <c r="R576" s="572"/>
      <c r="S576" s="572"/>
      <c r="T576" s="572"/>
      <c r="U576" s="572"/>
      <c r="V576" s="572"/>
      <c r="W576" s="572"/>
      <c r="X576" s="572"/>
      <c r="Y576" s="572"/>
    </row>
    <row r="577" spans="1:25" ht="12.75" customHeight="1">
      <c r="A577" s="571"/>
      <c r="B577" s="572"/>
      <c r="C577" s="572"/>
      <c r="D577" s="572"/>
      <c r="E577" s="572"/>
      <c r="F577" s="572"/>
      <c r="G577" s="572"/>
      <c r="H577" s="572"/>
      <c r="I577" s="572"/>
      <c r="J577" s="572"/>
      <c r="K577" s="572"/>
      <c r="L577" s="572"/>
      <c r="M577" s="572"/>
      <c r="N577" s="572"/>
      <c r="O577" s="572"/>
      <c r="P577" s="572"/>
      <c r="Q577" s="572"/>
      <c r="R577" s="572"/>
      <c r="S577" s="572"/>
      <c r="T577" s="572"/>
      <c r="U577" s="572"/>
      <c r="V577" s="572"/>
      <c r="W577" s="572"/>
      <c r="X577" s="572"/>
      <c r="Y577" s="572"/>
    </row>
    <row r="578" spans="1:25" ht="12.75" customHeight="1">
      <c r="A578" s="571"/>
      <c r="B578" s="572"/>
      <c r="C578" s="572"/>
      <c r="D578" s="572"/>
      <c r="E578" s="572"/>
      <c r="F578" s="572"/>
      <c r="G578" s="572"/>
      <c r="H578" s="572"/>
      <c r="I578" s="572"/>
      <c r="J578" s="572"/>
      <c r="K578" s="572"/>
      <c r="L578" s="572"/>
      <c r="M578" s="572"/>
      <c r="N578" s="572"/>
      <c r="O578" s="572"/>
      <c r="P578" s="572"/>
      <c r="Q578" s="572"/>
      <c r="R578" s="572"/>
      <c r="S578" s="572"/>
      <c r="T578" s="572"/>
      <c r="U578" s="572"/>
      <c r="V578" s="572"/>
      <c r="W578" s="572"/>
      <c r="X578" s="572"/>
      <c r="Y578" s="572"/>
    </row>
    <row r="579" spans="1:25" ht="12.75" customHeight="1">
      <c r="A579" s="571"/>
      <c r="B579" s="572"/>
      <c r="C579" s="572"/>
      <c r="D579" s="572"/>
      <c r="E579" s="572"/>
      <c r="F579" s="572"/>
      <c r="G579" s="572"/>
      <c r="H579" s="572"/>
      <c r="I579" s="572"/>
      <c r="J579" s="572"/>
      <c r="K579" s="572"/>
      <c r="L579" s="572"/>
      <c r="M579" s="572"/>
      <c r="N579" s="572"/>
      <c r="O579" s="572"/>
      <c r="P579" s="572"/>
      <c r="Q579" s="572"/>
      <c r="R579" s="572"/>
      <c r="S579" s="572"/>
      <c r="T579" s="572"/>
      <c r="U579" s="572"/>
      <c r="V579" s="572"/>
      <c r="W579" s="572"/>
      <c r="X579" s="572"/>
      <c r="Y579" s="572"/>
    </row>
    <row r="580" spans="1:25" ht="12.75" customHeight="1">
      <c r="A580" s="571"/>
      <c r="B580" s="572"/>
      <c r="C580" s="572"/>
      <c r="D580" s="572"/>
      <c r="E580" s="572"/>
      <c r="F580" s="572"/>
      <c r="G580" s="572"/>
      <c r="H580" s="572"/>
      <c r="I580" s="572"/>
      <c r="J580" s="572"/>
      <c r="K580" s="572"/>
      <c r="L580" s="572"/>
      <c r="M580" s="572"/>
      <c r="N580" s="572"/>
      <c r="O580" s="572"/>
      <c r="P580" s="572"/>
      <c r="Q580" s="572"/>
      <c r="R580" s="572"/>
      <c r="S580" s="572"/>
      <c r="T580" s="572"/>
      <c r="U580" s="572"/>
      <c r="V580" s="572"/>
      <c r="W580" s="572"/>
      <c r="X580" s="572"/>
      <c r="Y580" s="572"/>
    </row>
    <row r="581" spans="1:25" ht="12.75" customHeight="1">
      <c r="A581" s="571"/>
      <c r="B581" s="572"/>
      <c r="C581" s="572"/>
      <c r="D581" s="572"/>
      <c r="E581" s="572"/>
      <c r="F581" s="572"/>
      <c r="G581" s="572"/>
      <c r="H581" s="572"/>
      <c r="I581" s="572"/>
      <c r="J581" s="572"/>
      <c r="K581" s="572"/>
      <c r="L581" s="572"/>
      <c r="M581" s="572"/>
      <c r="N581" s="572"/>
      <c r="O581" s="572"/>
      <c r="P581" s="572"/>
      <c r="Q581" s="572"/>
      <c r="R581" s="572"/>
      <c r="S581" s="572"/>
      <c r="T581" s="572"/>
      <c r="U581" s="572"/>
      <c r="V581" s="572"/>
      <c r="W581" s="572"/>
      <c r="X581" s="572"/>
      <c r="Y581" s="572"/>
    </row>
    <row r="582" spans="1:25" ht="12.75" customHeight="1">
      <c r="A582" s="571"/>
      <c r="B582" s="572"/>
      <c r="C582" s="572"/>
      <c r="D582" s="572"/>
      <c r="E582" s="572"/>
      <c r="F582" s="572"/>
      <c r="G582" s="572"/>
      <c r="H582" s="572"/>
      <c r="I582" s="572"/>
      <c r="J582" s="572"/>
      <c r="K582" s="572"/>
      <c r="L582" s="572"/>
      <c r="M582" s="572"/>
      <c r="N582" s="572"/>
      <c r="O582" s="572"/>
      <c r="P582" s="572"/>
      <c r="Q582" s="572"/>
      <c r="R582" s="572"/>
      <c r="S582" s="572"/>
      <c r="T582" s="572"/>
      <c r="U582" s="572"/>
      <c r="V582" s="572"/>
      <c r="W582" s="572"/>
      <c r="X582" s="572"/>
      <c r="Y582" s="572"/>
    </row>
    <row r="583" spans="1:25" ht="12.75" customHeight="1">
      <c r="A583" s="571"/>
      <c r="B583" s="572"/>
      <c r="C583" s="572"/>
      <c r="D583" s="572"/>
      <c r="E583" s="572"/>
      <c r="F583" s="572"/>
      <c r="G583" s="572"/>
      <c r="H583" s="572"/>
      <c r="I583" s="572"/>
      <c r="J583" s="572"/>
      <c r="K583" s="572"/>
      <c r="L583" s="572"/>
      <c r="M583" s="572"/>
      <c r="N583" s="572"/>
      <c r="O583" s="572"/>
      <c r="P583" s="572"/>
      <c r="Q583" s="572"/>
      <c r="R583" s="572"/>
      <c r="S583" s="572"/>
      <c r="T583" s="572"/>
      <c r="U583" s="572"/>
      <c r="V583" s="572"/>
      <c r="W583" s="572"/>
      <c r="X583" s="572"/>
      <c r="Y583" s="572"/>
    </row>
    <row r="584" spans="1:25" ht="12.75" customHeight="1">
      <c r="A584" s="571"/>
      <c r="B584" s="572"/>
      <c r="C584" s="572"/>
      <c r="D584" s="572"/>
      <c r="E584" s="572"/>
      <c r="F584" s="572"/>
      <c r="G584" s="572"/>
      <c r="H584" s="572"/>
      <c r="I584" s="572"/>
      <c r="J584" s="572"/>
      <c r="K584" s="572"/>
      <c r="L584" s="572"/>
      <c r="M584" s="572"/>
      <c r="N584" s="572"/>
      <c r="O584" s="572"/>
      <c r="P584" s="572"/>
      <c r="Q584" s="572"/>
      <c r="R584" s="572"/>
      <c r="S584" s="572"/>
      <c r="T584" s="572"/>
      <c r="U584" s="572"/>
      <c r="V584" s="572"/>
      <c r="W584" s="572"/>
      <c r="X584" s="572"/>
      <c r="Y584" s="572"/>
    </row>
    <row r="585" spans="1:25" ht="12.75" customHeight="1">
      <c r="A585" s="571"/>
      <c r="B585" s="572"/>
      <c r="C585" s="572"/>
      <c r="D585" s="572"/>
      <c r="E585" s="572"/>
      <c r="F585" s="572"/>
      <c r="G585" s="572"/>
      <c r="H585" s="572"/>
      <c r="I585" s="572"/>
      <c r="J585" s="572"/>
      <c r="K585" s="572"/>
      <c r="L585" s="572"/>
      <c r="M585" s="572"/>
      <c r="N585" s="572"/>
      <c r="O585" s="572"/>
      <c r="P585" s="572"/>
      <c r="Q585" s="572"/>
      <c r="R585" s="572"/>
      <c r="S585" s="572"/>
      <c r="T585" s="572"/>
      <c r="U585" s="572"/>
      <c r="V585" s="572"/>
      <c r="W585" s="572"/>
      <c r="X585" s="572"/>
      <c r="Y585" s="572"/>
    </row>
    <row r="586" spans="1:25" ht="12.75" customHeight="1">
      <c r="A586" s="571"/>
      <c r="B586" s="572"/>
      <c r="C586" s="572"/>
      <c r="D586" s="572"/>
      <c r="E586" s="572"/>
      <c r="F586" s="572"/>
      <c r="G586" s="572"/>
      <c r="H586" s="572"/>
      <c r="I586" s="572"/>
      <c r="J586" s="572"/>
      <c r="K586" s="572"/>
      <c r="L586" s="572"/>
      <c r="M586" s="572"/>
      <c r="N586" s="572"/>
      <c r="O586" s="572"/>
      <c r="P586" s="572"/>
      <c r="Q586" s="572"/>
      <c r="R586" s="572"/>
      <c r="S586" s="572"/>
      <c r="T586" s="572"/>
      <c r="U586" s="572"/>
      <c r="V586" s="572"/>
      <c r="W586" s="572"/>
      <c r="X586" s="572"/>
      <c r="Y586" s="572"/>
    </row>
    <row r="587" spans="1:25" ht="12.75" customHeight="1">
      <c r="A587" s="571"/>
      <c r="B587" s="572"/>
      <c r="C587" s="572"/>
      <c r="D587" s="572"/>
      <c r="E587" s="572"/>
      <c r="F587" s="572"/>
      <c r="G587" s="572"/>
      <c r="H587" s="572"/>
      <c r="I587" s="572"/>
      <c r="J587" s="572"/>
      <c r="K587" s="572"/>
      <c r="L587" s="572"/>
      <c r="M587" s="572"/>
      <c r="N587" s="572"/>
      <c r="O587" s="572"/>
      <c r="P587" s="572"/>
      <c r="Q587" s="572"/>
      <c r="R587" s="572"/>
      <c r="S587" s="572"/>
      <c r="T587" s="572"/>
      <c r="U587" s="572"/>
      <c r="V587" s="572"/>
      <c r="W587" s="572"/>
      <c r="X587" s="572"/>
      <c r="Y587" s="572"/>
    </row>
    <row r="588" spans="1:25" ht="12.75" customHeight="1">
      <c r="A588" s="571"/>
      <c r="B588" s="572"/>
      <c r="C588" s="572"/>
      <c r="D588" s="572"/>
      <c r="E588" s="572"/>
      <c r="F588" s="572"/>
      <c r="G588" s="572"/>
      <c r="H588" s="572"/>
      <c r="I588" s="572"/>
      <c r="J588" s="572"/>
      <c r="K588" s="572"/>
      <c r="L588" s="572"/>
      <c r="M588" s="572"/>
      <c r="N588" s="572"/>
      <c r="O588" s="572"/>
      <c r="P588" s="572"/>
      <c r="Q588" s="572"/>
      <c r="R588" s="572"/>
      <c r="S588" s="572"/>
      <c r="T588" s="572"/>
      <c r="U588" s="572"/>
      <c r="V588" s="572"/>
      <c r="W588" s="572"/>
      <c r="X588" s="572"/>
      <c r="Y588" s="572"/>
    </row>
    <row r="589" spans="1:25" ht="12.75" customHeight="1">
      <c r="A589" s="571"/>
      <c r="B589" s="572"/>
      <c r="C589" s="572"/>
      <c r="D589" s="572"/>
      <c r="E589" s="572"/>
      <c r="F589" s="572"/>
      <c r="G589" s="572"/>
      <c r="H589" s="572"/>
      <c r="I589" s="572"/>
      <c r="J589" s="572"/>
      <c r="K589" s="572"/>
      <c r="L589" s="572"/>
      <c r="M589" s="572"/>
      <c r="N589" s="572"/>
      <c r="O589" s="572"/>
      <c r="P589" s="572"/>
      <c r="Q589" s="572"/>
      <c r="R589" s="572"/>
      <c r="S589" s="572"/>
      <c r="T589" s="572"/>
      <c r="U589" s="572"/>
      <c r="V589" s="572"/>
      <c r="W589" s="572"/>
      <c r="X589" s="572"/>
      <c r="Y589" s="572"/>
    </row>
    <row r="590" spans="1:25" ht="12.75" customHeight="1">
      <c r="A590" s="571"/>
      <c r="B590" s="572"/>
      <c r="C590" s="572"/>
      <c r="D590" s="572"/>
      <c r="E590" s="572"/>
      <c r="F590" s="572"/>
      <c r="G590" s="572"/>
      <c r="H590" s="572"/>
      <c r="I590" s="572"/>
      <c r="J590" s="572"/>
      <c r="K590" s="572"/>
      <c r="L590" s="572"/>
      <c r="M590" s="572"/>
      <c r="N590" s="572"/>
      <c r="O590" s="572"/>
      <c r="P590" s="572"/>
      <c r="Q590" s="572"/>
      <c r="R590" s="572"/>
      <c r="S590" s="572"/>
      <c r="T590" s="572"/>
      <c r="U590" s="572"/>
      <c r="V590" s="572"/>
      <c r="W590" s="572"/>
      <c r="X590" s="572"/>
      <c r="Y590" s="572"/>
    </row>
    <row r="591" spans="1:25" ht="12.75" customHeight="1">
      <c r="A591" s="571"/>
      <c r="B591" s="572"/>
      <c r="C591" s="572"/>
      <c r="D591" s="572"/>
      <c r="E591" s="572"/>
      <c r="F591" s="572"/>
      <c r="G591" s="572"/>
      <c r="H591" s="572"/>
      <c r="I591" s="572"/>
      <c r="J591" s="572"/>
      <c r="K591" s="572"/>
      <c r="L591" s="572"/>
      <c r="M591" s="572"/>
      <c r="N591" s="572"/>
      <c r="O591" s="572"/>
      <c r="P591" s="572"/>
      <c r="Q591" s="572"/>
      <c r="R591" s="572"/>
      <c r="S591" s="572"/>
      <c r="T591" s="572"/>
      <c r="U591" s="572"/>
      <c r="V591" s="572"/>
      <c r="W591" s="572"/>
      <c r="X591" s="572"/>
      <c r="Y591" s="572"/>
    </row>
    <row r="592" spans="1:25" ht="12.75" customHeight="1">
      <c r="A592" s="571"/>
      <c r="B592" s="572"/>
      <c r="C592" s="572"/>
      <c r="D592" s="572"/>
      <c r="E592" s="572"/>
      <c r="F592" s="572"/>
      <c r="G592" s="572"/>
      <c r="H592" s="572"/>
      <c r="I592" s="572"/>
      <c r="J592" s="572"/>
      <c r="K592" s="572"/>
      <c r="L592" s="572"/>
      <c r="M592" s="572"/>
      <c r="N592" s="572"/>
      <c r="O592" s="572"/>
      <c r="P592" s="572"/>
      <c r="Q592" s="572"/>
      <c r="R592" s="572"/>
      <c r="S592" s="572"/>
      <c r="T592" s="572"/>
      <c r="U592" s="572"/>
      <c r="V592" s="572"/>
      <c r="W592" s="572"/>
      <c r="X592" s="572"/>
      <c r="Y592" s="572"/>
    </row>
    <row r="593" spans="1:25" ht="12.75" customHeight="1">
      <c r="A593" s="571"/>
      <c r="B593" s="572"/>
      <c r="C593" s="572"/>
      <c r="D593" s="572"/>
      <c r="E593" s="572"/>
      <c r="F593" s="572"/>
      <c r="G593" s="572"/>
      <c r="H593" s="572"/>
      <c r="I593" s="572"/>
      <c r="J593" s="572"/>
      <c r="K593" s="572"/>
      <c r="L593" s="572"/>
      <c r="M593" s="572"/>
      <c r="N593" s="572"/>
      <c r="O593" s="572"/>
      <c r="P593" s="572"/>
      <c r="Q593" s="572"/>
      <c r="R593" s="572"/>
      <c r="S593" s="572"/>
      <c r="T593" s="572"/>
      <c r="U593" s="572"/>
      <c r="V593" s="572"/>
      <c r="W593" s="572"/>
      <c r="X593" s="572"/>
      <c r="Y593" s="572"/>
    </row>
    <row r="594" spans="1:25" ht="12.75" customHeight="1">
      <c r="A594" s="571"/>
      <c r="B594" s="572"/>
      <c r="C594" s="572"/>
      <c r="D594" s="572"/>
      <c r="E594" s="572"/>
      <c r="F594" s="572"/>
      <c r="G594" s="572"/>
      <c r="H594" s="572"/>
      <c r="I594" s="572"/>
      <c r="J594" s="572"/>
      <c r="K594" s="572"/>
      <c r="L594" s="572"/>
      <c r="M594" s="572"/>
      <c r="N594" s="572"/>
      <c r="O594" s="572"/>
      <c r="P594" s="572"/>
      <c r="Q594" s="572"/>
      <c r="R594" s="572"/>
      <c r="S594" s="572"/>
      <c r="T594" s="572"/>
      <c r="U594" s="572"/>
      <c r="V594" s="572"/>
      <c r="W594" s="572"/>
      <c r="X594" s="572"/>
      <c r="Y594" s="572"/>
    </row>
    <row r="595" spans="1:25" ht="12.75" customHeight="1">
      <c r="A595" s="571"/>
      <c r="B595" s="572"/>
      <c r="C595" s="572"/>
      <c r="D595" s="572"/>
      <c r="E595" s="572"/>
      <c r="F595" s="572"/>
      <c r="G595" s="572"/>
      <c r="H595" s="572"/>
      <c r="I595" s="572"/>
      <c r="J595" s="572"/>
      <c r="K595" s="572"/>
      <c r="L595" s="572"/>
      <c r="M595" s="572"/>
      <c r="N595" s="572"/>
      <c r="O595" s="572"/>
      <c r="P595" s="572"/>
      <c r="Q595" s="572"/>
      <c r="R595" s="572"/>
      <c r="S595" s="572"/>
      <c r="T595" s="572"/>
      <c r="U595" s="572"/>
      <c r="V595" s="572"/>
      <c r="W595" s="572"/>
      <c r="X595" s="572"/>
      <c r="Y595" s="572"/>
    </row>
    <row r="596" spans="1:25" ht="12.75" customHeight="1">
      <c r="A596" s="571"/>
      <c r="B596" s="572"/>
      <c r="C596" s="572"/>
      <c r="D596" s="572"/>
      <c r="E596" s="572"/>
      <c r="F596" s="572"/>
      <c r="G596" s="572"/>
      <c r="H596" s="572"/>
      <c r="I596" s="572"/>
      <c r="J596" s="572"/>
      <c r="K596" s="572"/>
      <c r="L596" s="572"/>
      <c r="M596" s="572"/>
      <c r="N596" s="572"/>
      <c r="O596" s="572"/>
      <c r="P596" s="572"/>
      <c r="Q596" s="572"/>
      <c r="R596" s="572"/>
      <c r="S596" s="572"/>
      <c r="T596" s="572"/>
      <c r="U596" s="572"/>
      <c r="V596" s="572"/>
      <c r="W596" s="572"/>
      <c r="X596" s="572"/>
      <c r="Y596" s="572"/>
    </row>
    <row r="597" spans="1:25" ht="12.75" customHeight="1">
      <c r="A597" s="571"/>
      <c r="B597" s="572"/>
      <c r="C597" s="572"/>
      <c r="D597" s="572"/>
      <c r="E597" s="572"/>
      <c r="F597" s="572"/>
      <c r="G597" s="572"/>
      <c r="H597" s="572"/>
      <c r="I597" s="572"/>
      <c r="J597" s="572"/>
      <c r="K597" s="572"/>
      <c r="L597" s="572"/>
      <c r="M597" s="572"/>
      <c r="N597" s="572"/>
      <c r="O597" s="572"/>
      <c r="P597" s="572"/>
      <c r="Q597" s="572"/>
      <c r="R597" s="572"/>
      <c r="S597" s="572"/>
      <c r="T597" s="572"/>
      <c r="U597" s="572"/>
      <c r="V597" s="572"/>
      <c r="W597" s="572"/>
      <c r="X597" s="572"/>
      <c r="Y597" s="572"/>
    </row>
    <row r="598" spans="1:25" ht="12.75" customHeight="1">
      <c r="A598" s="571"/>
      <c r="B598" s="572"/>
      <c r="C598" s="572"/>
      <c r="D598" s="572"/>
      <c r="E598" s="572"/>
      <c r="F598" s="572"/>
      <c r="G598" s="572"/>
      <c r="H598" s="572"/>
      <c r="I598" s="572"/>
      <c r="J598" s="572"/>
      <c r="K598" s="572"/>
      <c r="L598" s="572"/>
      <c r="M598" s="572"/>
      <c r="N598" s="572"/>
      <c r="O598" s="572"/>
      <c r="P598" s="572"/>
      <c r="Q598" s="572"/>
      <c r="R598" s="572"/>
      <c r="S598" s="572"/>
      <c r="T598" s="572"/>
      <c r="U598" s="572"/>
      <c r="V598" s="572"/>
      <c r="W598" s="572"/>
      <c r="X598" s="572"/>
      <c r="Y598" s="572"/>
    </row>
    <row r="599" spans="1:25" ht="12.75" customHeight="1">
      <c r="A599" s="571"/>
      <c r="B599" s="572"/>
      <c r="C599" s="572"/>
      <c r="D599" s="572"/>
      <c r="E599" s="572"/>
      <c r="F599" s="572"/>
      <c r="G599" s="572"/>
      <c r="H599" s="572"/>
      <c r="I599" s="572"/>
      <c r="J599" s="572"/>
      <c r="K599" s="572"/>
      <c r="L599" s="572"/>
      <c r="M599" s="572"/>
      <c r="N599" s="572"/>
      <c r="O599" s="572"/>
      <c r="P599" s="572"/>
      <c r="Q599" s="572"/>
      <c r="R599" s="572"/>
      <c r="S599" s="572"/>
      <c r="T599" s="572"/>
      <c r="U599" s="572"/>
      <c r="V599" s="572"/>
      <c r="W599" s="572"/>
      <c r="X599" s="572"/>
      <c r="Y599" s="572"/>
    </row>
    <row r="600" spans="1:25" ht="12.75" customHeight="1">
      <c r="A600" s="571"/>
      <c r="B600" s="572"/>
      <c r="C600" s="572"/>
      <c r="D600" s="572"/>
      <c r="E600" s="572"/>
      <c r="F600" s="572"/>
      <c r="G600" s="572"/>
      <c r="H600" s="572"/>
      <c r="I600" s="572"/>
      <c r="J600" s="572"/>
      <c r="K600" s="572"/>
      <c r="L600" s="572"/>
      <c r="M600" s="572"/>
      <c r="N600" s="572"/>
      <c r="O600" s="572"/>
      <c r="P600" s="572"/>
      <c r="Q600" s="572"/>
      <c r="R600" s="572"/>
      <c r="S600" s="572"/>
      <c r="T600" s="572"/>
      <c r="U600" s="572"/>
      <c r="V600" s="572"/>
      <c r="W600" s="572"/>
      <c r="X600" s="572"/>
      <c r="Y600" s="572"/>
    </row>
    <row r="601" spans="1:25" ht="12.75" customHeight="1">
      <c r="A601" s="571"/>
      <c r="B601" s="572"/>
      <c r="C601" s="572"/>
      <c r="D601" s="572"/>
      <c r="E601" s="572"/>
      <c r="F601" s="572"/>
      <c r="G601" s="572"/>
      <c r="H601" s="572"/>
      <c r="I601" s="572"/>
      <c r="J601" s="572"/>
      <c r="K601" s="572"/>
      <c r="L601" s="572"/>
      <c r="M601" s="572"/>
      <c r="N601" s="572"/>
      <c r="O601" s="572"/>
      <c r="P601" s="572"/>
      <c r="Q601" s="572"/>
      <c r="R601" s="572"/>
      <c r="S601" s="572"/>
      <c r="T601" s="572"/>
      <c r="U601" s="572"/>
      <c r="V601" s="572"/>
      <c r="W601" s="572"/>
      <c r="X601" s="572"/>
      <c r="Y601" s="572"/>
    </row>
    <row r="602" spans="1:25" ht="12.75" customHeight="1">
      <c r="A602" s="571"/>
      <c r="B602" s="572"/>
      <c r="C602" s="572"/>
      <c r="D602" s="572"/>
      <c r="E602" s="572"/>
      <c r="F602" s="572"/>
      <c r="G602" s="572"/>
      <c r="H602" s="572"/>
      <c r="I602" s="572"/>
      <c r="J602" s="572"/>
      <c r="K602" s="572"/>
      <c r="L602" s="572"/>
      <c r="M602" s="572"/>
      <c r="N602" s="572"/>
      <c r="O602" s="572"/>
      <c r="P602" s="572"/>
      <c r="Q602" s="572"/>
      <c r="R602" s="572"/>
      <c r="S602" s="572"/>
      <c r="T602" s="572"/>
      <c r="U602" s="572"/>
      <c r="V602" s="572"/>
      <c r="W602" s="572"/>
      <c r="X602" s="572"/>
      <c r="Y602" s="572"/>
    </row>
    <row r="603" spans="1:25" ht="12.75" customHeight="1">
      <c r="A603" s="571"/>
      <c r="B603" s="572"/>
      <c r="C603" s="572"/>
      <c r="D603" s="572"/>
      <c r="E603" s="572"/>
      <c r="F603" s="572"/>
      <c r="G603" s="572"/>
      <c r="H603" s="572"/>
      <c r="I603" s="572"/>
      <c r="J603" s="572"/>
      <c r="K603" s="572"/>
      <c r="L603" s="572"/>
      <c r="M603" s="572"/>
      <c r="N603" s="572"/>
      <c r="O603" s="572"/>
      <c r="P603" s="572"/>
      <c r="Q603" s="572"/>
      <c r="R603" s="572"/>
      <c r="S603" s="572"/>
      <c r="T603" s="572"/>
      <c r="U603" s="572"/>
      <c r="V603" s="572"/>
      <c r="W603" s="572"/>
      <c r="X603" s="572"/>
      <c r="Y603" s="572"/>
    </row>
    <row r="604" spans="1:25" ht="12.75" customHeight="1">
      <c r="A604" s="571"/>
      <c r="B604" s="572"/>
      <c r="C604" s="572"/>
      <c r="D604" s="572"/>
      <c r="E604" s="572"/>
      <c r="F604" s="572"/>
      <c r="G604" s="572"/>
      <c r="H604" s="572"/>
      <c r="I604" s="572"/>
      <c r="J604" s="572"/>
      <c r="K604" s="572"/>
      <c r="L604" s="572"/>
      <c r="M604" s="572"/>
      <c r="N604" s="572"/>
      <c r="O604" s="572"/>
      <c r="P604" s="572"/>
      <c r="Q604" s="572"/>
      <c r="R604" s="572"/>
      <c r="S604" s="572"/>
      <c r="T604" s="572"/>
      <c r="U604" s="572"/>
      <c r="V604" s="572"/>
      <c r="W604" s="572"/>
      <c r="X604" s="572"/>
      <c r="Y604" s="572"/>
    </row>
    <row r="605" spans="1:25" ht="12.75" customHeight="1">
      <c r="A605" s="571"/>
      <c r="B605" s="572"/>
      <c r="C605" s="572"/>
      <c r="D605" s="572"/>
      <c r="E605" s="572"/>
      <c r="F605" s="572"/>
      <c r="G605" s="572"/>
      <c r="H605" s="572"/>
      <c r="I605" s="572"/>
      <c r="J605" s="572"/>
      <c r="K605" s="572"/>
      <c r="L605" s="572"/>
      <c r="M605" s="572"/>
      <c r="N605" s="572"/>
      <c r="O605" s="572"/>
      <c r="P605" s="572"/>
      <c r="Q605" s="572"/>
      <c r="R605" s="572"/>
      <c r="S605" s="572"/>
      <c r="T605" s="572"/>
      <c r="U605" s="572"/>
      <c r="V605" s="572"/>
      <c r="W605" s="572"/>
      <c r="X605" s="572"/>
      <c r="Y605" s="572"/>
    </row>
    <row r="606" spans="1:25" ht="12.75" customHeight="1">
      <c r="A606" s="571"/>
      <c r="B606" s="572"/>
      <c r="C606" s="572"/>
      <c r="D606" s="572"/>
      <c r="E606" s="572"/>
      <c r="F606" s="572"/>
      <c r="G606" s="572"/>
      <c r="H606" s="572"/>
      <c r="I606" s="572"/>
      <c r="J606" s="572"/>
      <c r="K606" s="572"/>
      <c r="L606" s="572"/>
      <c r="M606" s="572"/>
      <c r="N606" s="572"/>
      <c r="O606" s="572"/>
      <c r="P606" s="572"/>
      <c r="Q606" s="572"/>
      <c r="R606" s="572"/>
      <c r="S606" s="572"/>
      <c r="T606" s="572"/>
      <c r="U606" s="572"/>
      <c r="V606" s="572"/>
      <c r="W606" s="572"/>
      <c r="X606" s="572"/>
      <c r="Y606" s="572"/>
    </row>
    <row r="607" spans="1:25" ht="12.75" customHeight="1">
      <c r="A607" s="571"/>
      <c r="B607" s="572"/>
      <c r="C607" s="572"/>
      <c r="D607" s="572"/>
      <c r="E607" s="572"/>
      <c r="F607" s="572"/>
      <c r="G607" s="572"/>
      <c r="H607" s="572"/>
      <c r="I607" s="572"/>
      <c r="J607" s="572"/>
      <c r="K607" s="572"/>
      <c r="L607" s="572"/>
      <c r="M607" s="572"/>
      <c r="N607" s="572"/>
      <c r="O607" s="572"/>
      <c r="P607" s="572"/>
      <c r="Q607" s="572"/>
      <c r="R607" s="572"/>
      <c r="S607" s="572"/>
      <c r="T607" s="572"/>
      <c r="U607" s="572"/>
      <c r="V607" s="572"/>
      <c r="W607" s="572"/>
      <c r="X607" s="572"/>
      <c r="Y607" s="572"/>
    </row>
    <row r="608" spans="1:25" ht="12.75" customHeight="1">
      <c r="A608" s="571"/>
      <c r="B608" s="572"/>
      <c r="C608" s="572"/>
      <c r="D608" s="572"/>
      <c r="E608" s="572"/>
      <c r="F608" s="572"/>
      <c r="G608" s="572"/>
      <c r="H608" s="572"/>
      <c r="I608" s="572"/>
      <c r="J608" s="572"/>
      <c r="K608" s="572"/>
      <c r="L608" s="572"/>
      <c r="M608" s="572"/>
      <c r="N608" s="572"/>
      <c r="O608" s="572"/>
      <c r="P608" s="572"/>
      <c r="Q608" s="572"/>
      <c r="R608" s="572"/>
      <c r="S608" s="572"/>
      <c r="T608" s="572"/>
      <c r="U608" s="572"/>
      <c r="V608" s="572"/>
      <c r="W608" s="572"/>
      <c r="X608" s="572"/>
      <c r="Y608" s="572"/>
    </row>
    <row r="609" spans="1:25" ht="12.75" customHeight="1">
      <c r="A609" s="571"/>
      <c r="B609" s="572"/>
      <c r="C609" s="572"/>
      <c r="D609" s="572"/>
      <c r="E609" s="572"/>
      <c r="F609" s="572"/>
      <c r="G609" s="572"/>
      <c r="H609" s="572"/>
      <c r="I609" s="572"/>
      <c r="J609" s="572"/>
      <c r="K609" s="572"/>
      <c r="L609" s="572"/>
      <c r="M609" s="572"/>
      <c r="N609" s="572"/>
      <c r="O609" s="572"/>
      <c r="P609" s="572"/>
      <c r="Q609" s="572"/>
      <c r="R609" s="572"/>
      <c r="S609" s="572"/>
      <c r="T609" s="572"/>
      <c r="U609" s="572"/>
      <c r="V609" s="572"/>
      <c r="W609" s="572"/>
      <c r="X609" s="572"/>
      <c r="Y609" s="572"/>
    </row>
    <row r="610" spans="1:25" ht="12.75" customHeight="1">
      <c r="A610" s="571"/>
      <c r="B610" s="572"/>
      <c r="C610" s="572"/>
      <c r="D610" s="572"/>
      <c r="E610" s="572"/>
      <c r="F610" s="572"/>
      <c r="G610" s="572"/>
      <c r="H610" s="572"/>
      <c r="I610" s="572"/>
      <c r="J610" s="572"/>
      <c r="K610" s="572"/>
      <c r="L610" s="572"/>
      <c r="M610" s="572"/>
      <c r="N610" s="572"/>
      <c r="O610" s="572"/>
      <c r="P610" s="572"/>
      <c r="Q610" s="572"/>
      <c r="R610" s="572"/>
      <c r="S610" s="572"/>
      <c r="T610" s="572"/>
      <c r="U610" s="572"/>
      <c r="V610" s="572"/>
      <c r="W610" s="572"/>
      <c r="X610" s="572"/>
      <c r="Y610" s="572"/>
    </row>
    <row r="611" spans="1:25" ht="12.75" customHeight="1">
      <c r="A611" s="571"/>
      <c r="B611" s="572"/>
      <c r="C611" s="572"/>
      <c r="D611" s="572"/>
      <c r="E611" s="572"/>
      <c r="F611" s="572"/>
      <c r="G611" s="572"/>
      <c r="H611" s="572"/>
      <c r="I611" s="572"/>
      <c r="J611" s="572"/>
      <c r="K611" s="572"/>
      <c r="L611" s="572"/>
      <c r="M611" s="572"/>
      <c r="N611" s="572"/>
      <c r="O611" s="572"/>
      <c r="P611" s="572"/>
      <c r="Q611" s="572"/>
      <c r="R611" s="572"/>
      <c r="S611" s="572"/>
      <c r="T611" s="572"/>
      <c r="U611" s="572"/>
      <c r="V611" s="572"/>
      <c r="W611" s="572"/>
      <c r="X611" s="572"/>
      <c r="Y611" s="572"/>
    </row>
    <row r="612" spans="1:25" ht="12.75" customHeight="1">
      <c r="A612" s="571"/>
      <c r="B612" s="572"/>
      <c r="C612" s="572"/>
      <c r="D612" s="572"/>
      <c r="E612" s="572"/>
      <c r="F612" s="572"/>
      <c r="G612" s="572"/>
      <c r="H612" s="572"/>
      <c r="I612" s="572"/>
      <c r="J612" s="572"/>
      <c r="K612" s="572"/>
      <c r="L612" s="572"/>
      <c r="M612" s="572"/>
      <c r="N612" s="572"/>
      <c r="O612" s="572"/>
      <c r="P612" s="572"/>
      <c r="Q612" s="572"/>
      <c r="R612" s="572"/>
      <c r="S612" s="572"/>
      <c r="T612" s="572"/>
      <c r="U612" s="572"/>
      <c r="V612" s="572"/>
      <c r="W612" s="572"/>
      <c r="X612" s="572"/>
      <c r="Y612" s="572"/>
    </row>
    <row r="613" spans="1:25" ht="12.75" customHeight="1">
      <c r="A613" s="571"/>
      <c r="B613" s="572"/>
      <c r="C613" s="572"/>
      <c r="D613" s="572"/>
      <c r="E613" s="572"/>
      <c r="F613" s="572"/>
      <c r="G613" s="572"/>
      <c r="H613" s="572"/>
      <c r="I613" s="572"/>
      <c r="J613" s="572"/>
      <c r="K613" s="572"/>
      <c r="L613" s="572"/>
      <c r="M613" s="572"/>
      <c r="N613" s="572"/>
      <c r="O613" s="572"/>
      <c r="P613" s="572"/>
      <c r="Q613" s="572"/>
      <c r="R613" s="572"/>
      <c r="S613" s="572"/>
      <c r="T613" s="572"/>
      <c r="U613" s="572"/>
      <c r="V613" s="572"/>
      <c r="W613" s="572"/>
      <c r="X613" s="572"/>
      <c r="Y613" s="572"/>
    </row>
    <row r="614" spans="1:25" ht="12.75" customHeight="1">
      <c r="A614" s="571"/>
      <c r="B614" s="572"/>
      <c r="C614" s="572"/>
      <c r="D614" s="572"/>
      <c r="E614" s="572"/>
      <c r="F614" s="572"/>
      <c r="G614" s="572"/>
      <c r="H614" s="572"/>
      <c r="I614" s="572"/>
      <c r="J614" s="572"/>
      <c r="K614" s="572"/>
      <c r="L614" s="572"/>
      <c r="M614" s="572"/>
      <c r="N614" s="572"/>
      <c r="O614" s="572"/>
      <c r="P614" s="572"/>
      <c r="Q614" s="572"/>
      <c r="R614" s="572"/>
      <c r="S614" s="572"/>
      <c r="T614" s="572"/>
      <c r="U614" s="572"/>
      <c r="V614" s="572"/>
      <c r="W614" s="572"/>
      <c r="X614" s="572"/>
      <c r="Y614" s="572"/>
    </row>
    <row r="615" spans="1:25" ht="12.75" customHeight="1">
      <c r="A615" s="571"/>
      <c r="B615" s="572"/>
      <c r="C615" s="572"/>
      <c r="D615" s="572"/>
      <c r="E615" s="572"/>
      <c r="F615" s="572"/>
      <c r="G615" s="572"/>
      <c r="H615" s="572"/>
      <c r="I615" s="572"/>
      <c r="J615" s="572"/>
      <c r="K615" s="572"/>
      <c r="L615" s="572"/>
      <c r="M615" s="572"/>
      <c r="N615" s="572"/>
      <c r="O615" s="572"/>
      <c r="P615" s="572"/>
      <c r="Q615" s="572"/>
      <c r="R615" s="572"/>
      <c r="S615" s="572"/>
      <c r="T615" s="572"/>
      <c r="U615" s="572"/>
      <c r="V615" s="572"/>
      <c r="W615" s="572"/>
      <c r="X615" s="572"/>
      <c r="Y615" s="572"/>
    </row>
    <row r="616" spans="1:25" ht="12.75" customHeight="1">
      <c r="A616" s="571"/>
      <c r="B616" s="572"/>
      <c r="C616" s="572"/>
      <c r="D616" s="572"/>
      <c r="E616" s="572"/>
      <c r="F616" s="572"/>
      <c r="G616" s="572"/>
      <c r="H616" s="572"/>
      <c r="I616" s="572"/>
      <c r="J616" s="572"/>
      <c r="K616" s="572"/>
      <c r="L616" s="572"/>
      <c r="M616" s="572"/>
      <c r="N616" s="572"/>
      <c r="O616" s="572"/>
      <c r="P616" s="572"/>
      <c r="Q616" s="572"/>
      <c r="R616" s="572"/>
      <c r="S616" s="572"/>
      <c r="T616" s="572"/>
      <c r="U616" s="572"/>
      <c r="V616" s="572"/>
      <c r="W616" s="572"/>
      <c r="X616" s="572"/>
      <c r="Y616" s="572"/>
    </row>
    <row r="617" spans="1:25" ht="12.75" customHeight="1">
      <c r="A617" s="571"/>
      <c r="B617" s="572"/>
      <c r="C617" s="572"/>
      <c r="D617" s="572"/>
      <c r="E617" s="572"/>
      <c r="F617" s="572"/>
      <c r="G617" s="572"/>
      <c r="H617" s="572"/>
      <c r="I617" s="572"/>
      <c r="J617" s="572"/>
      <c r="K617" s="572"/>
      <c r="L617" s="572"/>
      <c r="M617" s="572"/>
      <c r="N617" s="572"/>
      <c r="O617" s="572"/>
      <c r="P617" s="572"/>
      <c r="Q617" s="572"/>
      <c r="R617" s="572"/>
      <c r="S617" s="572"/>
      <c r="T617" s="572"/>
      <c r="U617" s="572"/>
      <c r="V617" s="572"/>
      <c r="W617" s="572"/>
      <c r="X617" s="572"/>
      <c r="Y617" s="572"/>
    </row>
    <row r="618" spans="1:25" ht="12.75" customHeight="1">
      <c r="A618" s="571"/>
      <c r="B618" s="572"/>
      <c r="C618" s="572"/>
      <c r="D618" s="572"/>
      <c r="E618" s="572"/>
      <c r="F618" s="572"/>
      <c r="G618" s="572"/>
      <c r="H618" s="572"/>
      <c r="I618" s="572"/>
      <c r="J618" s="572"/>
      <c r="K618" s="572"/>
      <c r="L618" s="572"/>
      <c r="M618" s="572"/>
      <c r="N618" s="572"/>
      <c r="O618" s="572"/>
      <c r="P618" s="572"/>
      <c r="Q618" s="572"/>
      <c r="R618" s="572"/>
      <c r="S618" s="572"/>
      <c r="T618" s="572"/>
      <c r="U618" s="572"/>
      <c r="V618" s="572"/>
      <c r="W618" s="572"/>
      <c r="X618" s="572"/>
      <c r="Y618" s="572"/>
    </row>
    <row r="619" spans="1:25" ht="12.75" customHeight="1">
      <c r="A619" s="571"/>
      <c r="B619" s="572"/>
      <c r="C619" s="572"/>
      <c r="D619" s="572"/>
      <c r="E619" s="572"/>
      <c r="F619" s="572"/>
      <c r="G619" s="572"/>
      <c r="H619" s="572"/>
      <c r="I619" s="572"/>
      <c r="J619" s="572"/>
      <c r="K619" s="572"/>
      <c r="L619" s="572"/>
      <c r="M619" s="572"/>
      <c r="N619" s="572"/>
      <c r="O619" s="572"/>
      <c r="P619" s="572"/>
      <c r="Q619" s="572"/>
      <c r="R619" s="572"/>
      <c r="S619" s="572"/>
      <c r="T619" s="572"/>
      <c r="U619" s="572"/>
      <c r="V619" s="572"/>
      <c r="W619" s="572"/>
      <c r="X619" s="572"/>
      <c r="Y619" s="572"/>
    </row>
    <row r="620" spans="1:25" ht="12.75" customHeight="1">
      <c r="A620" s="571"/>
      <c r="B620" s="572"/>
      <c r="C620" s="572"/>
      <c r="D620" s="572"/>
      <c r="E620" s="572"/>
      <c r="F620" s="572"/>
      <c r="G620" s="572"/>
      <c r="H620" s="572"/>
      <c r="I620" s="572"/>
      <c r="J620" s="572"/>
      <c r="K620" s="572"/>
      <c r="L620" s="572"/>
      <c r="M620" s="572"/>
      <c r="N620" s="572"/>
      <c r="O620" s="572"/>
      <c r="P620" s="572"/>
      <c r="Q620" s="572"/>
      <c r="R620" s="572"/>
      <c r="S620" s="572"/>
      <c r="T620" s="572"/>
      <c r="U620" s="572"/>
      <c r="V620" s="572"/>
      <c r="W620" s="572"/>
      <c r="X620" s="572"/>
      <c r="Y620" s="572"/>
    </row>
    <row r="621" spans="1:25" ht="12.75" customHeight="1">
      <c r="A621" s="571"/>
      <c r="B621" s="572"/>
      <c r="C621" s="572"/>
      <c r="D621" s="572"/>
      <c r="E621" s="572"/>
      <c r="F621" s="572"/>
      <c r="G621" s="572"/>
      <c r="H621" s="572"/>
      <c r="I621" s="572"/>
      <c r="J621" s="572"/>
      <c r="K621" s="572"/>
      <c r="L621" s="572"/>
      <c r="M621" s="572"/>
      <c r="N621" s="572"/>
      <c r="O621" s="572"/>
      <c r="P621" s="572"/>
      <c r="Q621" s="572"/>
      <c r="R621" s="572"/>
      <c r="S621" s="572"/>
      <c r="T621" s="572"/>
      <c r="U621" s="572"/>
      <c r="V621" s="572"/>
      <c r="W621" s="572"/>
      <c r="X621" s="572"/>
      <c r="Y621" s="572"/>
    </row>
    <row r="622" spans="1:25" ht="12.75" customHeight="1">
      <c r="A622" s="571"/>
      <c r="B622" s="572"/>
      <c r="C622" s="572"/>
      <c r="D622" s="572"/>
      <c r="E622" s="572"/>
      <c r="F622" s="572"/>
      <c r="G622" s="572"/>
      <c r="H622" s="572"/>
      <c r="I622" s="572"/>
      <c r="J622" s="572"/>
      <c r="K622" s="572"/>
      <c r="L622" s="572"/>
      <c r="M622" s="572"/>
      <c r="N622" s="572"/>
      <c r="O622" s="572"/>
      <c r="P622" s="572"/>
      <c r="Q622" s="572"/>
      <c r="R622" s="572"/>
      <c r="S622" s="572"/>
      <c r="T622" s="572"/>
      <c r="U622" s="572"/>
      <c r="V622" s="572"/>
      <c r="W622" s="572"/>
      <c r="X622" s="572"/>
      <c r="Y622" s="572"/>
    </row>
    <row r="623" spans="1:25" ht="12.75" customHeight="1">
      <c r="A623" s="571"/>
      <c r="B623" s="572"/>
      <c r="C623" s="572"/>
      <c r="D623" s="572"/>
      <c r="E623" s="572"/>
      <c r="F623" s="572"/>
      <c r="G623" s="572"/>
      <c r="H623" s="572"/>
      <c r="I623" s="572"/>
      <c r="J623" s="572"/>
      <c r="K623" s="572"/>
      <c r="L623" s="572"/>
      <c r="M623" s="572"/>
      <c r="N623" s="572"/>
      <c r="O623" s="572"/>
      <c r="P623" s="572"/>
      <c r="Q623" s="572"/>
      <c r="R623" s="572"/>
      <c r="S623" s="572"/>
      <c r="T623" s="572"/>
      <c r="U623" s="572"/>
      <c r="V623" s="572"/>
      <c r="W623" s="572"/>
      <c r="X623" s="572"/>
      <c r="Y623" s="572"/>
    </row>
    <row r="624" spans="1:25" ht="12.75" customHeight="1">
      <c r="A624" s="571"/>
      <c r="B624" s="572"/>
      <c r="C624" s="572"/>
      <c r="D624" s="572"/>
      <c r="E624" s="572"/>
      <c r="F624" s="572"/>
      <c r="G624" s="572"/>
      <c r="H624" s="572"/>
      <c r="I624" s="572"/>
      <c r="J624" s="572"/>
      <c r="K624" s="572"/>
      <c r="L624" s="572"/>
      <c r="M624" s="572"/>
      <c r="N624" s="572"/>
      <c r="O624" s="572"/>
      <c r="P624" s="572"/>
      <c r="Q624" s="572"/>
      <c r="R624" s="572"/>
      <c r="S624" s="572"/>
      <c r="T624" s="572"/>
      <c r="U624" s="572"/>
      <c r="V624" s="572"/>
      <c r="W624" s="572"/>
      <c r="X624" s="572"/>
      <c r="Y624" s="572"/>
    </row>
    <row r="625" spans="1:25" ht="12.75" customHeight="1">
      <c r="A625" s="571"/>
      <c r="B625" s="572"/>
      <c r="C625" s="572"/>
      <c r="D625" s="572"/>
      <c r="E625" s="572"/>
      <c r="F625" s="572"/>
      <c r="G625" s="572"/>
      <c r="H625" s="572"/>
      <c r="I625" s="572"/>
      <c r="J625" s="572"/>
      <c r="K625" s="572"/>
      <c r="L625" s="572"/>
      <c r="M625" s="572"/>
      <c r="N625" s="572"/>
      <c r="O625" s="572"/>
      <c r="P625" s="572"/>
      <c r="Q625" s="572"/>
      <c r="R625" s="572"/>
      <c r="S625" s="572"/>
      <c r="T625" s="572"/>
      <c r="U625" s="572"/>
      <c r="V625" s="572"/>
      <c r="W625" s="572"/>
      <c r="X625" s="572"/>
      <c r="Y625" s="572"/>
    </row>
    <row r="626" spans="1:25" ht="12.75" customHeight="1">
      <c r="A626" s="571"/>
      <c r="B626" s="572"/>
      <c r="C626" s="572"/>
      <c r="D626" s="572"/>
      <c r="E626" s="572"/>
      <c r="F626" s="572"/>
      <c r="G626" s="572"/>
      <c r="H626" s="572"/>
      <c r="I626" s="572"/>
      <c r="J626" s="572"/>
      <c r="K626" s="572"/>
      <c r="L626" s="572"/>
      <c r="M626" s="572"/>
      <c r="N626" s="572"/>
      <c r="O626" s="572"/>
      <c r="P626" s="572"/>
      <c r="Q626" s="572"/>
      <c r="R626" s="572"/>
      <c r="S626" s="572"/>
      <c r="T626" s="572"/>
      <c r="U626" s="572"/>
      <c r="V626" s="572"/>
      <c r="W626" s="572"/>
      <c r="X626" s="572"/>
      <c r="Y626" s="572"/>
    </row>
    <row r="627" spans="1:25" ht="12.75" customHeight="1">
      <c r="A627" s="571"/>
      <c r="B627" s="572"/>
      <c r="C627" s="572"/>
      <c r="D627" s="572"/>
      <c r="E627" s="572"/>
      <c r="F627" s="572"/>
      <c r="G627" s="572"/>
      <c r="H627" s="572"/>
      <c r="I627" s="572"/>
      <c r="J627" s="572"/>
      <c r="K627" s="572"/>
      <c r="L627" s="572"/>
      <c r="M627" s="572"/>
      <c r="N627" s="572"/>
      <c r="O627" s="572"/>
      <c r="P627" s="572"/>
      <c r="Q627" s="572"/>
      <c r="R627" s="572"/>
      <c r="S627" s="572"/>
      <c r="T627" s="572"/>
      <c r="U627" s="572"/>
      <c r="V627" s="572"/>
      <c r="W627" s="572"/>
      <c r="X627" s="572"/>
      <c r="Y627" s="572"/>
    </row>
    <row r="628" spans="1:25" ht="12.75" customHeight="1">
      <c r="A628" s="571"/>
      <c r="B628" s="572"/>
      <c r="C628" s="572"/>
      <c r="D628" s="572"/>
      <c r="E628" s="572"/>
      <c r="F628" s="572"/>
      <c r="G628" s="572"/>
      <c r="H628" s="572"/>
      <c r="I628" s="572"/>
      <c r="J628" s="572"/>
      <c r="K628" s="572"/>
      <c r="L628" s="572"/>
      <c r="M628" s="572"/>
      <c r="N628" s="572"/>
      <c r="O628" s="572"/>
      <c r="P628" s="572"/>
      <c r="Q628" s="572"/>
      <c r="R628" s="572"/>
      <c r="S628" s="572"/>
      <c r="T628" s="572"/>
      <c r="U628" s="572"/>
      <c r="V628" s="572"/>
      <c r="W628" s="572"/>
      <c r="X628" s="572"/>
      <c r="Y628" s="572"/>
    </row>
    <row r="629" spans="1:25" ht="12.75" customHeight="1">
      <c r="A629" s="571"/>
      <c r="B629" s="572"/>
      <c r="C629" s="572"/>
      <c r="D629" s="572"/>
      <c r="E629" s="572"/>
      <c r="F629" s="572"/>
      <c r="G629" s="572"/>
      <c r="H629" s="572"/>
      <c r="I629" s="572"/>
      <c r="J629" s="572"/>
      <c r="K629" s="572"/>
      <c r="L629" s="572"/>
      <c r="M629" s="572"/>
      <c r="N629" s="572"/>
      <c r="O629" s="572"/>
      <c r="P629" s="572"/>
      <c r="Q629" s="572"/>
      <c r="R629" s="572"/>
      <c r="S629" s="572"/>
      <c r="T629" s="572"/>
      <c r="U629" s="572"/>
      <c r="V629" s="572"/>
      <c r="W629" s="572"/>
      <c r="X629" s="572"/>
      <c r="Y629" s="572"/>
    </row>
    <row r="630" spans="1:25" ht="12.75" customHeight="1">
      <c r="A630" s="571"/>
      <c r="B630" s="572"/>
      <c r="C630" s="572"/>
      <c r="D630" s="572"/>
      <c r="E630" s="572"/>
      <c r="F630" s="572"/>
      <c r="G630" s="572"/>
      <c r="H630" s="572"/>
      <c r="I630" s="572"/>
      <c r="J630" s="572"/>
      <c r="K630" s="572"/>
      <c r="L630" s="572"/>
      <c r="M630" s="572"/>
      <c r="N630" s="572"/>
      <c r="O630" s="572"/>
      <c r="P630" s="572"/>
      <c r="Q630" s="572"/>
      <c r="R630" s="572"/>
      <c r="S630" s="572"/>
      <c r="T630" s="572"/>
      <c r="U630" s="572"/>
      <c r="V630" s="572"/>
      <c r="W630" s="572"/>
      <c r="X630" s="572"/>
      <c r="Y630" s="572"/>
    </row>
    <row r="631" spans="1:25" ht="12.75" customHeight="1">
      <c r="A631" s="571"/>
      <c r="B631" s="572"/>
      <c r="C631" s="572"/>
      <c r="D631" s="572"/>
      <c r="E631" s="572"/>
      <c r="F631" s="572"/>
      <c r="G631" s="572"/>
      <c r="H631" s="572"/>
      <c r="I631" s="572"/>
      <c r="J631" s="572"/>
      <c r="K631" s="572"/>
      <c r="L631" s="572"/>
      <c r="M631" s="572"/>
      <c r="N631" s="572"/>
      <c r="O631" s="572"/>
      <c r="P631" s="572"/>
      <c r="Q631" s="572"/>
      <c r="R631" s="572"/>
      <c r="S631" s="572"/>
      <c r="T631" s="572"/>
      <c r="U631" s="572"/>
      <c r="V631" s="572"/>
      <c r="W631" s="572"/>
      <c r="X631" s="572"/>
      <c r="Y631" s="572"/>
    </row>
    <row r="632" spans="1:25" ht="12.75" customHeight="1">
      <c r="A632" s="571"/>
      <c r="B632" s="572"/>
      <c r="C632" s="572"/>
      <c r="D632" s="572"/>
      <c r="E632" s="572"/>
      <c r="F632" s="572"/>
      <c r="G632" s="572"/>
      <c r="H632" s="572"/>
      <c r="I632" s="572"/>
      <c r="J632" s="572"/>
      <c r="K632" s="572"/>
      <c r="L632" s="572"/>
      <c r="M632" s="572"/>
      <c r="N632" s="572"/>
      <c r="O632" s="572"/>
      <c r="P632" s="572"/>
      <c r="Q632" s="572"/>
      <c r="R632" s="572"/>
      <c r="S632" s="572"/>
      <c r="T632" s="572"/>
      <c r="U632" s="572"/>
      <c r="V632" s="572"/>
      <c r="W632" s="572"/>
      <c r="X632" s="572"/>
      <c r="Y632" s="572"/>
    </row>
    <row r="633" spans="1:25" ht="12.75" customHeight="1">
      <c r="A633" s="571"/>
      <c r="B633" s="572"/>
      <c r="C633" s="572"/>
      <c r="D633" s="572"/>
      <c r="E633" s="572"/>
      <c r="F633" s="572"/>
      <c r="G633" s="572"/>
      <c r="H633" s="572"/>
      <c r="I633" s="572"/>
      <c r="J633" s="572"/>
      <c r="K633" s="572"/>
      <c r="L633" s="572"/>
      <c r="M633" s="572"/>
      <c r="N633" s="572"/>
      <c r="O633" s="572"/>
      <c r="P633" s="572"/>
      <c r="Q633" s="572"/>
      <c r="R633" s="572"/>
      <c r="S633" s="572"/>
      <c r="T633" s="572"/>
      <c r="U633" s="572"/>
      <c r="V633" s="572"/>
      <c r="W633" s="572"/>
      <c r="X633" s="572"/>
      <c r="Y633" s="572"/>
    </row>
    <row r="634" spans="1:25" ht="12.75" customHeight="1">
      <c r="A634" s="571"/>
      <c r="B634" s="572"/>
      <c r="C634" s="572"/>
      <c r="D634" s="572"/>
      <c r="E634" s="572"/>
      <c r="F634" s="572"/>
      <c r="G634" s="572"/>
      <c r="H634" s="572"/>
      <c r="I634" s="572"/>
      <c r="J634" s="572"/>
      <c r="K634" s="572"/>
      <c r="L634" s="572"/>
      <c r="M634" s="572"/>
      <c r="N634" s="572"/>
      <c r="O634" s="572"/>
      <c r="P634" s="572"/>
      <c r="Q634" s="572"/>
      <c r="R634" s="572"/>
      <c r="S634" s="572"/>
      <c r="T634" s="572"/>
      <c r="U634" s="572"/>
      <c r="V634" s="572"/>
      <c r="W634" s="572"/>
      <c r="X634" s="572"/>
      <c r="Y634" s="572"/>
    </row>
    <row r="635" spans="1:25" ht="12.75" customHeight="1">
      <c r="A635" s="571"/>
      <c r="B635" s="572"/>
      <c r="C635" s="572"/>
      <c r="D635" s="572"/>
      <c r="E635" s="572"/>
      <c r="F635" s="572"/>
      <c r="G635" s="572"/>
      <c r="H635" s="572"/>
      <c r="I635" s="572"/>
      <c r="J635" s="572"/>
      <c r="K635" s="572"/>
      <c r="L635" s="572"/>
      <c r="M635" s="572"/>
      <c r="N635" s="572"/>
      <c r="O635" s="572"/>
      <c r="P635" s="572"/>
      <c r="Q635" s="572"/>
      <c r="R635" s="572"/>
      <c r="S635" s="572"/>
      <c r="T635" s="572"/>
      <c r="U635" s="572"/>
      <c r="V635" s="572"/>
      <c r="W635" s="572"/>
      <c r="X635" s="572"/>
      <c r="Y635" s="572"/>
    </row>
    <row r="636" spans="1:25" ht="12.75" customHeight="1">
      <c r="A636" s="571"/>
      <c r="B636" s="572"/>
      <c r="C636" s="572"/>
      <c r="D636" s="572"/>
      <c r="E636" s="572"/>
      <c r="F636" s="572"/>
      <c r="G636" s="572"/>
      <c r="H636" s="572"/>
      <c r="I636" s="572"/>
      <c r="J636" s="572"/>
      <c r="K636" s="572"/>
      <c r="L636" s="572"/>
      <c r="M636" s="572"/>
      <c r="N636" s="572"/>
      <c r="O636" s="572"/>
      <c r="P636" s="572"/>
      <c r="Q636" s="572"/>
      <c r="R636" s="572"/>
      <c r="S636" s="572"/>
      <c r="T636" s="572"/>
      <c r="U636" s="572"/>
      <c r="V636" s="572"/>
      <c r="W636" s="572"/>
      <c r="X636" s="572"/>
      <c r="Y636" s="572"/>
    </row>
    <row r="637" spans="1:25" ht="12.75" customHeight="1">
      <c r="A637" s="571"/>
      <c r="B637" s="572"/>
      <c r="C637" s="572"/>
      <c r="D637" s="572"/>
      <c r="E637" s="572"/>
      <c r="F637" s="572"/>
      <c r="G637" s="572"/>
      <c r="H637" s="572"/>
      <c r="I637" s="572"/>
      <c r="J637" s="572"/>
      <c r="K637" s="572"/>
      <c r="L637" s="572"/>
      <c r="M637" s="572"/>
      <c r="N637" s="572"/>
      <c r="O637" s="572"/>
      <c r="P637" s="572"/>
      <c r="Q637" s="572"/>
      <c r="R637" s="572"/>
      <c r="S637" s="572"/>
      <c r="T637" s="572"/>
      <c r="U637" s="572"/>
      <c r="V637" s="572"/>
      <c r="W637" s="572"/>
      <c r="X637" s="572"/>
      <c r="Y637" s="572"/>
    </row>
    <row r="638" spans="1:25" ht="12.75" customHeight="1">
      <c r="A638" s="571"/>
      <c r="B638" s="572"/>
      <c r="C638" s="572"/>
      <c r="D638" s="572"/>
      <c r="E638" s="572"/>
      <c r="F638" s="572"/>
      <c r="G638" s="572"/>
      <c r="H638" s="572"/>
      <c r="I638" s="572"/>
      <c r="J638" s="572"/>
      <c r="K638" s="572"/>
      <c r="L638" s="572"/>
      <c r="M638" s="572"/>
      <c r="N638" s="572"/>
      <c r="O638" s="572"/>
      <c r="P638" s="572"/>
      <c r="Q638" s="572"/>
      <c r="R638" s="572"/>
      <c r="S638" s="572"/>
      <c r="T638" s="572"/>
      <c r="U638" s="572"/>
      <c r="V638" s="572"/>
      <c r="W638" s="572"/>
      <c r="X638" s="572"/>
      <c r="Y638" s="572"/>
    </row>
    <row r="639" spans="1:25" ht="12.75" customHeight="1">
      <c r="A639" s="571"/>
      <c r="B639" s="572"/>
      <c r="C639" s="572"/>
      <c r="D639" s="572"/>
      <c r="E639" s="572"/>
      <c r="F639" s="572"/>
      <c r="G639" s="572"/>
      <c r="H639" s="572"/>
      <c r="I639" s="572"/>
      <c r="J639" s="572"/>
      <c r="K639" s="572"/>
      <c r="L639" s="572"/>
      <c r="M639" s="572"/>
      <c r="N639" s="572"/>
      <c r="O639" s="572"/>
      <c r="P639" s="572"/>
      <c r="Q639" s="572"/>
      <c r="R639" s="572"/>
      <c r="S639" s="572"/>
      <c r="T639" s="572"/>
      <c r="U639" s="572"/>
      <c r="V639" s="572"/>
      <c r="W639" s="572"/>
      <c r="X639" s="572"/>
      <c r="Y639" s="572"/>
    </row>
    <row r="640" spans="1:25" ht="12.75" customHeight="1">
      <c r="A640" s="571"/>
      <c r="B640" s="572"/>
      <c r="C640" s="572"/>
      <c r="D640" s="572"/>
      <c r="E640" s="572"/>
      <c r="F640" s="572"/>
      <c r="G640" s="572"/>
      <c r="H640" s="572"/>
      <c r="I640" s="572"/>
      <c r="J640" s="572"/>
      <c r="K640" s="572"/>
      <c r="L640" s="572"/>
      <c r="M640" s="572"/>
      <c r="N640" s="572"/>
      <c r="O640" s="572"/>
      <c r="P640" s="572"/>
      <c r="Q640" s="572"/>
      <c r="R640" s="572"/>
      <c r="S640" s="572"/>
      <c r="T640" s="572"/>
      <c r="U640" s="572"/>
      <c r="V640" s="572"/>
      <c r="W640" s="572"/>
      <c r="X640" s="572"/>
      <c r="Y640" s="572"/>
    </row>
    <row r="641" spans="1:25" ht="12.75" customHeight="1">
      <c r="A641" s="571"/>
      <c r="B641" s="572"/>
      <c r="C641" s="572"/>
      <c r="D641" s="572"/>
      <c r="E641" s="572"/>
      <c r="F641" s="572"/>
      <c r="G641" s="572"/>
      <c r="H641" s="572"/>
      <c r="I641" s="572"/>
      <c r="J641" s="572"/>
      <c r="K641" s="572"/>
      <c r="L641" s="572"/>
      <c r="M641" s="572"/>
      <c r="N641" s="572"/>
      <c r="O641" s="572"/>
      <c r="P641" s="572"/>
      <c r="Q641" s="572"/>
      <c r="R641" s="572"/>
      <c r="S641" s="572"/>
      <c r="T641" s="572"/>
      <c r="U641" s="572"/>
      <c r="V641" s="572"/>
      <c r="W641" s="572"/>
      <c r="X641" s="572"/>
      <c r="Y641" s="572"/>
    </row>
    <row r="642" spans="1:25" ht="12.75" customHeight="1">
      <c r="A642" s="571"/>
      <c r="B642" s="572"/>
      <c r="C642" s="572"/>
      <c r="D642" s="572"/>
      <c r="E642" s="572"/>
      <c r="F642" s="572"/>
      <c r="G642" s="572"/>
      <c r="H642" s="572"/>
      <c r="I642" s="572"/>
      <c r="J642" s="572"/>
      <c r="K642" s="572"/>
      <c r="L642" s="572"/>
      <c r="M642" s="572"/>
      <c r="N642" s="572"/>
      <c r="O642" s="572"/>
      <c r="P642" s="572"/>
      <c r="Q642" s="572"/>
      <c r="R642" s="572"/>
      <c r="S642" s="572"/>
      <c r="T642" s="572"/>
      <c r="U642" s="572"/>
      <c r="V642" s="572"/>
      <c r="W642" s="572"/>
      <c r="X642" s="572"/>
      <c r="Y642" s="572"/>
    </row>
    <row r="643" spans="1:25" ht="12.75" customHeight="1">
      <c r="A643" s="571"/>
      <c r="B643" s="572"/>
      <c r="C643" s="572"/>
      <c r="D643" s="572"/>
      <c r="E643" s="572"/>
      <c r="F643" s="572"/>
      <c r="G643" s="572"/>
      <c r="H643" s="572"/>
      <c r="I643" s="572"/>
      <c r="J643" s="572"/>
      <c r="K643" s="572"/>
      <c r="L643" s="572"/>
      <c r="M643" s="572"/>
      <c r="N643" s="572"/>
      <c r="O643" s="572"/>
      <c r="P643" s="572"/>
      <c r="Q643" s="572"/>
      <c r="R643" s="572"/>
      <c r="S643" s="572"/>
      <c r="T643" s="572"/>
      <c r="U643" s="572"/>
      <c r="V643" s="572"/>
      <c r="W643" s="572"/>
      <c r="X643" s="572"/>
      <c r="Y643" s="572"/>
    </row>
    <row r="644" spans="1:25" ht="12.75" customHeight="1">
      <c r="A644" s="571"/>
      <c r="B644" s="572"/>
      <c r="C644" s="572"/>
      <c r="D644" s="572"/>
      <c r="E644" s="572"/>
      <c r="F644" s="572"/>
      <c r="G644" s="572"/>
      <c r="H644" s="572"/>
      <c r="I644" s="572"/>
      <c r="J644" s="572"/>
      <c r="K644" s="572"/>
      <c r="L644" s="572"/>
      <c r="M644" s="572"/>
      <c r="N644" s="572"/>
      <c r="O644" s="572"/>
      <c r="P644" s="572"/>
      <c r="Q644" s="572"/>
      <c r="R644" s="572"/>
      <c r="S644" s="572"/>
      <c r="T644" s="572"/>
      <c r="U644" s="572"/>
      <c r="V644" s="572"/>
      <c r="W644" s="572"/>
      <c r="X644" s="572"/>
      <c r="Y644" s="572"/>
    </row>
    <row r="645" spans="1:25" ht="12.75" customHeight="1">
      <c r="A645" s="571"/>
      <c r="B645" s="572"/>
      <c r="C645" s="572"/>
      <c r="D645" s="572"/>
      <c r="E645" s="572"/>
      <c r="F645" s="572"/>
      <c r="G645" s="572"/>
      <c r="H645" s="572"/>
      <c r="I645" s="572"/>
      <c r="J645" s="572"/>
      <c r="K645" s="572"/>
      <c r="L645" s="572"/>
      <c r="M645" s="572"/>
      <c r="N645" s="572"/>
      <c r="O645" s="572"/>
      <c r="P645" s="572"/>
      <c r="Q645" s="572"/>
      <c r="R645" s="572"/>
      <c r="S645" s="572"/>
      <c r="T645" s="572"/>
      <c r="U645" s="572"/>
      <c r="V645" s="572"/>
      <c r="W645" s="572"/>
      <c r="X645" s="572"/>
      <c r="Y645" s="572"/>
    </row>
    <row r="646" spans="1:25" ht="12.75" customHeight="1">
      <c r="A646" s="571"/>
      <c r="B646" s="572"/>
      <c r="C646" s="572"/>
      <c r="D646" s="572"/>
      <c r="E646" s="572"/>
      <c r="F646" s="572"/>
      <c r="G646" s="572"/>
      <c r="H646" s="572"/>
      <c r="I646" s="572"/>
      <c r="J646" s="572"/>
      <c r="K646" s="572"/>
      <c r="L646" s="572"/>
      <c r="M646" s="572"/>
      <c r="N646" s="572"/>
      <c r="O646" s="572"/>
      <c r="P646" s="572"/>
      <c r="Q646" s="572"/>
      <c r="R646" s="572"/>
      <c r="S646" s="572"/>
      <c r="T646" s="572"/>
      <c r="U646" s="572"/>
      <c r="V646" s="572"/>
      <c r="W646" s="572"/>
      <c r="X646" s="572"/>
      <c r="Y646" s="572"/>
    </row>
    <row r="647" spans="1:25" ht="12.75" customHeight="1">
      <c r="A647" s="571"/>
      <c r="B647" s="572"/>
      <c r="C647" s="572"/>
      <c r="D647" s="572"/>
      <c r="E647" s="572"/>
      <c r="F647" s="572"/>
      <c r="G647" s="572"/>
      <c r="H647" s="572"/>
      <c r="I647" s="572"/>
      <c r="J647" s="572"/>
      <c r="K647" s="572"/>
      <c r="L647" s="572"/>
      <c r="M647" s="572"/>
      <c r="N647" s="572"/>
      <c r="O647" s="572"/>
      <c r="P647" s="572"/>
      <c r="Q647" s="572"/>
      <c r="R647" s="572"/>
      <c r="S647" s="572"/>
      <c r="T647" s="572"/>
      <c r="U647" s="572"/>
      <c r="V647" s="572"/>
      <c r="W647" s="572"/>
      <c r="X647" s="572"/>
      <c r="Y647" s="572"/>
    </row>
    <row r="648" spans="1:25" ht="12.75" customHeight="1">
      <c r="A648" s="571"/>
      <c r="B648" s="572"/>
      <c r="C648" s="572"/>
      <c r="D648" s="572"/>
      <c r="E648" s="572"/>
      <c r="F648" s="572"/>
      <c r="G648" s="572"/>
      <c r="H648" s="572"/>
      <c r="I648" s="572"/>
      <c r="J648" s="572"/>
      <c r="K648" s="572"/>
      <c r="L648" s="572"/>
      <c r="M648" s="572"/>
      <c r="N648" s="572"/>
      <c r="O648" s="572"/>
      <c r="P648" s="572"/>
      <c r="Q648" s="572"/>
      <c r="R648" s="572"/>
      <c r="S648" s="572"/>
      <c r="T648" s="572"/>
      <c r="U648" s="572"/>
      <c r="V648" s="572"/>
      <c r="W648" s="572"/>
      <c r="X648" s="572"/>
      <c r="Y648" s="572"/>
    </row>
    <row r="649" spans="1:25" ht="12.75" customHeight="1">
      <c r="A649" s="571"/>
      <c r="B649" s="572"/>
      <c r="C649" s="572"/>
      <c r="D649" s="572"/>
      <c r="E649" s="572"/>
      <c r="F649" s="572"/>
      <c r="G649" s="572"/>
      <c r="H649" s="572"/>
      <c r="I649" s="572"/>
      <c r="J649" s="572"/>
      <c r="K649" s="572"/>
      <c r="L649" s="572"/>
      <c r="M649" s="572"/>
      <c r="N649" s="572"/>
      <c r="O649" s="572"/>
      <c r="P649" s="572"/>
      <c r="Q649" s="572"/>
      <c r="R649" s="572"/>
      <c r="S649" s="572"/>
      <c r="T649" s="572"/>
      <c r="U649" s="572"/>
      <c r="V649" s="572"/>
      <c r="W649" s="572"/>
      <c r="X649" s="572"/>
      <c r="Y649" s="572"/>
    </row>
    <row r="650" spans="1:25" ht="12.75" customHeight="1">
      <c r="A650" s="571"/>
      <c r="B650" s="572"/>
      <c r="C650" s="572"/>
      <c r="D650" s="572"/>
      <c r="E650" s="572"/>
      <c r="F650" s="572"/>
      <c r="G650" s="572"/>
      <c r="H650" s="572"/>
      <c r="I650" s="572"/>
      <c r="J650" s="572"/>
      <c r="K650" s="572"/>
      <c r="L650" s="572"/>
      <c r="M650" s="572"/>
      <c r="N650" s="572"/>
      <c r="O650" s="572"/>
      <c r="P650" s="572"/>
      <c r="Q650" s="572"/>
      <c r="R650" s="572"/>
      <c r="S650" s="572"/>
      <c r="T650" s="572"/>
      <c r="U650" s="572"/>
      <c r="V650" s="572"/>
      <c r="W650" s="572"/>
      <c r="X650" s="572"/>
      <c r="Y650" s="572"/>
    </row>
    <row r="651" spans="1:25" ht="12.75" customHeight="1">
      <c r="A651" s="571"/>
      <c r="B651" s="572"/>
      <c r="C651" s="572"/>
      <c r="D651" s="572"/>
      <c r="E651" s="572"/>
      <c r="F651" s="572"/>
      <c r="G651" s="572"/>
      <c r="H651" s="572"/>
      <c r="I651" s="572"/>
      <c r="J651" s="572"/>
      <c r="K651" s="572"/>
      <c r="L651" s="572"/>
      <c r="M651" s="572"/>
      <c r="N651" s="572"/>
      <c r="O651" s="572"/>
      <c r="P651" s="572"/>
      <c r="Q651" s="572"/>
      <c r="R651" s="572"/>
      <c r="S651" s="572"/>
      <c r="T651" s="572"/>
      <c r="U651" s="572"/>
      <c r="V651" s="572"/>
      <c r="W651" s="572"/>
      <c r="X651" s="572"/>
      <c r="Y651" s="572"/>
    </row>
    <row r="652" spans="1:25" ht="12.75" customHeight="1">
      <c r="A652" s="571"/>
      <c r="B652" s="572"/>
      <c r="C652" s="572"/>
      <c r="D652" s="572"/>
      <c r="E652" s="572"/>
      <c r="F652" s="572"/>
      <c r="G652" s="572"/>
      <c r="H652" s="572"/>
      <c r="I652" s="572"/>
      <c r="J652" s="572"/>
      <c r="K652" s="572"/>
      <c r="L652" s="572"/>
      <c r="M652" s="572"/>
      <c r="N652" s="572"/>
      <c r="O652" s="572"/>
      <c r="P652" s="572"/>
      <c r="Q652" s="572"/>
      <c r="R652" s="572"/>
      <c r="S652" s="572"/>
      <c r="T652" s="572"/>
      <c r="U652" s="572"/>
      <c r="V652" s="572"/>
      <c r="W652" s="572"/>
      <c r="X652" s="572"/>
      <c r="Y652" s="572"/>
    </row>
    <row r="653" spans="1:25" ht="12.75" customHeight="1">
      <c r="A653" s="571"/>
      <c r="B653" s="572"/>
      <c r="C653" s="572"/>
      <c r="D653" s="572"/>
      <c r="E653" s="572"/>
      <c r="F653" s="572"/>
      <c r="G653" s="572"/>
      <c r="H653" s="572"/>
      <c r="I653" s="572"/>
      <c r="J653" s="572"/>
      <c r="K653" s="572"/>
      <c r="L653" s="572"/>
      <c r="M653" s="572"/>
      <c r="N653" s="572"/>
      <c r="O653" s="572"/>
      <c r="P653" s="572"/>
      <c r="Q653" s="572"/>
      <c r="R653" s="572"/>
      <c r="S653" s="572"/>
      <c r="T653" s="572"/>
      <c r="U653" s="572"/>
      <c r="V653" s="572"/>
      <c r="W653" s="572"/>
      <c r="X653" s="572"/>
      <c r="Y653" s="572"/>
    </row>
    <row r="654" spans="1:25" ht="12.75" customHeight="1">
      <c r="A654" s="571"/>
      <c r="B654" s="572"/>
      <c r="C654" s="572"/>
      <c r="D654" s="572"/>
      <c r="E654" s="572"/>
      <c r="F654" s="572"/>
      <c r="G654" s="572"/>
      <c r="H654" s="572"/>
      <c r="I654" s="572"/>
      <c r="J654" s="572"/>
      <c r="K654" s="572"/>
      <c r="L654" s="572"/>
      <c r="M654" s="572"/>
      <c r="N654" s="572"/>
      <c r="O654" s="572"/>
      <c r="P654" s="572"/>
      <c r="Q654" s="572"/>
      <c r="R654" s="572"/>
      <c r="S654" s="572"/>
      <c r="T654" s="572"/>
      <c r="U654" s="572"/>
      <c r="V654" s="572"/>
      <c r="W654" s="572"/>
      <c r="X654" s="572"/>
      <c r="Y654" s="572"/>
    </row>
    <row r="655" spans="1:25" ht="12.75" customHeight="1">
      <c r="A655" s="571"/>
      <c r="B655" s="572"/>
      <c r="C655" s="572"/>
      <c r="D655" s="572"/>
      <c r="E655" s="572"/>
      <c r="F655" s="572"/>
      <c r="G655" s="572"/>
      <c r="H655" s="572"/>
      <c r="I655" s="572"/>
      <c r="J655" s="572"/>
      <c r="K655" s="572"/>
      <c r="L655" s="572"/>
      <c r="M655" s="572"/>
      <c r="N655" s="572"/>
      <c r="O655" s="572"/>
      <c r="P655" s="572"/>
      <c r="Q655" s="572"/>
      <c r="R655" s="572"/>
      <c r="S655" s="572"/>
      <c r="T655" s="572"/>
      <c r="U655" s="572"/>
      <c r="V655" s="572"/>
      <c r="W655" s="572"/>
      <c r="X655" s="572"/>
      <c r="Y655" s="572"/>
    </row>
    <row r="656" spans="1:25" ht="12.75" customHeight="1">
      <c r="A656" s="571"/>
      <c r="B656" s="572"/>
      <c r="C656" s="572"/>
      <c r="D656" s="572"/>
      <c r="E656" s="572"/>
      <c r="F656" s="572"/>
      <c r="G656" s="572"/>
      <c r="H656" s="572"/>
      <c r="I656" s="572"/>
      <c r="J656" s="572"/>
      <c r="K656" s="572"/>
      <c r="L656" s="572"/>
      <c r="M656" s="572"/>
      <c r="N656" s="572"/>
      <c r="O656" s="572"/>
      <c r="P656" s="572"/>
      <c r="Q656" s="572"/>
      <c r="R656" s="572"/>
      <c r="S656" s="572"/>
      <c r="T656" s="572"/>
      <c r="U656" s="572"/>
      <c r="V656" s="572"/>
      <c r="W656" s="572"/>
      <c r="X656" s="572"/>
      <c r="Y656" s="572"/>
    </row>
    <row r="657" spans="1:25" ht="12.75" customHeight="1">
      <c r="A657" s="571"/>
      <c r="B657" s="572"/>
      <c r="C657" s="572"/>
      <c r="D657" s="572"/>
      <c r="E657" s="572"/>
      <c r="F657" s="572"/>
      <c r="G657" s="572"/>
      <c r="H657" s="572"/>
      <c r="I657" s="572"/>
      <c r="J657" s="572"/>
      <c r="K657" s="572"/>
      <c r="L657" s="572"/>
      <c r="M657" s="572"/>
      <c r="N657" s="572"/>
      <c r="O657" s="572"/>
      <c r="P657" s="572"/>
      <c r="Q657" s="572"/>
      <c r="R657" s="572"/>
      <c r="S657" s="572"/>
      <c r="T657" s="572"/>
      <c r="U657" s="572"/>
      <c r="V657" s="572"/>
      <c r="W657" s="572"/>
      <c r="X657" s="572"/>
      <c r="Y657" s="572"/>
    </row>
    <row r="658" spans="1:25" ht="12.75" customHeight="1">
      <c r="A658" s="571"/>
      <c r="B658" s="572"/>
      <c r="C658" s="572"/>
      <c r="D658" s="572"/>
      <c r="E658" s="572"/>
      <c r="F658" s="572"/>
      <c r="G658" s="572"/>
      <c r="H658" s="572"/>
      <c r="I658" s="572"/>
      <c r="J658" s="572"/>
      <c r="K658" s="572"/>
      <c r="L658" s="572"/>
      <c r="M658" s="572"/>
      <c r="N658" s="572"/>
      <c r="O658" s="572"/>
      <c r="P658" s="572"/>
      <c r="Q658" s="572"/>
      <c r="R658" s="572"/>
      <c r="S658" s="572"/>
      <c r="T658" s="572"/>
      <c r="U658" s="572"/>
      <c r="V658" s="572"/>
      <c r="W658" s="572"/>
      <c r="X658" s="572"/>
      <c r="Y658" s="572"/>
    </row>
    <row r="659" spans="1:25" ht="12.75" customHeight="1">
      <c r="A659" s="571"/>
      <c r="B659" s="572"/>
      <c r="C659" s="572"/>
      <c r="D659" s="572"/>
      <c r="E659" s="572"/>
      <c r="F659" s="572"/>
      <c r="G659" s="572"/>
      <c r="H659" s="572"/>
      <c r="I659" s="572"/>
      <c r="J659" s="572"/>
      <c r="K659" s="572"/>
      <c r="L659" s="572"/>
      <c r="M659" s="572"/>
      <c r="N659" s="572"/>
      <c r="O659" s="572"/>
      <c r="P659" s="572"/>
      <c r="Q659" s="572"/>
      <c r="R659" s="572"/>
      <c r="S659" s="572"/>
      <c r="T659" s="572"/>
      <c r="U659" s="572"/>
      <c r="V659" s="572"/>
      <c r="W659" s="572"/>
      <c r="X659" s="572"/>
      <c r="Y659" s="572"/>
    </row>
    <row r="660" spans="1:25" ht="12.75" customHeight="1">
      <c r="A660" s="571"/>
      <c r="B660" s="572"/>
      <c r="C660" s="572"/>
      <c r="D660" s="572"/>
      <c r="E660" s="572"/>
      <c r="F660" s="572"/>
      <c r="G660" s="572"/>
      <c r="H660" s="572"/>
      <c r="I660" s="572"/>
      <c r="J660" s="572"/>
      <c r="K660" s="572"/>
      <c r="L660" s="572"/>
      <c r="M660" s="572"/>
      <c r="N660" s="572"/>
      <c r="O660" s="572"/>
      <c r="P660" s="572"/>
      <c r="Q660" s="572"/>
      <c r="R660" s="572"/>
      <c r="S660" s="572"/>
      <c r="T660" s="572"/>
      <c r="U660" s="572"/>
      <c r="V660" s="572"/>
      <c r="W660" s="572"/>
      <c r="X660" s="572"/>
      <c r="Y660" s="572"/>
    </row>
    <row r="661" spans="1:25" ht="12.75" customHeight="1">
      <c r="A661" s="571"/>
      <c r="B661" s="572"/>
      <c r="C661" s="572"/>
      <c r="D661" s="572"/>
      <c r="E661" s="572"/>
      <c r="F661" s="572"/>
      <c r="G661" s="572"/>
      <c r="H661" s="572"/>
      <c r="I661" s="572"/>
      <c r="J661" s="572"/>
      <c r="K661" s="572"/>
      <c r="L661" s="572"/>
      <c r="M661" s="572"/>
      <c r="N661" s="572"/>
      <c r="O661" s="572"/>
      <c r="P661" s="572"/>
      <c r="Q661" s="572"/>
      <c r="R661" s="572"/>
      <c r="S661" s="572"/>
      <c r="T661" s="572"/>
      <c r="U661" s="572"/>
      <c r="V661" s="572"/>
      <c r="W661" s="572"/>
      <c r="X661" s="572"/>
      <c r="Y661" s="572"/>
    </row>
    <row r="662" spans="1:25" ht="12.75" customHeight="1">
      <c r="A662" s="571"/>
      <c r="B662" s="572"/>
      <c r="C662" s="572"/>
      <c r="D662" s="572"/>
      <c r="E662" s="572"/>
      <c r="F662" s="572"/>
      <c r="G662" s="572"/>
      <c r="H662" s="572"/>
      <c r="I662" s="572"/>
      <c r="J662" s="572"/>
      <c r="K662" s="572"/>
      <c r="L662" s="572"/>
      <c r="M662" s="572"/>
      <c r="N662" s="572"/>
      <c r="O662" s="572"/>
      <c r="P662" s="572"/>
      <c r="Q662" s="572"/>
      <c r="R662" s="572"/>
      <c r="S662" s="572"/>
      <c r="T662" s="572"/>
      <c r="U662" s="572"/>
      <c r="V662" s="572"/>
      <c r="W662" s="572"/>
      <c r="X662" s="572"/>
      <c r="Y662" s="572"/>
    </row>
    <row r="663" spans="1:25" ht="12.75" customHeight="1">
      <c r="A663" s="571"/>
      <c r="B663" s="572"/>
      <c r="C663" s="572"/>
      <c r="D663" s="572"/>
      <c r="E663" s="572"/>
      <c r="F663" s="572"/>
      <c r="G663" s="572"/>
      <c r="H663" s="572"/>
      <c r="I663" s="572"/>
      <c r="J663" s="572"/>
      <c r="K663" s="572"/>
      <c r="L663" s="572"/>
      <c r="M663" s="572"/>
      <c r="N663" s="572"/>
      <c r="O663" s="572"/>
      <c r="P663" s="572"/>
      <c r="Q663" s="572"/>
      <c r="R663" s="572"/>
      <c r="S663" s="572"/>
      <c r="T663" s="572"/>
      <c r="U663" s="572"/>
      <c r="V663" s="572"/>
      <c r="W663" s="572"/>
      <c r="X663" s="572"/>
      <c r="Y663" s="572"/>
    </row>
    <row r="664" spans="1:25" ht="12.75" customHeight="1">
      <c r="A664" s="571"/>
      <c r="B664" s="572"/>
      <c r="C664" s="572"/>
      <c r="D664" s="572"/>
      <c r="E664" s="572"/>
      <c r="F664" s="572"/>
      <c r="G664" s="572"/>
      <c r="H664" s="572"/>
      <c r="I664" s="572"/>
      <c r="J664" s="572"/>
      <c r="K664" s="572"/>
      <c r="L664" s="572"/>
      <c r="M664" s="572"/>
      <c r="N664" s="572"/>
      <c r="O664" s="572"/>
      <c r="P664" s="572"/>
      <c r="Q664" s="572"/>
      <c r="R664" s="572"/>
      <c r="S664" s="572"/>
      <c r="T664" s="572"/>
      <c r="U664" s="572"/>
      <c r="V664" s="572"/>
      <c r="W664" s="572"/>
      <c r="X664" s="572"/>
      <c r="Y664" s="572"/>
    </row>
    <row r="665" spans="1:25" ht="12.75" customHeight="1">
      <c r="A665" s="571"/>
      <c r="B665" s="572"/>
      <c r="C665" s="572"/>
      <c r="D665" s="572"/>
      <c r="E665" s="572"/>
      <c r="F665" s="572"/>
      <c r="G665" s="572"/>
      <c r="H665" s="572"/>
      <c r="I665" s="572"/>
      <c r="J665" s="572"/>
      <c r="K665" s="572"/>
      <c r="L665" s="572"/>
      <c r="M665" s="572"/>
      <c r="N665" s="572"/>
      <c r="O665" s="572"/>
      <c r="P665" s="572"/>
      <c r="Q665" s="572"/>
      <c r="R665" s="572"/>
      <c r="S665" s="572"/>
      <c r="T665" s="572"/>
      <c r="U665" s="572"/>
      <c r="V665" s="572"/>
      <c r="W665" s="572"/>
      <c r="X665" s="572"/>
      <c r="Y665" s="572"/>
    </row>
    <row r="666" spans="1:25" ht="12.75" customHeight="1">
      <c r="A666" s="571"/>
      <c r="B666" s="572"/>
      <c r="C666" s="572"/>
      <c r="D666" s="572"/>
      <c r="E666" s="572"/>
      <c r="F666" s="572"/>
      <c r="G666" s="572"/>
      <c r="H666" s="572"/>
      <c r="I666" s="572"/>
      <c r="J666" s="572"/>
      <c r="K666" s="572"/>
      <c r="L666" s="572"/>
      <c r="M666" s="572"/>
      <c r="N666" s="572"/>
      <c r="O666" s="572"/>
      <c r="P666" s="572"/>
      <c r="Q666" s="572"/>
      <c r="R666" s="572"/>
      <c r="S666" s="572"/>
      <c r="T666" s="572"/>
      <c r="U666" s="572"/>
      <c r="V666" s="572"/>
      <c r="W666" s="572"/>
      <c r="X666" s="572"/>
      <c r="Y666" s="572"/>
    </row>
    <row r="667" spans="1:25" ht="12.75" customHeight="1">
      <c r="A667" s="571"/>
      <c r="B667" s="572"/>
      <c r="C667" s="572"/>
      <c r="D667" s="572"/>
      <c r="E667" s="572"/>
      <c r="F667" s="572"/>
      <c r="G667" s="572"/>
      <c r="H667" s="572"/>
      <c r="I667" s="572"/>
      <c r="J667" s="572"/>
      <c r="K667" s="572"/>
      <c r="L667" s="572"/>
      <c r="M667" s="572"/>
      <c r="N667" s="572"/>
      <c r="O667" s="572"/>
      <c r="P667" s="572"/>
      <c r="Q667" s="572"/>
      <c r="R667" s="572"/>
      <c r="S667" s="572"/>
      <c r="T667" s="572"/>
      <c r="U667" s="572"/>
      <c r="V667" s="572"/>
      <c r="W667" s="572"/>
      <c r="X667" s="572"/>
      <c r="Y667" s="572"/>
    </row>
    <row r="668" spans="1:25" ht="12.75" customHeight="1">
      <c r="A668" s="571"/>
      <c r="B668" s="572"/>
      <c r="C668" s="572"/>
      <c r="D668" s="572"/>
      <c r="E668" s="572"/>
      <c r="F668" s="572"/>
      <c r="G668" s="572"/>
      <c r="H668" s="572"/>
      <c r="I668" s="572"/>
      <c r="J668" s="572"/>
      <c r="K668" s="572"/>
      <c r="L668" s="572"/>
      <c r="M668" s="572"/>
      <c r="N668" s="572"/>
      <c r="O668" s="572"/>
      <c r="P668" s="572"/>
      <c r="Q668" s="572"/>
      <c r="R668" s="572"/>
      <c r="S668" s="572"/>
      <c r="T668" s="572"/>
      <c r="U668" s="572"/>
      <c r="V668" s="572"/>
      <c r="W668" s="572"/>
      <c r="X668" s="572"/>
      <c r="Y668" s="572"/>
    </row>
    <row r="669" spans="1:25" ht="12.75" customHeight="1">
      <c r="A669" s="571"/>
      <c r="B669" s="572"/>
      <c r="C669" s="572"/>
      <c r="D669" s="572"/>
      <c r="E669" s="572"/>
      <c r="F669" s="572"/>
      <c r="G669" s="572"/>
      <c r="H669" s="572"/>
      <c r="I669" s="572"/>
      <c r="J669" s="572"/>
      <c r="K669" s="572"/>
      <c r="L669" s="572"/>
      <c r="M669" s="572"/>
      <c r="N669" s="572"/>
      <c r="O669" s="572"/>
      <c r="P669" s="572"/>
      <c r="Q669" s="572"/>
      <c r="R669" s="572"/>
      <c r="S669" s="572"/>
      <c r="T669" s="572"/>
      <c r="U669" s="572"/>
      <c r="V669" s="572"/>
      <c r="W669" s="572"/>
      <c r="X669" s="572"/>
      <c r="Y669" s="572"/>
    </row>
    <row r="670" spans="1:25" ht="12.75" customHeight="1">
      <c r="A670" s="571"/>
      <c r="B670" s="572"/>
      <c r="C670" s="572"/>
      <c r="D670" s="572"/>
      <c r="E670" s="572"/>
      <c r="F670" s="572"/>
      <c r="G670" s="572"/>
      <c r="H670" s="572"/>
      <c r="I670" s="572"/>
      <c r="J670" s="572"/>
      <c r="K670" s="572"/>
      <c r="L670" s="572"/>
      <c r="M670" s="572"/>
      <c r="N670" s="572"/>
      <c r="O670" s="572"/>
      <c r="P670" s="572"/>
      <c r="Q670" s="572"/>
      <c r="R670" s="572"/>
      <c r="S670" s="572"/>
      <c r="T670" s="572"/>
      <c r="U670" s="572"/>
      <c r="V670" s="572"/>
      <c r="W670" s="572"/>
      <c r="X670" s="572"/>
      <c r="Y670" s="572"/>
    </row>
    <row r="671" spans="1:25" ht="12.75" customHeight="1">
      <c r="A671" s="571"/>
      <c r="B671" s="572"/>
      <c r="C671" s="572"/>
      <c r="D671" s="572"/>
      <c r="E671" s="572"/>
      <c r="F671" s="572"/>
      <c r="G671" s="572"/>
      <c r="H671" s="572"/>
      <c r="I671" s="572"/>
      <c r="J671" s="572"/>
      <c r="K671" s="572"/>
      <c r="L671" s="572"/>
      <c r="M671" s="572"/>
      <c r="N671" s="572"/>
      <c r="O671" s="572"/>
      <c r="P671" s="572"/>
      <c r="Q671" s="572"/>
      <c r="R671" s="572"/>
      <c r="S671" s="572"/>
      <c r="T671" s="572"/>
      <c r="U671" s="572"/>
      <c r="V671" s="572"/>
      <c r="W671" s="572"/>
      <c r="X671" s="572"/>
      <c r="Y671" s="572"/>
    </row>
    <row r="672" spans="1:25" ht="12.75" customHeight="1">
      <c r="A672" s="571"/>
      <c r="B672" s="572"/>
      <c r="C672" s="572"/>
      <c r="D672" s="572"/>
      <c r="E672" s="572"/>
      <c r="F672" s="572"/>
      <c r="G672" s="572"/>
      <c r="H672" s="572"/>
      <c r="I672" s="572"/>
      <c r="J672" s="572"/>
      <c r="K672" s="572"/>
      <c r="L672" s="572"/>
      <c r="M672" s="572"/>
      <c r="N672" s="572"/>
      <c r="O672" s="572"/>
      <c r="P672" s="572"/>
      <c r="Q672" s="572"/>
      <c r="R672" s="572"/>
      <c r="S672" s="572"/>
      <c r="T672" s="572"/>
      <c r="U672" s="572"/>
      <c r="V672" s="572"/>
      <c r="W672" s="572"/>
      <c r="X672" s="572"/>
      <c r="Y672" s="572"/>
    </row>
    <row r="673" spans="1:25" ht="12.75" customHeight="1">
      <c r="A673" s="571"/>
      <c r="B673" s="572"/>
      <c r="C673" s="572"/>
      <c r="D673" s="572"/>
      <c r="E673" s="572"/>
      <c r="F673" s="572"/>
      <c r="G673" s="572"/>
      <c r="H673" s="572"/>
      <c r="I673" s="572"/>
      <c r="J673" s="572"/>
      <c r="K673" s="572"/>
      <c r="L673" s="572"/>
      <c r="M673" s="572"/>
      <c r="N673" s="572"/>
      <c r="O673" s="572"/>
      <c r="P673" s="572"/>
      <c r="Q673" s="572"/>
      <c r="R673" s="572"/>
      <c r="S673" s="572"/>
      <c r="T673" s="572"/>
      <c r="U673" s="572"/>
      <c r="V673" s="572"/>
      <c r="W673" s="572"/>
      <c r="X673" s="572"/>
      <c r="Y673" s="572"/>
    </row>
    <row r="674" spans="1:25" ht="12.75" customHeight="1">
      <c r="A674" s="571"/>
      <c r="B674" s="572"/>
      <c r="C674" s="572"/>
      <c r="D674" s="572"/>
      <c r="E674" s="572"/>
      <c r="F674" s="572"/>
      <c r="G674" s="572"/>
      <c r="H674" s="572"/>
      <c r="I674" s="572"/>
      <c r="J674" s="572"/>
      <c r="K674" s="572"/>
      <c r="L674" s="572"/>
      <c r="M674" s="572"/>
      <c r="N674" s="572"/>
      <c r="O674" s="572"/>
      <c r="P674" s="572"/>
      <c r="Q674" s="572"/>
      <c r="R674" s="572"/>
      <c r="S674" s="572"/>
      <c r="T674" s="572"/>
      <c r="U674" s="572"/>
      <c r="V674" s="572"/>
      <c r="W674" s="572"/>
      <c r="X674" s="572"/>
      <c r="Y674" s="572"/>
    </row>
    <row r="675" spans="1:25" ht="12.75" customHeight="1">
      <c r="A675" s="571"/>
      <c r="B675" s="572"/>
      <c r="C675" s="572"/>
      <c r="D675" s="572"/>
      <c r="E675" s="572"/>
      <c r="F675" s="572"/>
      <c r="G675" s="572"/>
      <c r="H675" s="572"/>
      <c r="I675" s="572"/>
      <c r="J675" s="572"/>
      <c r="K675" s="572"/>
      <c r="L675" s="572"/>
      <c r="M675" s="572"/>
      <c r="N675" s="572"/>
      <c r="O675" s="572"/>
      <c r="P675" s="572"/>
      <c r="Q675" s="572"/>
      <c r="R675" s="572"/>
      <c r="S675" s="572"/>
      <c r="T675" s="572"/>
      <c r="U675" s="572"/>
      <c r="V675" s="572"/>
      <c r="W675" s="572"/>
      <c r="X675" s="572"/>
      <c r="Y675" s="572"/>
    </row>
    <row r="676" spans="1:25" ht="12.75" customHeight="1">
      <c r="A676" s="571"/>
      <c r="B676" s="572"/>
      <c r="C676" s="572"/>
      <c r="D676" s="572"/>
      <c r="E676" s="572"/>
      <c r="F676" s="572"/>
      <c r="G676" s="572"/>
      <c r="H676" s="572"/>
      <c r="I676" s="572"/>
      <c r="J676" s="572"/>
      <c r="K676" s="572"/>
      <c r="L676" s="572"/>
      <c r="M676" s="572"/>
      <c r="N676" s="572"/>
      <c r="O676" s="572"/>
      <c r="P676" s="572"/>
      <c r="Q676" s="572"/>
      <c r="R676" s="572"/>
      <c r="S676" s="572"/>
      <c r="T676" s="572"/>
      <c r="U676" s="572"/>
      <c r="V676" s="572"/>
      <c r="W676" s="572"/>
      <c r="X676" s="572"/>
      <c r="Y676" s="572"/>
    </row>
    <row r="677" spans="1:25" ht="12.75" customHeight="1">
      <c r="A677" s="571"/>
      <c r="B677" s="572"/>
      <c r="C677" s="572"/>
      <c r="D677" s="572"/>
      <c r="E677" s="572"/>
      <c r="F677" s="572"/>
      <c r="G677" s="572"/>
      <c r="H677" s="572"/>
      <c r="I677" s="572"/>
      <c r="J677" s="572"/>
      <c r="K677" s="572"/>
      <c r="L677" s="572"/>
      <c r="M677" s="572"/>
      <c r="N677" s="572"/>
      <c r="O677" s="572"/>
      <c r="P677" s="572"/>
      <c r="Q677" s="572"/>
      <c r="R677" s="572"/>
      <c r="S677" s="572"/>
      <c r="T677" s="572"/>
      <c r="U677" s="572"/>
      <c r="V677" s="572"/>
      <c r="W677" s="572"/>
      <c r="X677" s="572"/>
      <c r="Y677" s="572"/>
    </row>
    <row r="678" spans="1:25" ht="12.75" customHeight="1">
      <c r="A678" s="571"/>
      <c r="B678" s="572"/>
      <c r="C678" s="572"/>
      <c r="D678" s="572"/>
      <c r="E678" s="572"/>
      <c r="F678" s="572"/>
      <c r="G678" s="572"/>
      <c r="H678" s="572"/>
      <c r="I678" s="572"/>
      <c r="J678" s="572"/>
      <c r="K678" s="572"/>
      <c r="L678" s="572"/>
      <c r="M678" s="572"/>
      <c r="N678" s="572"/>
      <c r="O678" s="572"/>
      <c r="P678" s="572"/>
      <c r="Q678" s="572"/>
      <c r="R678" s="572"/>
      <c r="S678" s="572"/>
      <c r="T678" s="572"/>
      <c r="U678" s="572"/>
      <c r="V678" s="572"/>
      <c r="W678" s="572"/>
      <c r="X678" s="572"/>
      <c r="Y678" s="572"/>
    </row>
    <row r="679" spans="1:25" ht="12.75" customHeight="1">
      <c r="A679" s="571"/>
      <c r="B679" s="572"/>
      <c r="C679" s="572"/>
      <c r="D679" s="572"/>
      <c r="E679" s="572"/>
      <c r="F679" s="572"/>
      <c r="G679" s="572"/>
      <c r="H679" s="572"/>
      <c r="I679" s="572"/>
      <c r="J679" s="572"/>
      <c r="K679" s="572"/>
      <c r="L679" s="572"/>
      <c r="M679" s="572"/>
      <c r="N679" s="572"/>
      <c r="O679" s="572"/>
      <c r="P679" s="572"/>
      <c r="Q679" s="572"/>
      <c r="R679" s="572"/>
      <c r="S679" s="572"/>
      <c r="T679" s="572"/>
      <c r="U679" s="572"/>
      <c r="V679" s="572"/>
      <c r="W679" s="572"/>
      <c r="X679" s="572"/>
      <c r="Y679" s="572"/>
    </row>
    <row r="680" spans="1:25" ht="12.75" customHeight="1">
      <c r="A680" s="571"/>
      <c r="B680" s="572"/>
      <c r="C680" s="572"/>
      <c r="D680" s="572"/>
      <c r="E680" s="572"/>
      <c r="F680" s="572"/>
      <c r="G680" s="572"/>
      <c r="H680" s="572"/>
      <c r="I680" s="572"/>
      <c r="J680" s="572"/>
      <c r="K680" s="572"/>
      <c r="L680" s="572"/>
      <c r="M680" s="572"/>
      <c r="N680" s="572"/>
      <c r="O680" s="572"/>
      <c r="P680" s="572"/>
      <c r="Q680" s="572"/>
      <c r="R680" s="572"/>
      <c r="S680" s="572"/>
      <c r="T680" s="572"/>
      <c r="U680" s="572"/>
      <c r="V680" s="572"/>
      <c r="W680" s="572"/>
      <c r="X680" s="572"/>
      <c r="Y680" s="572"/>
    </row>
    <row r="681" spans="1:25" ht="12.75" customHeight="1">
      <c r="A681" s="571"/>
      <c r="B681" s="572"/>
      <c r="C681" s="572"/>
      <c r="D681" s="572"/>
      <c r="E681" s="572"/>
      <c r="F681" s="572"/>
      <c r="G681" s="572"/>
      <c r="H681" s="572"/>
      <c r="I681" s="572"/>
      <c r="J681" s="572"/>
      <c r="K681" s="572"/>
      <c r="L681" s="572"/>
      <c r="M681" s="572"/>
      <c r="N681" s="572"/>
      <c r="O681" s="572"/>
      <c r="P681" s="572"/>
      <c r="Q681" s="572"/>
      <c r="R681" s="572"/>
      <c r="S681" s="572"/>
      <c r="T681" s="572"/>
      <c r="U681" s="572"/>
      <c r="V681" s="572"/>
      <c r="W681" s="572"/>
      <c r="X681" s="572"/>
      <c r="Y681" s="572"/>
    </row>
    <row r="682" spans="1:25" ht="12.75" customHeight="1">
      <c r="A682" s="571"/>
      <c r="B682" s="572"/>
      <c r="C682" s="572"/>
      <c r="D682" s="572"/>
      <c r="E682" s="572"/>
      <c r="F682" s="572"/>
      <c r="G682" s="572"/>
      <c r="H682" s="572"/>
      <c r="I682" s="572"/>
      <c r="J682" s="572"/>
      <c r="K682" s="572"/>
      <c r="L682" s="572"/>
      <c r="M682" s="572"/>
      <c r="N682" s="572"/>
      <c r="O682" s="572"/>
      <c r="P682" s="572"/>
      <c r="Q682" s="572"/>
      <c r="R682" s="572"/>
      <c r="S682" s="572"/>
      <c r="T682" s="572"/>
      <c r="U682" s="572"/>
      <c r="V682" s="572"/>
      <c r="W682" s="572"/>
      <c r="X682" s="572"/>
      <c r="Y682" s="572"/>
    </row>
    <row r="683" spans="1:25" ht="12.75" customHeight="1">
      <c r="A683" s="571"/>
      <c r="B683" s="572"/>
      <c r="C683" s="572"/>
      <c r="D683" s="572"/>
      <c r="E683" s="572"/>
      <c r="F683" s="572"/>
      <c r="G683" s="572"/>
      <c r="H683" s="572"/>
      <c r="I683" s="572"/>
      <c r="J683" s="572"/>
      <c r="K683" s="572"/>
      <c r="L683" s="572"/>
      <c r="M683" s="572"/>
      <c r="N683" s="572"/>
      <c r="O683" s="572"/>
      <c r="P683" s="572"/>
      <c r="Q683" s="572"/>
      <c r="R683" s="572"/>
      <c r="S683" s="572"/>
      <c r="T683" s="572"/>
      <c r="U683" s="572"/>
      <c r="V683" s="572"/>
      <c r="W683" s="572"/>
      <c r="X683" s="572"/>
      <c r="Y683" s="572"/>
    </row>
    <row r="684" spans="1:25" ht="12.75" customHeight="1">
      <c r="A684" s="571"/>
      <c r="B684" s="572"/>
      <c r="C684" s="572"/>
      <c r="D684" s="572"/>
      <c r="E684" s="572"/>
      <c r="F684" s="572"/>
      <c r="G684" s="572"/>
      <c r="H684" s="572"/>
      <c r="I684" s="572"/>
      <c r="J684" s="572"/>
      <c r="K684" s="572"/>
      <c r="L684" s="572"/>
      <c r="M684" s="572"/>
      <c r="N684" s="572"/>
      <c r="O684" s="572"/>
      <c r="P684" s="572"/>
      <c r="Q684" s="572"/>
      <c r="R684" s="572"/>
      <c r="S684" s="572"/>
      <c r="T684" s="572"/>
      <c r="U684" s="572"/>
      <c r="V684" s="572"/>
      <c r="W684" s="572"/>
      <c r="X684" s="572"/>
      <c r="Y684" s="572"/>
    </row>
    <row r="685" spans="1:25" ht="12.75" customHeight="1">
      <c r="A685" s="571"/>
      <c r="B685" s="572"/>
      <c r="C685" s="572"/>
      <c r="D685" s="572"/>
      <c r="E685" s="572"/>
      <c r="F685" s="572"/>
      <c r="G685" s="572"/>
      <c r="H685" s="572"/>
      <c r="I685" s="572"/>
      <c r="J685" s="572"/>
      <c r="K685" s="572"/>
      <c r="L685" s="572"/>
      <c r="M685" s="572"/>
      <c r="N685" s="572"/>
      <c r="O685" s="572"/>
      <c r="P685" s="572"/>
      <c r="Q685" s="572"/>
      <c r="R685" s="572"/>
      <c r="S685" s="572"/>
      <c r="T685" s="572"/>
      <c r="U685" s="572"/>
      <c r="V685" s="572"/>
      <c r="W685" s="572"/>
      <c r="X685" s="572"/>
      <c r="Y685" s="572"/>
    </row>
    <row r="686" spans="1:25" ht="12.75" customHeight="1">
      <c r="A686" s="571"/>
      <c r="B686" s="572"/>
      <c r="C686" s="572"/>
      <c r="D686" s="572"/>
      <c r="E686" s="572"/>
      <c r="F686" s="572"/>
      <c r="G686" s="572"/>
      <c r="H686" s="572"/>
      <c r="I686" s="572"/>
      <c r="J686" s="572"/>
      <c r="K686" s="572"/>
      <c r="L686" s="572"/>
      <c r="M686" s="572"/>
      <c r="N686" s="572"/>
      <c r="O686" s="572"/>
      <c r="P686" s="572"/>
      <c r="Q686" s="572"/>
      <c r="R686" s="572"/>
      <c r="S686" s="572"/>
      <c r="T686" s="572"/>
      <c r="U686" s="572"/>
      <c r="V686" s="572"/>
      <c r="W686" s="572"/>
      <c r="X686" s="572"/>
      <c r="Y686" s="572"/>
    </row>
    <row r="687" spans="1:25" ht="12.75" customHeight="1">
      <c r="A687" s="571"/>
      <c r="B687" s="572"/>
      <c r="C687" s="572"/>
      <c r="D687" s="572"/>
      <c r="E687" s="572"/>
      <c r="F687" s="572"/>
      <c r="G687" s="572"/>
      <c r="H687" s="572"/>
      <c r="I687" s="572"/>
      <c r="J687" s="572"/>
      <c r="K687" s="572"/>
      <c r="L687" s="572"/>
      <c r="M687" s="572"/>
      <c r="N687" s="572"/>
      <c r="O687" s="572"/>
      <c r="P687" s="572"/>
      <c r="Q687" s="572"/>
      <c r="R687" s="572"/>
      <c r="S687" s="572"/>
      <c r="T687" s="572"/>
      <c r="U687" s="572"/>
      <c r="V687" s="572"/>
      <c r="W687" s="572"/>
      <c r="X687" s="572"/>
      <c r="Y687" s="572"/>
    </row>
    <row r="688" spans="1:25" ht="12.75" customHeight="1">
      <c r="A688" s="571"/>
      <c r="B688" s="572"/>
      <c r="C688" s="572"/>
      <c r="D688" s="572"/>
      <c r="E688" s="572"/>
      <c r="F688" s="572"/>
      <c r="G688" s="572"/>
      <c r="H688" s="572"/>
      <c r="I688" s="572"/>
      <c r="J688" s="572"/>
      <c r="K688" s="572"/>
      <c r="L688" s="572"/>
      <c r="M688" s="572"/>
      <c r="N688" s="572"/>
      <c r="O688" s="572"/>
      <c r="P688" s="572"/>
      <c r="Q688" s="572"/>
      <c r="R688" s="572"/>
      <c r="S688" s="572"/>
      <c r="T688" s="572"/>
      <c r="U688" s="572"/>
      <c r="V688" s="572"/>
      <c r="W688" s="572"/>
      <c r="X688" s="572"/>
      <c r="Y688" s="572"/>
    </row>
    <row r="689" spans="1:25" ht="12.75" customHeight="1">
      <c r="A689" s="571"/>
      <c r="B689" s="572"/>
      <c r="C689" s="572"/>
      <c r="D689" s="572"/>
      <c r="E689" s="572"/>
      <c r="F689" s="572"/>
      <c r="G689" s="572"/>
      <c r="H689" s="572"/>
      <c r="I689" s="572"/>
      <c r="J689" s="572"/>
      <c r="K689" s="572"/>
      <c r="L689" s="572"/>
      <c r="M689" s="572"/>
      <c r="N689" s="572"/>
      <c r="O689" s="572"/>
      <c r="P689" s="572"/>
      <c r="Q689" s="572"/>
      <c r="R689" s="572"/>
      <c r="S689" s="572"/>
      <c r="T689" s="572"/>
      <c r="U689" s="572"/>
      <c r="V689" s="572"/>
      <c r="W689" s="572"/>
      <c r="X689" s="572"/>
      <c r="Y689" s="572"/>
    </row>
    <row r="690" spans="1:25" ht="12.75" customHeight="1">
      <c r="A690" s="571"/>
      <c r="B690" s="572"/>
      <c r="C690" s="572"/>
      <c r="D690" s="572"/>
      <c r="E690" s="572"/>
      <c r="F690" s="572"/>
      <c r="G690" s="572"/>
      <c r="H690" s="572"/>
      <c r="I690" s="572"/>
      <c r="J690" s="572"/>
      <c r="K690" s="572"/>
      <c r="L690" s="572"/>
      <c r="M690" s="572"/>
      <c r="N690" s="572"/>
      <c r="O690" s="572"/>
      <c r="P690" s="572"/>
      <c r="Q690" s="572"/>
      <c r="R690" s="572"/>
      <c r="S690" s="572"/>
      <c r="T690" s="572"/>
      <c r="U690" s="572"/>
      <c r="V690" s="572"/>
      <c r="W690" s="572"/>
      <c r="X690" s="572"/>
      <c r="Y690" s="572"/>
    </row>
    <row r="691" spans="1:25" ht="12.75" customHeight="1">
      <c r="A691" s="571"/>
      <c r="B691" s="572"/>
      <c r="C691" s="572"/>
      <c r="D691" s="572"/>
      <c r="E691" s="572"/>
      <c r="F691" s="572"/>
      <c r="G691" s="572"/>
      <c r="H691" s="572"/>
      <c r="I691" s="572"/>
      <c r="J691" s="572"/>
      <c r="K691" s="572"/>
      <c r="L691" s="572"/>
      <c r="M691" s="572"/>
      <c r="N691" s="572"/>
      <c r="O691" s="572"/>
      <c r="P691" s="572"/>
      <c r="Q691" s="572"/>
      <c r="R691" s="572"/>
      <c r="S691" s="572"/>
      <c r="T691" s="572"/>
      <c r="U691" s="572"/>
      <c r="V691" s="572"/>
      <c r="W691" s="572"/>
      <c r="X691" s="572"/>
      <c r="Y691" s="572"/>
    </row>
    <row r="692" spans="1:25" ht="12.75" customHeight="1">
      <c r="A692" s="571"/>
      <c r="B692" s="572"/>
      <c r="C692" s="572"/>
      <c r="D692" s="572"/>
      <c r="E692" s="572"/>
      <c r="F692" s="572"/>
      <c r="G692" s="572"/>
      <c r="H692" s="572"/>
      <c r="I692" s="572"/>
      <c r="J692" s="572"/>
      <c r="K692" s="572"/>
      <c r="L692" s="572"/>
      <c r="M692" s="572"/>
      <c r="N692" s="572"/>
      <c r="O692" s="572"/>
      <c r="P692" s="572"/>
      <c r="Q692" s="572"/>
      <c r="R692" s="572"/>
      <c r="S692" s="572"/>
      <c r="T692" s="572"/>
      <c r="U692" s="572"/>
      <c r="V692" s="572"/>
      <c r="W692" s="572"/>
      <c r="X692" s="572"/>
      <c r="Y692" s="572"/>
    </row>
    <row r="693" spans="1:25" ht="12.75" customHeight="1">
      <c r="A693" s="571"/>
      <c r="B693" s="572"/>
      <c r="C693" s="572"/>
      <c r="D693" s="572"/>
      <c r="E693" s="572"/>
      <c r="F693" s="572"/>
      <c r="G693" s="572"/>
      <c r="H693" s="572"/>
      <c r="I693" s="572"/>
      <c r="J693" s="572"/>
      <c r="K693" s="572"/>
      <c r="L693" s="572"/>
      <c r="M693" s="572"/>
      <c r="N693" s="572"/>
      <c r="O693" s="572"/>
      <c r="P693" s="572"/>
      <c r="Q693" s="572"/>
      <c r="R693" s="572"/>
      <c r="S693" s="572"/>
      <c r="T693" s="572"/>
      <c r="U693" s="572"/>
      <c r="V693" s="572"/>
      <c r="W693" s="572"/>
      <c r="X693" s="572"/>
      <c r="Y693" s="572"/>
    </row>
    <row r="694" spans="1:25" ht="12.75" customHeight="1">
      <c r="A694" s="571"/>
      <c r="B694" s="572"/>
      <c r="C694" s="572"/>
      <c r="D694" s="572"/>
      <c r="E694" s="572"/>
      <c r="F694" s="572"/>
      <c r="G694" s="572"/>
      <c r="H694" s="572"/>
      <c r="I694" s="572"/>
      <c r="J694" s="572"/>
      <c r="K694" s="572"/>
      <c r="L694" s="572"/>
      <c r="M694" s="572"/>
      <c r="N694" s="572"/>
      <c r="O694" s="572"/>
      <c r="P694" s="572"/>
      <c r="Q694" s="572"/>
      <c r="R694" s="572"/>
      <c r="S694" s="572"/>
      <c r="T694" s="572"/>
      <c r="U694" s="572"/>
      <c r="V694" s="572"/>
      <c r="W694" s="572"/>
      <c r="X694" s="572"/>
      <c r="Y694" s="572"/>
    </row>
    <row r="695" spans="1:25" ht="12.75" customHeight="1">
      <c r="A695" s="571"/>
      <c r="B695" s="572"/>
      <c r="C695" s="572"/>
      <c r="D695" s="572"/>
      <c r="E695" s="572"/>
      <c r="F695" s="572"/>
      <c r="G695" s="572"/>
      <c r="H695" s="572"/>
      <c r="I695" s="572"/>
      <c r="J695" s="572"/>
      <c r="K695" s="572"/>
      <c r="L695" s="572"/>
      <c r="M695" s="572"/>
      <c r="N695" s="572"/>
      <c r="O695" s="572"/>
      <c r="P695" s="572"/>
      <c r="Q695" s="572"/>
      <c r="R695" s="572"/>
      <c r="S695" s="572"/>
      <c r="T695" s="572"/>
      <c r="U695" s="572"/>
      <c r="V695" s="572"/>
      <c r="W695" s="572"/>
      <c r="X695" s="572"/>
      <c r="Y695" s="572"/>
    </row>
    <row r="696" spans="1:25" ht="12.75" customHeight="1">
      <c r="A696" s="571"/>
      <c r="B696" s="572"/>
      <c r="C696" s="572"/>
      <c r="D696" s="572"/>
      <c r="E696" s="572"/>
      <c r="F696" s="572"/>
      <c r="G696" s="572"/>
      <c r="H696" s="572"/>
      <c r="I696" s="572"/>
      <c r="J696" s="572"/>
      <c r="K696" s="572"/>
      <c r="L696" s="572"/>
      <c r="M696" s="572"/>
      <c r="N696" s="572"/>
      <c r="O696" s="572"/>
      <c r="P696" s="572"/>
      <c r="Q696" s="572"/>
      <c r="R696" s="572"/>
      <c r="S696" s="572"/>
      <c r="T696" s="572"/>
      <c r="U696" s="572"/>
      <c r="V696" s="572"/>
      <c r="W696" s="572"/>
      <c r="X696" s="572"/>
      <c r="Y696" s="572"/>
    </row>
    <row r="697" spans="1:25" ht="12.75" customHeight="1">
      <c r="A697" s="571"/>
      <c r="B697" s="572"/>
      <c r="C697" s="572"/>
      <c r="D697" s="572"/>
      <c r="E697" s="572"/>
      <c r="F697" s="572"/>
      <c r="G697" s="572"/>
      <c r="H697" s="572"/>
      <c r="I697" s="572"/>
      <c r="J697" s="572"/>
      <c r="K697" s="572"/>
      <c r="L697" s="572"/>
      <c r="M697" s="572"/>
      <c r="N697" s="572"/>
      <c r="O697" s="572"/>
      <c r="P697" s="572"/>
      <c r="Q697" s="572"/>
      <c r="R697" s="572"/>
      <c r="S697" s="572"/>
      <c r="T697" s="572"/>
      <c r="U697" s="572"/>
      <c r="V697" s="572"/>
      <c r="W697" s="572"/>
      <c r="X697" s="572"/>
      <c r="Y697" s="572"/>
    </row>
    <row r="698" spans="1:25" ht="12.75" customHeight="1">
      <c r="A698" s="571"/>
      <c r="B698" s="572"/>
      <c r="C698" s="572"/>
      <c r="D698" s="572"/>
      <c r="E698" s="572"/>
      <c r="F698" s="572"/>
      <c r="G698" s="572"/>
      <c r="H698" s="572"/>
      <c r="I698" s="572"/>
      <c r="J698" s="572"/>
      <c r="K698" s="572"/>
      <c r="L698" s="572"/>
      <c r="M698" s="572"/>
      <c r="N698" s="572"/>
      <c r="O698" s="572"/>
      <c r="P698" s="572"/>
      <c r="Q698" s="572"/>
      <c r="R698" s="572"/>
      <c r="S698" s="572"/>
      <c r="T698" s="572"/>
      <c r="U698" s="572"/>
      <c r="V698" s="572"/>
      <c r="W698" s="572"/>
      <c r="X698" s="572"/>
      <c r="Y698" s="572"/>
    </row>
    <row r="699" spans="1:25" ht="12.75" customHeight="1">
      <c r="A699" s="571"/>
      <c r="B699" s="572"/>
      <c r="C699" s="572"/>
      <c r="D699" s="572"/>
      <c r="E699" s="572"/>
      <c r="F699" s="572"/>
      <c r="G699" s="572"/>
      <c r="H699" s="572"/>
      <c r="I699" s="572"/>
      <c r="J699" s="572"/>
      <c r="K699" s="572"/>
      <c r="L699" s="572"/>
      <c r="M699" s="572"/>
      <c r="N699" s="572"/>
      <c r="O699" s="572"/>
      <c r="P699" s="572"/>
      <c r="Q699" s="572"/>
      <c r="R699" s="572"/>
      <c r="S699" s="572"/>
      <c r="T699" s="572"/>
      <c r="U699" s="572"/>
      <c r="V699" s="572"/>
      <c r="W699" s="572"/>
      <c r="X699" s="572"/>
      <c r="Y699" s="572"/>
    </row>
    <row r="700" spans="1:25" ht="12.75" customHeight="1">
      <c r="A700" s="571"/>
      <c r="B700" s="572"/>
      <c r="C700" s="572"/>
      <c r="D700" s="572"/>
      <c r="E700" s="572"/>
      <c r="F700" s="572"/>
      <c r="G700" s="572"/>
      <c r="H700" s="572"/>
      <c r="I700" s="572"/>
      <c r="J700" s="572"/>
      <c r="K700" s="572"/>
      <c r="L700" s="572"/>
      <c r="M700" s="572"/>
      <c r="N700" s="572"/>
      <c r="O700" s="572"/>
      <c r="P700" s="572"/>
      <c r="Q700" s="572"/>
      <c r="R700" s="572"/>
      <c r="S700" s="572"/>
      <c r="T700" s="572"/>
      <c r="U700" s="572"/>
      <c r="V700" s="572"/>
      <c r="W700" s="572"/>
      <c r="X700" s="572"/>
      <c r="Y700" s="572"/>
    </row>
    <row r="701" spans="1:25" ht="12.75" customHeight="1">
      <c r="A701" s="571"/>
      <c r="B701" s="572"/>
      <c r="C701" s="572"/>
      <c r="D701" s="572"/>
      <c r="E701" s="572"/>
      <c r="F701" s="572"/>
      <c r="G701" s="572"/>
      <c r="H701" s="572"/>
      <c r="I701" s="572"/>
      <c r="J701" s="572"/>
      <c r="K701" s="572"/>
      <c r="L701" s="572"/>
      <c r="M701" s="572"/>
      <c r="N701" s="572"/>
      <c r="O701" s="572"/>
      <c r="P701" s="572"/>
      <c r="Q701" s="572"/>
      <c r="R701" s="572"/>
      <c r="S701" s="572"/>
      <c r="T701" s="572"/>
      <c r="U701" s="572"/>
      <c r="V701" s="572"/>
      <c r="W701" s="572"/>
      <c r="X701" s="572"/>
      <c r="Y701" s="572"/>
    </row>
    <row r="702" spans="1:25" ht="12.75" customHeight="1">
      <c r="A702" s="571"/>
      <c r="B702" s="572"/>
      <c r="C702" s="572"/>
      <c r="D702" s="572"/>
      <c r="E702" s="572"/>
      <c r="F702" s="572"/>
      <c r="G702" s="572"/>
      <c r="H702" s="572"/>
      <c r="I702" s="572"/>
      <c r="J702" s="572"/>
      <c r="K702" s="572"/>
      <c r="L702" s="572"/>
      <c r="M702" s="572"/>
      <c r="N702" s="572"/>
      <c r="O702" s="572"/>
      <c r="P702" s="572"/>
      <c r="Q702" s="572"/>
      <c r="R702" s="572"/>
      <c r="S702" s="572"/>
      <c r="T702" s="572"/>
      <c r="U702" s="572"/>
      <c r="V702" s="572"/>
      <c r="W702" s="572"/>
      <c r="X702" s="572"/>
      <c r="Y702" s="572"/>
    </row>
    <row r="703" spans="1:25" ht="12.75" customHeight="1">
      <c r="A703" s="571"/>
      <c r="B703" s="572"/>
      <c r="C703" s="572"/>
      <c r="D703" s="572"/>
      <c r="E703" s="572"/>
      <c r="F703" s="572"/>
      <c r="G703" s="572"/>
      <c r="H703" s="572"/>
      <c r="I703" s="572"/>
      <c r="J703" s="572"/>
      <c r="K703" s="572"/>
      <c r="L703" s="572"/>
      <c r="M703" s="572"/>
      <c r="N703" s="572"/>
      <c r="O703" s="572"/>
      <c r="P703" s="572"/>
      <c r="Q703" s="572"/>
      <c r="R703" s="572"/>
      <c r="S703" s="572"/>
      <c r="T703" s="572"/>
      <c r="U703" s="572"/>
      <c r="V703" s="572"/>
      <c r="W703" s="572"/>
      <c r="X703" s="572"/>
      <c r="Y703" s="572"/>
    </row>
    <row r="704" spans="1:25" ht="12.75" customHeight="1">
      <c r="A704" s="571"/>
      <c r="B704" s="572"/>
      <c r="C704" s="572"/>
      <c r="D704" s="572"/>
      <c r="E704" s="572"/>
      <c r="F704" s="572"/>
      <c r="G704" s="572"/>
      <c r="H704" s="572"/>
      <c r="I704" s="572"/>
      <c r="J704" s="572"/>
      <c r="K704" s="572"/>
      <c r="L704" s="572"/>
      <c r="M704" s="572"/>
      <c r="N704" s="572"/>
      <c r="O704" s="572"/>
      <c r="P704" s="572"/>
      <c r="Q704" s="572"/>
      <c r="R704" s="572"/>
      <c r="S704" s="572"/>
      <c r="T704" s="572"/>
      <c r="U704" s="572"/>
      <c r="V704" s="572"/>
      <c r="W704" s="572"/>
      <c r="X704" s="572"/>
      <c r="Y704" s="572"/>
    </row>
    <row r="705" spans="1:25" ht="12.75" customHeight="1">
      <c r="A705" s="571"/>
      <c r="B705" s="572"/>
      <c r="C705" s="572"/>
      <c r="D705" s="572"/>
      <c r="E705" s="572"/>
      <c r="F705" s="572"/>
      <c r="G705" s="572"/>
      <c r="H705" s="572"/>
      <c r="I705" s="572"/>
      <c r="J705" s="572"/>
      <c r="K705" s="572"/>
      <c r="L705" s="572"/>
      <c r="M705" s="572"/>
      <c r="N705" s="572"/>
      <c r="O705" s="572"/>
      <c r="P705" s="572"/>
      <c r="Q705" s="572"/>
      <c r="R705" s="572"/>
      <c r="S705" s="572"/>
      <c r="T705" s="572"/>
      <c r="U705" s="572"/>
      <c r="V705" s="572"/>
      <c r="W705" s="572"/>
      <c r="X705" s="572"/>
      <c r="Y705" s="572"/>
    </row>
    <row r="706" spans="1:25" ht="12.75" customHeight="1">
      <c r="A706" s="571"/>
      <c r="B706" s="572"/>
      <c r="C706" s="572"/>
      <c r="D706" s="572"/>
      <c r="E706" s="572"/>
      <c r="F706" s="572"/>
      <c r="G706" s="572"/>
      <c r="H706" s="572"/>
      <c r="I706" s="572"/>
      <c r="J706" s="572"/>
      <c r="K706" s="572"/>
      <c r="L706" s="572"/>
      <c r="M706" s="572"/>
      <c r="N706" s="572"/>
      <c r="O706" s="572"/>
      <c r="P706" s="572"/>
      <c r="Q706" s="572"/>
      <c r="R706" s="572"/>
      <c r="S706" s="572"/>
      <c r="T706" s="572"/>
      <c r="U706" s="572"/>
      <c r="V706" s="572"/>
      <c r="W706" s="572"/>
      <c r="X706" s="572"/>
      <c r="Y706" s="572"/>
    </row>
    <row r="707" spans="1:25" ht="12.75" customHeight="1">
      <c r="A707" s="571"/>
      <c r="B707" s="572"/>
      <c r="C707" s="572"/>
      <c r="D707" s="572"/>
      <c r="E707" s="572"/>
      <c r="F707" s="572"/>
      <c r="G707" s="572"/>
      <c r="H707" s="572"/>
      <c r="I707" s="572"/>
      <c r="J707" s="572"/>
      <c r="K707" s="572"/>
      <c r="L707" s="572"/>
      <c r="M707" s="572"/>
      <c r="N707" s="572"/>
      <c r="O707" s="572"/>
      <c r="P707" s="572"/>
      <c r="Q707" s="572"/>
      <c r="R707" s="572"/>
      <c r="S707" s="572"/>
      <c r="T707" s="572"/>
      <c r="U707" s="572"/>
      <c r="V707" s="572"/>
      <c r="W707" s="572"/>
      <c r="X707" s="572"/>
      <c r="Y707" s="572"/>
    </row>
    <row r="708" spans="1:25" ht="12.75" customHeight="1">
      <c r="A708" s="571"/>
      <c r="B708" s="572"/>
      <c r="C708" s="572"/>
      <c r="D708" s="572"/>
      <c r="E708" s="572"/>
      <c r="F708" s="572"/>
      <c r="G708" s="572"/>
      <c r="H708" s="572"/>
      <c r="I708" s="572"/>
      <c r="J708" s="572"/>
      <c r="K708" s="572"/>
      <c r="L708" s="572"/>
      <c r="M708" s="572"/>
      <c r="N708" s="572"/>
      <c r="O708" s="572"/>
      <c r="P708" s="572"/>
      <c r="Q708" s="572"/>
      <c r="R708" s="572"/>
      <c r="S708" s="572"/>
      <c r="T708" s="572"/>
      <c r="U708" s="572"/>
      <c r="V708" s="572"/>
      <c r="W708" s="572"/>
      <c r="X708" s="572"/>
      <c r="Y708" s="572"/>
    </row>
    <row r="709" spans="1:25" ht="12.75" customHeight="1">
      <c r="A709" s="571"/>
      <c r="B709" s="572"/>
      <c r="C709" s="572"/>
      <c r="D709" s="572"/>
      <c r="E709" s="572"/>
      <c r="F709" s="572"/>
      <c r="G709" s="572"/>
      <c r="H709" s="572"/>
      <c r="I709" s="572"/>
      <c r="J709" s="572"/>
      <c r="K709" s="572"/>
      <c r="L709" s="572"/>
      <c r="M709" s="572"/>
      <c r="N709" s="572"/>
      <c r="O709" s="572"/>
      <c r="P709" s="572"/>
      <c r="Q709" s="572"/>
      <c r="R709" s="572"/>
      <c r="S709" s="572"/>
      <c r="T709" s="572"/>
      <c r="U709" s="572"/>
      <c r="V709" s="572"/>
      <c r="W709" s="572"/>
      <c r="X709" s="572"/>
      <c r="Y709" s="572"/>
    </row>
    <row r="710" spans="1:25" ht="12.75" customHeight="1">
      <c r="A710" s="571"/>
      <c r="B710" s="572"/>
      <c r="C710" s="572"/>
      <c r="D710" s="572"/>
      <c r="E710" s="572"/>
      <c r="F710" s="572"/>
      <c r="G710" s="572"/>
      <c r="H710" s="572"/>
      <c r="I710" s="572"/>
      <c r="J710" s="572"/>
      <c r="K710" s="572"/>
      <c r="L710" s="572"/>
      <c r="M710" s="572"/>
      <c r="N710" s="572"/>
      <c r="O710" s="572"/>
      <c r="P710" s="572"/>
      <c r="Q710" s="572"/>
      <c r="R710" s="572"/>
      <c r="S710" s="572"/>
      <c r="T710" s="572"/>
      <c r="U710" s="572"/>
      <c r="V710" s="572"/>
      <c r="W710" s="572"/>
      <c r="X710" s="572"/>
      <c r="Y710" s="572"/>
    </row>
    <row r="711" spans="1:25" ht="12.75" customHeight="1">
      <c r="A711" s="571"/>
      <c r="B711" s="572"/>
      <c r="C711" s="572"/>
      <c r="D711" s="572"/>
      <c r="E711" s="572"/>
      <c r="F711" s="572"/>
      <c r="G711" s="572"/>
      <c r="H711" s="572"/>
      <c r="I711" s="572"/>
      <c r="J711" s="572"/>
      <c r="K711" s="572"/>
      <c r="L711" s="572"/>
      <c r="M711" s="572"/>
      <c r="N711" s="572"/>
      <c r="O711" s="572"/>
      <c r="P711" s="572"/>
      <c r="Q711" s="572"/>
      <c r="R711" s="572"/>
      <c r="S711" s="572"/>
      <c r="T711" s="572"/>
      <c r="U711" s="572"/>
      <c r="V711" s="572"/>
      <c r="W711" s="572"/>
      <c r="X711" s="572"/>
      <c r="Y711" s="572"/>
    </row>
    <row r="712" spans="1:25" ht="12.75" customHeight="1">
      <c r="A712" s="571"/>
      <c r="B712" s="572"/>
      <c r="C712" s="572"/>
      <c r="D712" s="572"/>
      <c r="E712" s="572"/>
      <c r="F712" s="572"/>
      <c r="G712" s="572"/>
      <c r="H712" s="572"/>
      <c r="I712" s="572"/>
      <c r="J712" s="572"/>
      <c r="K712" s="572"/>
      <c r="L712" s="572"/>
      <c r="M712" s="572"/>
      <c r="N712" s="572"/>
      <c r="O712" s="572"/>
      <c r="P712" s="572"/>
      <c r="Q712" s="572"/>
      <c r="R712" s="572"/>
      <c r="S712" s="572"/>
      <c r="T712" s="572"/>
      <c r="U712" s="572"/>
      <c r="V712" s="572"/>
      <c r="W712" s="572"/>
      <c r="X712" s="572"/>
      <c r="Y712" s="572"/>
    </row>
    <row r="713" spans="1:25" ht="12.75" customHeight="1">
      <c r="A713" s="571"/>
      <c r="B713" s="572"/>
      <c r="C713" s="572"/>
      <c r="D713" s="572"/>
      <c r="E713" s="572"/>
      <c r="F713" s="572"/>
      <c r="G713" s="572"/>
      <c r="H713" s="572"/>
      <c r="I713" s="572"/>
      <c r="J713" s="572"/>
      <c r="K713" s="572"/>
      <c r="L713" s="572"/>
      <c r="M713" s="572"/>
      <c r="N713" s="572"/>
      <c r="O713" s="572"/>
      <c r="P713" s="572"/>
      <c r="Q713" s="572"/>
      <c r="R713" s="572"/>
      <c r="S713" s="572"/>
      <c r="T713" s="572"/>
      <c r="U713" s="572"/>
      <c r="V713" s="572"/>
      <c r="W713" s="572"/>
      <c r="X713" s="572"/>
      <c r="Y713" s="572"/>
    </row>
    <row r="714" spans="1:25" ht="12.75" customHeight="1">
      <c r="A714" s="571"/>
      <c r="B714" s="572"/>
      <c r="C714" s="572"/>
      <c r="D714" s="572"/>
      <c r="E714" s="572"/>
      <c r="F714" s="572"/>
      <c r="G714" s="572"/>
      <c r="H714" s="572"/>
      <c r="I714" s="572"/>
      <c r="J714" s="572"/>
      <c r="K714" s="572"/>
      <c r="L714" s="572"/>
      <c r="M714" s="572"/>
      <c r="N714" s="572"/>
      <c r="O714" s="572"/>
      <c r="P714" s="572"/>
      <c r="Q714" s="572"/>
      <c r="R714" s="572"/>
      <c r="S714" s="572"/>
      <c r="T714" s="572"/>
      <c r="U714" s="572"/>
      <c r="V714" s="572"/>
      <c r="W714" s="572"/>
      <c r="X714" s="572"/>
      <c r="Y714" s="572"/>
    </row>
    <row r="715" spans="1:25" ht="12.75" customHeight="1">
      <c r="A715" s="571"/>
      <c r="B715" s="572"/>
      <c r="C715" s="572"/>
      <c r="D715" s="572"/>
      <c r="E715" s="572"/>
      <c r="F715" s="572"/>
      <c r="G715" s="572"/>
      <c r="H715" s="572"/>
      <c r="I715" s="572"/>
      <c r="J715" s="572"/>
      <c r="K715" s="572"/>
      <c r="L715" s="572"/>
      <c r="M715" s="572"/>
      <c r="N715" s="572"/>
      <c r="O715" s="572"/>
      <c r="P715" s="572"/>
      <c r="Q715" s="572"/>
      <c r="R715" s="572"/>
      <c r="S715" s="572"/>
      <c r="T715" s="572"/>
      <c r="U715" s="572"/>
      <c r="V715" s="572"/>
      <c r="W715" s="572"/>
      <c r="X715" s="572"/>
      <c r="Y715" s="572"/>
    </row>
    <row r="716" spans="1:25" ht="12.75" customHeight="1">
      <c r="A716" s="571"/>
      <c r="B716" s="572"/>
      <c r="C716" s="572"/>
      <c r="D716" s="572"/>
      <c r="E716" s="572"/>
      <c r="F716" s="572"/>
      <c r="G716" s="572"/>
      <c r="H716" s="572"/>
      <c r="I716" s="572"/>
      <c r="J716" s="572"/>
      <c r="K716" s="572"/>
      <c r="L716" s="572"/>
      <c r="M716" s="572"/>
      <c r="N716" s="572"/>
      <c r="O716" s="572"/>
      <c r="P716" s="572"/>
      <c r="Q716" s="572"/>
      <c r="R716" s="572"/>
      <c r="S716" s="572"/>
      <c r="T716" s="572"/>
      <c r="U716" s="572"/>
      <c r="V716" s="572"/>
      <c r="W716" s="572"/>
      <c r="X716" s="572"/>
      <c r="Y716" s="572"/>
    </row>
    <row r="717" spans="1:25" ht="12.75" customHeight="1">
      <c r="A717" s="571"/>
      <c r="B717" s="572"/>
      <c r="C717" s="572"/>
      <c r="D717" s="572"/>
      <c r="E717" s="572"/>
      <c r="F717" s="572"/>
      <c r="G717" s="572"/>
      <c r="H717" s="572"/>
      <c r="I717" s="572"/>
      <c r="J717" s="572"/>
      <c r="K717" s="572"/>
      <c r="L717" s="572"/>
      <c r="M717" s="572"/>
      <c r="N717" s="572"/>
      <c r="O717" s="572"/>
      <c r="P717" s="572"/>
      <c r="Q717" s="572"/>
      <c r="R717" s="572"/>
      <c r="S717" s="572"/>
      <c r="T717" s="572"/>
      <c r="U717" s="572"/>
      <c r="V717" s="572"/>
      <c r="W717" s="572"/>
      <c r="X717" s="572"/>
      <c r="Y717" s="572"/>
    </row>
    <row r="718" spans="1:25" ht="12.75" customHeight="1">
      <c r="A718" s="571"/>
      <c r="B718" s="572"/>
      <c r="C718" s="572"/>
      <c r="D718" s="572"/>
      <c r="E718" s="572"/>
      <c r="F718" s="572"/>
      <c r="G718" s="572"/>
      <c r="H718" s="572"/>
      <c r="I718" s="572"/>
      <c r="J718" s="572"/>
      <c r="K718" s="572"/>
      <c r="L718" s="572"/>
      <c r="M718" s="572"/>
      <c r="N718" s="572"/>
      <c r="O718" s="572"/>
      <c r="P718" s="572"/>
      <c r="Q718" s="572"/>
      <c r="R718" s="572"/>
      <c r="S718" s="572"/>
      <c r="T718" s="572"/>
      <c r="U718" s="572"/>
      <c r="V718" s="572"/>
      <c r="W718" s="572"/>
      <c r="X718" s="572"/>
      <c r="Y718" s="572"/>
    </row>
    <row r="719" spans="1:25" ht="12.75" customHeight="1">
      <c r="A719" s="571"/>
      <c r="B719" s="572"/>
      <c r="C719" s="572"/>
      <c r="D719" s="572"/>
      <c r="E719" s="572"/>
      <c r="F719" s="572"/>
      <c r="G719" s="572"/>
      <c r="H719" s="572"/>
      <c r="I719" s="572"/>
      <c r="J719" s="572"/>
      <c r="K719" s="572"/>
      <c r="L719" s="572"/>
      <c r="M719" s="572"/>
      <c r="N719" s="572"/>
      <c r="O719" s="572"/>
      <c r="P719" s="572"/>
      <c r="Q719" s="572"/>
      <c r="R719" s="572"/>
      <c r="S719" s="572"/>
      <c r="T719" s="572"/>
      <c r="U719" s="572"/>
      <c r="V719" s="572"/>
      <c r="W719" s="572"/>
      <c r="X719" s="572"/>
      <c r="Y719" s="572"/>
    </row>
    <row r="720" spans="1:25" ht="12.75" customHeight="1">
      <c r="A720" s="571"/>
      <c r="B720" s="572"/>
      <c r="C720" s="572"/>
      <c r="D720" s="572"/>
      <c r="E720" s="572"/>
      <c r="F720" s="572"/>
      <c r="G720" s="572"/>
      <c r="H720" s="572"/>
      <c r="I720" s="572"/>
      <c r="J720" s="572"/>
      <c r="K720" s="572"/>
      <c r="L720" s="572"/>
      <c r="M720" s="572"/>
      <c r="N720" s="572"/>
      <c r="O720" s="572"/>
      <c r="P720" s="572"/>
      <c r="Q720" s="572"/>
      <c r="R720" s="572"/>
      <c r="S720" s="572"/>
      <c r="T720" s="572"/>
      <c r="U720" s="572"/>
      <c r="V720" s="572"/>
      <c r="W720" s="572"/>
      <c r="X720" s="572"/>
      <c r="Y720" s="572"/>
    </row>
    <row r="721" spans="1:25" ht="12.75" customHeight="1">
      <c r="A721" s="571"/>
      <c r="B721" s="572"/>
      <c r="C721" s="572"/>
      <c r="D721" s="572"/>
      <c r="E721" s="572"/>
      <c r="F721" s="572"/>
      <c r="G721" s="572"/>
      <c r="H721" s="572"/>
      <c r="I721" s="572"/>
      <c r="J721" s="572"/>
      <c r="K721" s="572"/>
      <c r="L721" s="572"/>
      <c r="M721" s="572"/>
      <c r="N721" s="572"/>
      <c r="O721" s="572"/>
      <c r="P721" s="572"/>
      <c r="Q721" s="572"/>
      <c r="R721" s="572"/>
      <c r="S721" s="572"/>
      <c r="T721" s="572"/>
      <c r="U721" s="572"/>
      <c r="V721" s="572"/>
      <c r="W721" s="572"/>
      <c r="X721" s="572"/>
      <c r="Y721" s="572"/>
    </row>
    <row r="722" spans="1:25" ht="12.75" customHeight="1">
      <c r="A722" s="571"/>
      <c r="B722" s="572"/>
      <c r="C722" s="572"/>
      <c r="D722" s="572"/>
      <c r="E722" s="572"/>
      <c r="F722" s="572"/>
      <c r="G722" s="572"/>
      <c r="H722" s="572"/>
      <c r="I722" s="572"/>
      <c r="J722" s="572"/>
      <c r="K722" s="572"/>
      <c r="L722" s="572"/>
      <c r="M722" s="572"/>
      <c r="N722" s="572"/>
      <c r="O722" s="572"/>
      <c r="P722" s="572"/>
      <c r="Q722" s="572"/>
      <c r="R722" s="572"/>
      <c r="S722" s="572"/>
      <c r="T722" s="572"/>
      <c r="U722" s="572"/>
      <c r="V722" s="572"/>
      <c r="W722" s="572"/>
      <c r="X722" s="572"/>
      <c r="Y722" s="572"/>
    </row>
    <row r="723" spans="1:25" ht="12.75" customHeight="1">
      <c r="A723" s="571"/>
      <c r="B723" s="572"/>
      <c r="C723" s="572"/>
      <c r="D723" s="572"/>
      <c r="E723" s="572"/>
      <c r="F723" s="572"/>
      <c r="G723" s="572"/>
      <c r="H723" s="572"/>
      <c r="I723" s="572"/>
      <c r="J723" s="572"/>
      <c r="K723" s="572"/>
      <c r="L723" s="572"/>
      <c r="M723" s="572"/>
      <c r="N723" s="572"/>
      <c r="O723" s="572"/>
      <c r="P723" s="572"/>
      <c r="Q723" s="572"/>
      <c r="R723" s="572"/>
      <c r="S723" s="572"/>
      <c r="T723" s="572"/>
      <c r="U723" s="572"/>
      <c r="V723" s="572"/>
      <c r="W723" s="572"/>
      <c r="X723" s="572"/>
      <c r="Y723" s="572"/>
    </row>
    <row r="724" spans="1:25" ht="12.75" customHeight="1">
      <c r="A724" s="571"/>
      <c r="B724" s="572"/>
      <c r="C724" s="572"/>
      <c r="D724" s="572"/>
      <c r="E724" s="572"/>
      <c r="F724" s="572"/>
      <c r="G724" s="572"/>
      <c r="H724" s="572"/>
      <c r="I724" s="572"/>
      <c r="J724" s="572"/>
      <c r="K724" s="572"/>
      <c r="L724" s="572"/>
      <c r="M724" s="572"/>
      <c r="N724" s="572"/>
      <c r="O724" s="572"/>
      <c r="P724" s="572"/>
      <c r="Q724" s="572"/>
      <c r="R724" s="572"/>
      <c r="S724" s="572"/>
      <c r="T724" s="572"/>
      <c r="U724" s="572"/>
      <c r="V724" s="572"/>
      <c r="W724" s="572"/>
      <c r="X724" s="572"/>
      <c r="Y724" s="572"/>
    </row>
    <row r="725" spans="1:25" ht="12.75" customHeight="1">
      <c r="A725" s="571"/>
      <c r="B725" s="572"/>
      <c r="C725" s="572"/>
      <c r="D725" s="572"/>
      <c r="E725" s="572"/>
      <c r="F725" s="572"/>
      <c r="G725" s="572"/>
      <c r="H725" s="572"/>
      <c r="I725" s="572"/>
      <c r="J725" s="572"/>
      <c r="K725" s="572"/>
      <c r="L725" s="572"/>
      <c r="M725" s="572"/>
      <c r="N725" s="572"/>
      <c r="O725" s="572"/>
      <c r="P725" s="572"/>
      <c r="Q725" s="572"/>
      <c r="R725" s="572"/>
      <c r="S725" s="572"/>
      <c r="T725" s="572"/>
      <c r="U725" s="572"/>
      <c r="V725" s="572"/>
      <c r="W725" s="572"/>
      <c r="X725" s="572"/>
      <c r="Y725" s="572"/>
    </row>
    <row r="726" spans="1:25" ht="12.75" customHeight="1">
      <c r="A726" s="571"/>
      <c r="B726" s="572"/>
      <c r="C726" s="572"/>
      <c r="D726" s="572"/>
      <c r="E726" s="572"/>
      <c r="F726" s="572"/>
      <c r="G726" s="572"/>
      <c r="H726" s="572"/>
      <c r="I726" s="572"/>
      <c r="J726" s="572"/>
      <c r="K726" s="572"/>
      <c r="L726" s="572"/>
      <c r="M726" s="572"/>
      <c r="N726" s="572"/>
      <c r="O726" s="572"/>
      <c r="P726" s="572"/>
      <c r="Q726" s="572"/>
      <c r="R726" s="572"/>
      <c r="S726" s="572"/>
      <c r="T726" s="572"/>
      <c r="U726" s="572"/>
      <c r="V726" s="572"/>
      <c r="W726" s="572"/>
      <c r="X726" s="572"/>
      <c r="Y726" s="572"/>
    </row>
    <row r="727" spans="1:25" ht="12.75" customHeight="1">
      <c r="A727" s="571"/>
      <c r="B727" s="572"/>
      <c r="C727" s="572"/>
      <c r="D727" s="572"/>
      <c r="E727" s="572"/>
      <c r="F727" s="572"/>
      <c r="G727" s="572"/>
      <c r="H727" s="572"/>
      <c r="I727" s="572"/>
      <c r="J727" s="572"/>
      <c r="K727" s="572"/>
      <c r="L727" s="572"/>
      <c r="M727" s="572"/>
      <c r="N727" s="572"/>
      <c r="O727" s="572"/>
      <c r="P727" s="572"/>
      <c r="Q727" s="572"/>
      <c r="R727" s="572"/>
      <c r="S727" s="572"/>
      <c r="T727" s="572"/>
      <c r="U727" s="572"/>
      <c r="V727" s="572"/>
      <c r="W727" s="572"/>
      <c r="X727" s="572"/>
      <c r="Y727" s="572"/>
    </row>
    <row r="728" spans="1:25" ht="12.75" customHeight="1">
      <c r="A728" s="571"/>
      <c r="B728" s="572"/>
      <c r="C728" s="572"/>
      <c r="D728" s="572"/>
      <c r="E728" s="572"/>
      <c r="F728" s="572"/>
      <c r="G728" s="572"/>
      <c r="H728" s="572"/>
      <c r="I728" s="572"/>
      <c r="J728" s="572"/>
      <c r="K728" s="572"/>
      <c r="L728" s="572"/>
      <c r="M728" s="572"/>
      <c r="N728" s="572"/>
      <c r="O728" s="572"/>
      <c r="P728" s="572"/>
      <c r="Q728" s="572"/>
      <c r="R728" s="572"/>
      <c r="S728" s="572"/>
      <c r="T728" s="572"/>
      <c r="U728" s="572"/>
      <c r="V728" s="572"/>
      <c r="W728" s="572"/>
      <c r="X728" s="572"/>
      <c r="Y728" s="572"/>
    </row>
    <row r="729" spans="1:25" ht="12.75" customHeight="1">
      <c r="A729" s="571"/>
      <c r="B729" s="572"/>
      <c r="C729" s="572"/>
      <c r="D729" s="572"/>
      <c r="E729" s="572"/>
      <c r="F729" s="572"/>
      <c r="G729" s="572"/>
      <c r="H729" s="572"/>
      <c r="I729" s="572"/>
      <c r="J729" s="572"/>
      <c r="K729" s="572"/>
      <c r="L729" s="572"/>
      <c r="M729" s="572"/>
      <c r="N729" s="572"/>
      <c r="O729" s="572"/>
      <c r="P729" s="572"/>
      <c r="Q729" s="572"/>
      <c r="R729" s="572"/>
      <c r="S729" s="572"/>
      <c r="T729" s="572"/>
      <c r="U729" s="572"/>
      <c r="V729" s="572"/>
      <c r="W729" s="572"/>
      <c r="X729" s="572"/>
      <c r="Y729" s="572"/>
    </row>
    <row r="730" spans="1:25" ht="12.75" customHeight="1">
      <c r="A730" s="571"/>
      <c r="B730" s="572"/>
      <c r="C730" s="572"/>
      <c r="D730" s="572"/>
      <c r="E730" s="572"/>
      <c r="F730" s="572"/>
      <c r="G730" s="572"/>
      <c r="H730" s="572"/>
      <c r="I730" s="572"/>
      <c r="J730" s="572"/>
      <c r="K730" s="572"/>
      <c r="L730" s="572"/>
      <c r="M730" s="572"/>
      <c r="N730" s="572"/>
      <c r="O730" s="572"/>
      <c r="P730" s="572"/>
      <c r="Q730" s="572"/>
      <c r="R730" s="572"/>
      <c r="S730" s="572"/>
      <c r="T730" s="572"/>
      <c r="U730" s="572"/>
      <c r="V730" s="572"/>
      <c r="W730" s="572"/>
      <c r="X730" s="572"/>
      <c r="Y730" s="572"/>
    </row>
    <row r="731" spans="1:25" ht="12.75" customHeight="1">
      <c r="A731" s="571"/>
      <c r="B731" s="572"/>
      <c r="C731" s="572"/>
      <c r="D731" s="572"/>
      <c r="E731" s="572"/>
      <c r="F731" s="572"/>
      <c r="G731" s="572"/>
      <c r="H731" s="572"/>
      <c r="I731" s="572"/>
      <c r="J731" s="572"/>
      <c r="K731" s="572"/>
      <c r="L731" s="572"/>
      <c r="M731" s="572"/>
      <c r="N731" s="572"/>
      <c r="O731" s="572"/>
      <c r="P731" s="572"/>
      <c r="Q731" s="572"/>
      <c r="R731" s="572"/>
      <c r="S731" s="572"/>
      <c r="T731" s="572"/>
      <c r="U731" s="572"/>
      <c r="V731" s="572"/>
      <c r="W731" s="572"/>
      <c r="X731" s="572"/>
      <c r="Y731" s="572"/>
    </row>
    <row r="732" spans="1:25" ht="12.75" customHeight="1">
      <c r="A732" s="571"/>
      <c r="B732" s="572"/>
      <c r="C732" s="572"/>
      <c r="D732" s="572"/>
      <c r="E732" s="572"/>
      <c r="F732" s="572"/>
      <c r="G732" s="572"/>
      <c r="H732" s="572"/>
      <c r="I732" s="572"/>
      <c r="J732" s="572"/>
      <c r="K732" s="572"/>
      <c r="L732" s="572"/>
      <c r="M732" s="572"/>
      <c r="N732" s="572"/>
      <c r="O732" s="572"/>
      <c r="P732" s="572"/>
      <c r="Q732" s="572"/>
      <c r="R732" s="572"/>
      <c r="S732" s="572"/>
      <c r="T732" s="572"/>
      <c r="U732" s="572"/>
      <c r="V732" s="572"/>
      <c r="W732" s="572"/>
      <c r="X732" s="572"/>
      <c r="Y732" s="572"/>
    </row>
    <row r="733" spans="1:25" ht="12.75" customHeight="1">
      <c r="A733" s="571"/>
      <c r="B733" s="572"/>
      <c r="C733" s="572"/>
      <c r="D733" s="572"/>
      <c r="E733" s="572"/>
      <c r="F733" s="572"/>
      <c r="G733" s="572"/>
      <c r="H733" s="572"/>
      <c r="I733" s="572"/>
      <c r="J733" s="572"/>
      <c r="K733" s="572"/>
      <c r="L733" s="572"/>
      <c r="M733" s="572"/>
      <c r="N733" s="572"/>
      <c r="O733" s="572"/>
      <c r="P733" s="572"/>
      <c r="Q733" s="572"/>
      <c r="R733" s="572"/>
      <c r="S733" s="572"/>
      <c r="T733" s="572"/>
      <c r="U733" s="572"/>
      <c r="V733" s="572"/>
      <c r="W733" s="572"/>
      <c r="X733" s="572"/>
      <c r="Y733" s="572"/>
    </row>
    <row r="734" spans="1:25" ht="12.75" customHeight="1">
      <c r="A734" s="571"/>
      <c r="B734" s="572"/>
      <c r="C734" s="572"/>
      <c r="D734" s="572"/>
      <c r="E734" s="572"/>
      <c r="F734" s="572"/>
      <c r="G734" s="572"/>
      <c r="H734" s="572"/>
      <c r="I734" s="572"/>
      <c r="J734" s="572"/>
      <c r="K734" s="572"/>
      <c r="L734" s="572"/>
      <c r="M734" s="572"/>
      <c r="N734" s="572"/>
      <c r="O734" s="572"/>
      <c r="P734" s="572"/>
      <c r="Q734" s="572"/>
      <c r="R734" s="572"/>
      <c r="S734" s="572"/>
      <c r="T734" s="572"/>
      <c r="U734" s="572"/>
      <c r="V734" s="572"/>
      <c r="W734" s="572"/>
      <c r="X734" s="572"/>
      <c r="Y734" s="572"/>
    </row>
    <row r="735" spans="1:25" ht="12.75" customHeight="1">
      <c r="A735" s="571"/>
      <c r="B735" s="572"/>
      <c r="C735" s="572"/>
      <c r="D735" s="572"/>
      <c r="E735" s="572"/>
      <c r="F735" s="572"/>
      <c r="G735" s="572"/>
      <c r="H735" s="572"/>
      <c r="I735" s="572"/>
      <c r="J735" s="572"/>
      <c r="K735" s="572"/>
      <c r="L735" s="572"/>
      <c r="M735" s="572"/>
      <c r="N735" s="572"/>
      <c r="O735" s="572"/>
      <c r="P735" s="572"/>
      <c r="Q735" s="572"/>
      <c r="R735" s="572"/>
      <c r="S735" s="572"/>
      <c r="T735" s="572"/>
      <c r="U735" s="572"/>
      <c r="V735" s="572"/>
      <c r="W735" s="572"/>
      <c r="X735" s="572"/>
      <c r="Y735" s="572"/>
    </row>
    <row r="736" spans="1:25" ht="12.75" customHeight="1">
      <c r="A736" s="571"/>
      <c r="B736" s="572"/>
      <c r="C736" s="572"/>
      <c r="D736" s="572"/>
      <c r="E736" s="572"/>
      <c r="F736" s="572"/>
      <c r="G736" s="572"/>
      <c r="H736" s="572"/>
      <c r="I736" s="572"/>
      <c r="J736" s="572"/>
      <c r="K736" s="572"/>
      <c r="L736" s="572"/>
      <c r="M736" s="572"/>
      <c r="N736" s="572"/>
      <c r="O736" s="572"/>
      <c r="P736" s="572"/>
      <c r="Q736" s="572"/>
      <c r="R736" s="572"/>
      <c r="S736" s="572"/>
      <c r="T736" s="572"/>
      <c r="U736" s="572"/>
      <c r="V736" s="572"/>
      <c r="W736" s="572"/>
      <c r="X736" s="572"/>
      <c r="Y736" s="572"/>
    </row>
    <row r="737" spans="1:25" ht="12.75" customHeight="1">
      <c r="A737" s="571"/>
      <c r="B737" s="572"/>
      <c r="C737" s="572"/>
      <c r="D737" s="572"/>
      <c r="E737" s="572"/>
      <c r="F737" s="572"/>
      <c r="G737" s="572"/>
      <c r="H737" s="572"/>
      <c r="I737" s="572"/>
      <c r="J737" s="572"/>
      <c r="K737" s="572"/>
      <c r="L737" s="572"/>
      <c r="M737" s="572"/>
      <c r="N737" s="572"/>
      <c r="O737" s="572"/>
      <c r="P737" s="572"/>
      <c r="Q737" s="572"/>
      <c r="R737" s="572"/>
      <c r="S737" s="572"/>
      <c r="T737" s="572"/>
      <c r="U737" s="572"/>
      <c r="V737" s="572"/>
      <c r="W737" s="572"/>
      <c r="X737" s="572"/>
      <c r="Y737" s="572"/>
    </row>
    <row r="738" spans="1:25" ht="12.75" customHeight="1">
      <c r="A738" s="571"/>
      <c r="B738" s="572"/>
      <c r="C738" s="572"/>
      <c r="D738" s="572"/>
      <c r="E738" s="572"/>
      <c r="F738" s="572"/>
      <c r="G738" s="572"/>
      <c r="H738" s="572"/>
      <c r="I738" s="572"/>
      <c r="J738" s="572"/>
      <c r="K738" s="572"/>
      <c r="L738" s="572"/>
      <c r="M738" s="572"/>
      <c r="N738" s="572"/>
      <c r="O738" s="572"/>
      <c r="P738" s="572"/>
      <c r="Q738" s="572"/>
      <c r="R738" s="572"/>
      <c r="S738" s="572"/>
      <c r="T738" s="572"/>
      <c r="U738" s="572"/>
      <c r="V738" s="572"/>
      <c r="W738" s="572"/>
      <c r="X738" s="572"/>
      <c r="Y738" s="572"/>
    </row>
    <row r="739" spans="1:25" ht="12.75" customHeight="1">
      <c r="A739" s="571"/>
      <c r="B739" s="572"/>
      <c r="C739" s="572"/>
      <c r="D739" s="572"/>
      <c r="E739" s="572"/>
      <c r="F739" s="572"/>
      <c r="G739" s="572"/>
      <c r="H739" s="572"/>
      <c r="I739" s="572"/>
      <c r="J739" s="572"/>
      <c r="K739" s="572"/>
      <c r="L739" s="572"/>
      <c r="M739" s="572"/>
      <c r="N739" s="572"/>
      <c r="O739" s="572"/>
      <c r="P739" s="572"/>
      <c r="Q739" s="572"/>
      <c r="R739" s="572"/>
      <c r="S739" s="572"/>
      <c r="T739" s="572"/>
      <c r="U739" s="572"/>
      <c r="V739" s="572"/>
      <c r="W739" s="572"/>
      <c r="X739" s="572"/>
      <c r="Y739" s="572"/>
    </row>
    <row r="740" spans="1:25" ht="12.75" customHeight="1">
      <c r="A740" s="571"/>
      <c r="B740" s="572"/>
      <c r="C740" s="572"/>
      <c r="D740" s="572"/>
      <c r="E740" s="572"/>
      <c r="F740" s="572"/>
      <c r="G740" s="572"/>
      <c r="H740" s="572"/>
      <c r="I740" s="572"/>
      <c r="J740" s="572"/>
      <c r="K740" s="572"/>
      <c r="L740" s="572"/>
      <c r="M740" s="572"/>
      <c r="N740" s="572"/>
      <c r="O740" s="572"/>
      <c r="P740" s="572"/>
      <c r="Q740" s="572"/>
      <c r="R740" s="572"/>
      <c r="S740" s="572"/>
      <c r="T740" s="572"/>
      <c r="U740" s="572"/>
      <c r="V740" s="572"/>
      <c r="W740" s="572"/>
      <c r="X740" s="572"/>
      <c r="Y740" s="572"/>
    </row>
    <row r="741" spans="1:25" ht="12.75" customHeight="1">
      <c r="A741" s="571"/>
      <c r="B741" s="572"/>
      <c r="C741" s="572"/>
      <c r="D741" s="572"/>
      <c r="E741" s="572"/>
      <c r="F741" s="572"/>
      <c r="G741" s="572"/>
      <c r="H741" s="572"/>
      <c r="I741" s="572"/>
      <c r="J741" s="572"/>
      <c r="K741" s="572"/>
      <c r="L741" s="572"/>
      <c r="M741" s="572"/>
      <c r="N741" s="572"/>
      <c r="O741" s="572"/>
      <c r="P741" s="572"/>
      <c r="Q741" s="572"/>
      <c r="R741" s="572"/>
      <c r="S741" s="572"/>
      <c r="T741" s="572"/>
      <c r="U741" s="572"/>
      <c r="V741" s="572"/>
      <c r="W741" s="572"/>
      <c r="X741" s="572"/>
      <c r="Y741" s="572"/>
    </row>
    <row r="742" spans="1:25" ht="12.75" customHeight="1">
      <c r="A742" s="571"/>
      <c r="B742" s="572"/>
      <c r="C742" s="572"/>
      <c r="D742" s="572"/>
      <c r="E742" s="572"/>
      <c r="F742" s="572"/>
      <c r="G742" s="572"/>
      <c r="H742" s="572"/>
      <c r="I742" s="572"/>
      <c r="J742" s="572"/>
      <c r="K742" s="572"/>
      <c r="L742" s="572"/>
      <c r="M742" s="572"/>
      <c r="N742" s="572"/>
      <c r="O742" s="572"/>
      <c r="P742" s="572"/>
      <c r="Q742" s="572"/>
      <c r="R742" s="572"/>
      <c r="S742" s="572"/>
      <c r="T742" s="572"/>
      <c r="U742" s="572"/>
      <c r="V742" s="572"/>
      <c r="W742" s="572"/>
      <c r="X742" s="572"/>
      <c r="Y742" s="572"/>
    </row>
    <row r="743" spans="1:25" ht="12.75" customHeight="1">
      <c r="A743" s="571"/>
      <c r="B743" s="572"/>
      <c r="C743" s="572"/>
      <c r="D743" s="572"/>
      <c r="E743" s="572"/>
      <c r="F743" s="572"/>
      <c r="G743" s="572"/>
      <c r="H743" s="572"/>
      <c r="I743" s="572"/>
      <c r="J743" s="572"/>
      <c r="K743" s="572"/>
      <c r="L743" s="572"/>
      <c r="M743" s="572"/>
      <c r="N743" s="572"/>
      <c r="O743" s="572"/>
      <c r="P743" s="572"/>
      <c r="Q743" s="572"/>
      <c r="R743" s="572"/>
      <c r="S743" s="572"/>
      <c r="T743" s="572"/>
      <c r="U743" s="572"/>
      <c r="V743" s="572"/>
      <c r="W743" s="572"/>
      <c r="X743" s="572"/>
      <c r="Y743" s="572"/>
    </row>
    <row r="744" spans="1:25" ht="12.75" customHeight="1">
      <c r="A744" s="571"/>
      <c r="B744" s="572"/>
      <c r="C744" s="572"/>
      <c r="D744" s="572"/>
      <c r="E744" s="572"/>
      <c r="F744" s="572"/>
      <c r="G744" s="572"/>
      <c r="H744" s="572"/>
      <c r="I744" s="572"/>
      <c r="J744" s="572"/>
      <c r="K744" s="572"/>
      <c r="L744" s="572"/>
      <c r="M744" s="572"/>
      <c r="N744" s="572"/>
      <c r="O744" s="572"/>
      <c r="P744" s="572"/>
      <c r="Q744" s="572"/>
      <c r="R744" s="572"/>
      <c r="S744" s="572"/>
      <c r="T744" s="572"/>
      <c r="U744" s="572"/>
      <c r="V744" s="572"/>
      <c r="W744" s="572"/>
      <c r="X744" s="572"/>
      <c r="Y744" s="572"/>
    </row>
    <row r="745" spans="1:25" ht="12.75" customHeight="1">
      <c r="A745" s="571"/>
      <c r="B745" s="572"/>
      <c r="C745" s="572"/>
      <c r="D745" s="572"/>
      <c r="E745" s="572"/>
      <c r="F745" s="572"/>
      <c r="G745" s="572"/>
      <c r="H745" s="572"/>
      <c r="I745" s="572"/>
      <c r="J745" s="572"/>
      <c r="K745" s="572"/>
      <c r="L745" s="572"/>
      <c r="M745" s="572"/>
      <c r="N745" s="572"/>
      <c r="O745" s="572"/>
      <c r="P745" s="572"/>
      <c r="Q745" s="572"/>
      <c r="R745" s="572"/>
      <c r="S745" s="572"/>
      <c r="T745" s="572"/>
      <c r="U745" s="572"/>
      <c r="V745" s="572"/>
      <c r="W745" s="572"/>
      <c r="X745" s="572"/>
      <c r="Y745" s="572"/>
    </row>
    <row r="746" spans="1:25" ht="12.75" customHeight="1">
      <c r="A746" s="571"/>
      <c r="B746" s="572"/>
      <c r="C746" s="572"/>
      <c r="D746" s="572"/>
      <c r="E746" s="572"/>
      <c r="F746" s="572"/>
      <c r="G746" s="572"/>
      <c r="H746" s="572"/>
      <c r="I746" s="572"/>
      <c r="J746" s="572"/>
      <c r="K746" s="572"/>
      <c r="L746" s="572"/>
      <c r="M746" s="572"/>
      <c r="N746" s="572"/>
      <c r="O746" s="572"/>
      <c r="P746" s="572"/>
      <c r="Q746" s="572"/>
      <c r="R746" s="572"/>
      <c r="S746" s="572"/>
      <c r="T746" s="572"/>
      <c r="U746" s="572"/>
      <c r="V746" s="572"/>
      <c r="W746" s="572"/>
      <c r="X746" s="572"/>
      <c r="Y746" s="572"/>
    </row>
    <row r="747" spans="1:25" ht="12.75" customHeight="1">
      <c r="A747" s="571"/>
      <c r="B747" s="572"/>
      <c r="C747" s="572"/>
      <c r="D747" s="572"/>
      <c r="E747" s="572"/>
      <c r="F747" s="572"/>
      <c r="G747" s="572"/>
      <c r="H747" s="572"/>
      <c r="I747" s="572"/>
      <c r="J747" s="572"/>
      <c r="K747" s="572"/>
      <c r="L747" s="572"/>
      <c r="M747" s="572"/>
      <c r="N747" s="572"/>
      <c r="O747" s="572"/>
      <c r="P747" s="572"/>
      <c r="Q747" s="572"/>
      <c r="R747" s="572"/>
      <c r="S747" s="572"/>
      <c r="T747" s="572"/>
      <c r="U747" s="572"/>
      <c r="V747" s="572"/>
      <c r="W747" s="572"/>
      <c r="X747" s="572"/>
      <c r="Y747" s="572"/>
    </row>
    <row r="748" spans="1:25" ht="12.75" customHeight="1">
      <c r="A748" s="571"/>
      <c r="B748" s="572"/>
      <c r="C748" s="572"/>
      <c r="D748" s="572"/>
      <c r="E748" s="572"/>
      <c r="F748" s="572"/>
      <c r="G748" s="572"/>
      <c r="H748" s="572"/>
      <c r="I748" s="572"/>
      <c r="J748" s="572"/>
      <c r="K748" s="572"/>
      <c r="L748" s="572"/>
      <c r="M748" s="572"/>
      <c r="N748" s="572"/>
      <c r="O748" s="572"/>
      <c r="P748" s="572"/>
      <c r="Q748" s="572"/>
      <c r="R748" s="572"/>
      <c r="S748" s="572"/>
      <c r="T748" s="572"/>
      <c r="U748" s="572"/>
      <c r="V748" s="572"/>
      <c r="W748" s="572"/>
      <c r="X748" s="572"/>
      <c r="Y748" s="572"/>
    </row>
    <row r="749" spans="1:25" ht="12.75" customHeight="1">
      <c r="A749" s="571"/>
      <c r="B749" s="572"/>
      <c r="C749" s="572"/>
      <c r="D749" s="572"/>
      <c r="E749" s="572"/>
      <c r="F749" s="572"/>
      <c r="G749" s="572"/>
      <c r="H749" s="572"/>
      <c r="I749" s="572"/>
      <c r="J749" s="572"/>
      <c r="K749" s="572"/>
      <c r="L749" s="572"/>
      <c r="M749" s="572"/>
      <c r="N749" s="572"/>
      <c r="O749" s="572"/>
      <c r="P749" s="572"/>
      <c r="Q749" s="572"/>
      <c r="R749" s="572"/>
      <c r="S749" s="572"/>
      <c r="T749" s="572"/>
      <c r="U749" s="572"/>
      <c r="V749" s="572"/>
      <c r="W749" s="572"/>
      <c r="X749" s="572"/>
      <c r="Y749" s="572"/>
    </row>
    <row r="750" spans="1:25" ht="12.75" customHeight="1">
      <c r="A750" s="571"/>
      <c r="B750" s="572"/>
      <c r="C750" s="572"/>
      <c r="D750" s="572"/>
      <c r="E750" s="572"/>
      <c r="F750" s="572"/>
      <c r="G750" s="572"/>
      <c r="H750" s="572"/>
      <c r="I750" s="572"/>
      <c r="J750" s="572"/>
      <c r="K750" s="572"/>
      <c r="L750" s="572"/>
      <c r="M750" s="572"/>
      <c r="N750" s="572"/>
      <c r="O750" s="572"/>
      <c r="P750" s="572"/>
      <c r="Q750" s="572"/>
      <c r="R750" s="572"/>
      <c r="S750" s="572"/>
      <c r="T750" s="572"/>
      <c r="U750" s="572"/>
      <c r="V750" s="572"/>
      <c r="W750" s="572"/>
      <c r="X750" s="572"/>
      <c r="Y750" s="572"/>
    </row>
    <row r="751" spans="1:25" ht="12.75" customHeight="1">
      <c r="A751" s="571"/>
      <c r="B751" s="572"/>
      <c r="C751" s="572"/>
      <c r="D751" s="572"/>
      <c r="E751" s="572"/>
      <c r="F751" s="572"/>
      <c r="G751" s="572"/>
      <c r="H751" s="572"/>
      <c r="I751" s="572"/>
      <c r="J751" s="572"/>
      <c r="K751" s="572"/>
      <c r="L751" s="572"/>
      <c r="M751" s="572"/>
      <c r="N751" s="572"/>
      <c r="O751" s="572"/>
      <c r="P751" s="572"/>
      <c r="Q751" s="572"/>
      <c r="R751" s="572"/>
      <c r="S751" s="572"/>
      <c r="T751" s="572"/>
      <c r="U751" s="572"/>
      <c r="V751" s="572"/>
      <c r="W751" s="572"/>
      <c r="X751" s="572"/>
      <c r="Y751" s="572"/>
    </row>
    <row r="752" spans="1:25" ht="12.75" customHeight="1">
      <c r="A752" s="571"/>
      <c r="B752" s="572"/>
      <c r="C752" s="572"/>
      <c r="D752" s="572"/>
      <c r="E752" s="572"/>
      <c r="F752" s="572"/>
      <c r="G752" s="572"/>
      <c r="H752" s="572"/>
      <c r="I752" s="572"/>
      <c r="J752" s="572"/>
      <c r="K752" s="572"/>
      <c r="L752" s="572"/>
      <c r="M752" s="572"/>
      <c r="N752" s="572"/>
      <c r="O752" s="572"/>
      <c r="P752" s="572"/>
      <c r="Q752" s="572"/>
      <c r="R752" s="572"/>
      <c r="S752" s="572"/>
      <c r="T752" s="572"/>
      <c r="U752" s="572"/>
      <c r="V752" s="572"/>
      <c r="W752" s="572"/>
      <c r="X752" s="572"/>
      <c r="Y752" s="572"/>
    </row>
    <row r="753" spans="1:25" ht="12.75" customHeight="1">
      <c r="A753" s="571"/>
      <c r="B753" s="572"/>
      <c r="C753" s="572"/>
      <c r="D753" s="572"/>
      <c r="E753" s="572"/>
      <c r="F753" s="572"/>
      <c r="G753" s="572"/>
      <c r="H753" s="572"/>
      <c r="I753" s="572"/>
      <c r="J753" s="572"/>
      <c r="K753" s="572"/>
      <c r="L753" s="572"/>
      <c r="M753" s="572"/>
      <c r="N753" s="572"/>
      <c r="O753" s="572"/>
      <c r="P753" s="572"/>
      <c r="Q753" s="572"/>
      <c r="R753" s="572"/>
      <c r="S753" s="572"/>
      <c r="T753" s="572"/>
      <c r="U753" s="572"/>
      <c r="V753" s="572"/>
      <c r="W753" s="572"/>
      <c r="X753" s="572"/>
      <c r="Y753" s="572"/>
    </row>
    <row r="754" spans="1:25" ht="12.75" customHeight="1">
      <c r="A754" s="571"/>
      <c r="B754" s="572"/>
      <c r="C754" s="572"/>
      <c r="D754" s="572"/>
      <c r="E754" s="572"/>
      <c r="F754" s="572"/>
      <c r="G754" s="572"/>
      <c r="H754" s="572"/>
      <c r="I754" s="572"/>
      <c r="J754" s="572"/>
      <c r="K754" s="572"/>
      <c r="L754" s="572"/>
      <c r="M754" s="572"/>
      <c r="N754" s="572"/>
      <c r="O754" s="572"/>
      <c r="P754" s="572"/>
      <c r="Q754" s="572"/>
      <c r="R754" s="572"/>
      <c r="S754" s="572"/>
      <c r="T754" s="572"/>
      <c r="U754" s="572"/>
      <c r="V754" s="572"/>
      <c r="W754" s="572"/>
      <c r="X754" s="572"/>
      <c r="Y754" s="572"/>
    </row>
    <row r="755" spans="1:25" ht="12.75" customHeight="1">
      <c r="A755" s="571"/>
      <c r="B755" s="572"/>
      <c r="C755" s="572"/>
      <c r="D755" s="572"/>
      <c r="E755" s="572"/>
      <c r="F755" s="572"/>
      <c r="G755" s="572"/>
      <c r="H755" s="572"/>
      <c r="I755" s="572"/>
      <c r="J755" s="572"/>
      <c r="K755" s="572"/>
      <c r="L755" s="572"/>
      <c r="M755" s="572"/>
      <c r="N755" s="572"/>
      <c r="O755" s="572"/>
      <c r="P755" s="572"/>
      <c r="Q755" s="572"/>
      <c r="R755" s="572"/>
      <c r="S755" s="572"/>
      <c r="T755" s="572"/>
      <c r="U755" s="572"/>
      <c r="V755" s="572"/>
      <c r="W755" s="572"/>
      <c r="X755" s="572"/>
      <c r="Y755" s="572"/>
    </row>
    <row r="756" spans="1:25" ht="12.75" customHeight="1">
      <c r="A756" s="571"/>
      <c r="B756" s="572"/>
      <c r="C756" s="572"/>
      <c r="D756" s="572"/>
      <c r="E756" s="572"/>
      <c r="F756" s="572"/>
      <c r="G756" s="572"/>
      <c r="H756" s="572"/>
      <c r="I756" s="572"/>
      <c r="J756" s="572"/>
      <c r="K756" s="572"/>
      <c r="L756" s="572"/>
      <c r="M756" s="572"/>
      <c r="N756" s="572"/>
      <c r="O756" s="572"/>
      <c r="P756" s="572"/>
      <c r="Q756" s="572"/>
      <c r="R756" s="572"/>
      <c r="S756" s="572"/>
      <c r="T756" s="572"/>
      <c r="U756" s="572"/>
      <c r="V756" s="572"/>
      <c r="W756" s="572"/>
      <c r="X756" s="572"/>
      <c r="Y756" s="572"/>
    </row>
    <row r="757" spans="1:25" ht="12.75" customHeight="1">
      <c r="A757" s="571"/>
      <c r="B757" s="572"/>
      <c r="C757" s="572"/>
      <c r="D757" s="572"/>
      <c r="E757" s="572"/>
      <c r="F757" s="572"/>
      <c r="G757" s="572"/>
      <c r="H757" s="572"/>
      <c r="I757" s="572"/>
      <c r="J757" s="572"/>
      <c r="K757" s="572"/>
      <c r="L757" s="572"/>
      <c r="M757" s="572"/>
      <c r="N757" s="572"/>
      <c r="O757" s="572"/>
      <c r="P757" s="572"/>
      <c r="Q757" s="572"/>
      <c r="R757" s="572"/>
      <c r="S757" s="572"/>
      <c r="T757" s="572"/>
      <c r="U757" s="572"/>
      <c r="V757" s="572"/>
      <c r="W757" s="572"/>
      <c r="X757" s="572"/>
      <c r="Y757" s="572"/>
    </row>
    <row r="758" spans="1:25" ht="12.75" customHeight="1">
      <c r="A758" s="571"/>
      <c r="B758" s="572"/>
      <c r="C758" s="572"/>
      <c r="D758" s="572"/>
      <c r="E758" s="572"/>
      <c r="F758" s="572"/>
      <c r="G758" s="572"/>
      <c r="H758" s="572"/>
      <c r="I758" s="572"/>
      <c r="J758" s="572"/>
      <c r="K758" s="572"/>
      <c r="L758" s="572"/>
      <c r="M758" s="572"/>
      <c r="N758" s="572"/>
      <c r="O758" s="572"/>
      <c r="P758" s="572"/>
      <c r="Q758" s="572"/>
      <c r="R758" s="572"/>
      <c r="S758" s="572"/>
      <c r="T758" s="572"/>
      <c r="U758" s="572"/>
      <c r="V758" s="572"/>
      <c r="W758" s="572"/>
      <c r="X758" s="572"/>
      <c r="Y758" s="572"/>
    </row>
    <row r="759" spans="1:25" ht="12.75" customHeight="1">
      <c r="A759" s="571"/>
      <c r="B759" s="572"/>
      <c r="C759" s="572"/>
      <c r="D759" s="572"/>
      <c r="E759" s="572"/>
      <c r="F759" s="572"/>
      <c r="G759" s="572"/>
      <c r="H759" s="572"/>
      <c r="I759" s="572"/>
      <c r="J759" s="572"/>
      <c r="K759" s="572"/>
      <c r="L759" s="572"/>
      <c r="M759" s="572"/>
      <c r="N759" s="572"/>
      <c r="O759" s="572"/>
      <c r="P759" s="572"/>
      <c r="Q759" s="572"/>
      <c r="R759" s="572"/>
      <c r="S759" s="572"/>
      <c r="T759" s="572"/>
      <c r="U759" s="572"/>
      <c r="V759" s="572"/>
      <c r="W759" s="572"/>
      <c r="X759" s="572"/>
      <c r="Y759" s="572"/>
    </row>
    <row r="760" spans="1:25" ht="12.75" customHeight="1">
      <c r="A760" s="571"/>
      <c r="B760" s="572"/>
      <c r="C760" s="572"/>
      <c r="D760" s="572"/>
      <c r="E760" s="572"/>
      <c r="F760" s="572"/>
      <c r="G760" s="572"/>
      <c r="H760" s="572"/>
      <c r="I760" s="572"/>
      <c r="J760" s="572"/>
      <c r="K760" s="572"/>
      <c r="L760" s="572"/>
      <c r="M760" s="572"/>
      <c r="N760" s="572"/>
      <c r="O760" s="572"/>
      <c r="P760" s="572"/>
      <c r="Q760" s="572"/>
      <c r="R760" s="572"/>
      <c r="S760" s="572"/>
      <c r="T760" s="572"/>
      <c r="U760" s="572"/>
      <c r="V760" s="572"/>
      <c r="W760" s="572"/>
      <c r="X760" s="572"/>
      <c r="Y760" s="572"/>
    </row>
    <row r="761" spans="1:25" ht="12.75" customHeight="1">
      <c r="A761" s="571"/>
      <c r="B761" s="572"/>
      <c r="C761" s="572"/>
      <c r="D761" s="572"/>
      <c r="E761" s="572"/>
      <c r="F761" s="572"/>
      <c r="G761" s="572"/>
      <c r="H761" s="572"/>
      <c r="I761" s="572"/>
      <c r="J761" s="572"/>
      <c r="K761" s="572"/>
      <c r="L761" s="572"/>
      <c r="M761" s="572"/>
      <c r="N761" s="572"/>
      <c r="O761" s="572"/>
      <c r="P761" s="572"/>
      <c r="Q761" s="572"/>
      <c r="R761" s="572"/>
      <c r="S761" s="572"/>
      <c r="T761" s="572"/>
      <c r="U761" s="572"/>
      <c r="V761" s="572"/>
      <c r="W761" s="572"/>
      <c r="X761" s="572"/>
      <c r="Y761" s="572"/>
    </row>
    <row r="762" spans="1:25" ht="12.75" customHeight="1">
      <c r="A762" s="571"/>
      <c r="B762" s="572"/>
      <c r="C762" s="572"/>
      <c r="D762" s="572"/>
      <c r="E762" s="572"/>
      <c r="F762" s="572"/>
      <c r="G762" s="572"/>
      <c r="H762" s="572"/>
      <c r="I762" s="572"/>
      <c r="J762" s="572"/>
      <c r="K762" s="572"/>
      <c r="L762" s="572"/>
      <c r="M762" s="572"/>
      <c r="N762" s="572"/>
      <c r="O762" s="572"/>
      <c r="P762" s="572"/>
      <c r="Q762" s="572"/>
      <c r="R762" s="572"/>
      <c r="S762" s="572"/>
      <c r="T762" s="572"/>
      <c r="U762" s="572"/>
      <c r="V762" s="572"/>
      <c r="W762" s="572"/>
      <c r="X762" s="572"/>
      <c r="Y762" s="572"/>
    </row>
    <row r="763" spans="1:25" ht="12.75" customHeight="1">
      <c r="A763" s="571"/>
      <c r="B763" s="572"/>
      <c r="C763" s="572"/>
      <c r="D763" s="572"/>
      <c r="E763" s="572"/>
      <c r="F763" s="572"/>
      <c r="G763" s="572"/>
      <c r="H763" s="572"/>
      <c r="I763" s="572"/>
      <c r="J763" s="572"/>
      <c r="K763" s="572"/>
      <c r="L763" s="572"/>
      <c r="M763" s="572"/>
      <c r="N763" s="572"/>
      <c r="O763" s="572"/>
      <c r="P763" s="572"/>
      <c r="Q763" s="572"/>
      <c r="R763" s="572"/>
      <c r="S763" s="572"/>
      <c r="T763" s="572"/>
      <c r="U763" s="572"/>
      <c r="V763" s="572"/>
      <c r="W763" s="572"/>
      <c r="X763" s="572"/>
      <c r="Y763" s="572"/>
    </row>
    <row r="764" spans="1:25" ht="12.75" customHeight="1">
      <c r="A764" s="571"/>
      <c r="B764" s="572"/>
      <c r="C764" s="572"/>
      <c r="D764" s="572"/>
      <c r="E764" s="572"/>
      <c r="F764" s="572"/>
      <c r="G764" s="572"/>
      <c r="H764" s="572"/>
      <c r="I764" s="572"/>
      <c r="J764" s="572"/>
      <c r="K764" s="572"/>
      <c r="L764" s="572"/>
      <c r="M764" s="572"/>
      <c r="N764" s="572"/>
      <c r="O764" s="572"/>
      <c r="P764" s="572"/>
      <c r="Q764" s="572"/>
      <c r="R764" s="572"/>
      <c r="S764" s="572"/>
      <c r="T764" s="572"/>
      <c r="U764" s="572"/>
      <c r="V764" s="572"/>
      <c r="W764" s="572"/>
      <c r="X764" s="572"/>
      <c r="Y764" s="572"/>
    </row>
    <row r="765" spans="1:25" ht="12.75" customHeight="1">
      <c r="A765" s="571"/>
      <c r="B765" s="572"/>
      <c r="C765" s="572"/>
      <c r="D765" s="572"/>
      <c r="E765" s="572"/>
      <c r="F765" s="572"/>
      <c r="G765" s="572"/>
      <c r="H765" s="572"/>
      <c r="I765" s="572"/>
      <c r="J765" s="572"/>
      <c r="K765" s="572"/>
      <c r="L765" s="572"/>
      <c r="M765" s="572"/>
      <c r="N765" s="572"/>
      <c r="O765" s="572"/>
      <c r="P765" s="572"/>
      <c r="Q765" s="572"/>
      <c r="R765" s="572"/>
      <c r="S765" s="572"/>
      <c r="T765" s="572"/>
      <c r="U765" s="572"/>
      <c r="V765" s="572"/>
      <c r="W765" s="572"/>
      <c r="X765" s="572"/>
      <c r="Y765" s="572"/>
    </row>
    <row r="766" spans="1:25" ht="12.75" customHeight="1">
      <c r="A766" s="571"/>
      <c r="B766" s="572"/>
      <c r="C766" s="572"/>
      <c r="D766" s="572"/>
      <c r="E766" s="572"/>
      <c r="F766" s="572"/>
      <c r="G766" s="572"/>
      <c r="H766" s="572"/>
      <c r="I766" s="572"/>
      <c r="J766" s="572"/>
      <c r="K766" s="572"/>
      <c r="L766" s="572"/>
      <c r="M766" s="572"/>
      <c r="N766" s="572"/>
      <c r="O766" s="572"/>
      <c r="P766" s="572"/>
      <c r="Q766" s="572"/>
      <c r="R766" s="572"/>
      <c r="S766" s="572"/>
      <c r="T766" s="572"/>
      <c r="U766" s="572"/>
      <c r="V766" s="572"/>
      <c r="W766" s="572"/>
      <c r="X766" s="572"/>
      <c r="Y766" s="572"/>
    </row>
    <row r="767" spans="1:25" ht="12.75" customHeight="1">
      <c r="A767" s="571"/>
      <c r="B767" s="572"/>
      <c r="C767" s="572"/>
      <c r="D767" s="572"/>
      <c r="E767" s="572"/>
      <c r="F767" s="572"/>
      <c r="G767" s="572"/>
      <c r="H767" s="572"/>
      <c r="I767" s="572"/>
      <c r="J767" s="572"/>
      <c r="K767" s="572"/>
      <c r="L767" s="572"/>
      <c r="M767" s="572"/>
      <c r="N767" s="572"/>
      <c r="O767" s="572"/>
      <c r="P767" s="572"/>
      <c r="Q767" s="572"/>
      <c r="R767" s="572"/>
      <c r="S767" s="572"/>
      <c r="T767" s="572"/>
      <c r="U767" s="572"/>
      <c r="V767" s="572"/>
      <c r="W767" s="572"/>
      <c r="X767" s="572"/>
      <c r="Y767" s="572"/>
    </row>
    <row r="768" spans="1:25" ht="12.75" customHeight="1">
      <c r="A768" s="571"/>
      <c r="B768" s="572"/>
      <c r="C768" s="572"/>
      <c r="D768" s="572"/>
      <c r="E768" s="572"/>
      <c r="F768" s="572"/>
      <c r="G768" s="572"/>
      <c r="H768" s="572"/>
      <c r="I768" s="572"/>
      <c r="J768" s="572"/>
      <c r="K768" s="572"/>
      <c r="L768" s="572"/>
      <c r="M768" s="572"/>
      <c r="N768" s="572"/>
      <c r="O768" s="572"/>
      <c r="P768" s="572"/>
      <c r="Q768" s="572"/>
      <c r="R768" s="572"/>
      <c r="S768" s="572"/>
      <c r="T768" s="572"/>
      <c r="U768" s="572"/>
      <c r="V768" s="572"/>
      <c r="W768" s="572"/>
      <c r="X768" s="572"/>
      <c r="Y768" s="572"/>
    </row>
    <row r="769" spans="1:25" ht="12.75" customHeight="1">
      <c r="A769" s="571"/>
      <c r="B769" s="572"/>
      <c r="C769" s="572"/>
      <c r="D769" s="572"/>
      <c r="E769" s="572"/>
      <c r="F769" s="572"/>
      <c r="G769" s="572"/>
      <c r="H769" s="572"/>
      <c r="I769" s="572"/>
      <c r="J769" s="572"/>
      <c r="K769" s="572"/>
      <c r="L769" s="572"/>
      <c r="M769" s="572"/>
      <c r="N769" s="572"/>
      <c r="O769" s="572"/>
      <c r="P769" s="572"/>
      <c r="Q769" s="572"/>
      <c r="R769" s="572"/>
      <c r="S769" s="572"/>
      <c r="T769" s="572"/>
      <c r="U769" s="572"/>
      <c r="V769" s="572"/>
      <c r="W769" s="572"/>
      <c r="X769" s="572"/>
      <c r="Y769" s="572"/>
    </row>
    <row r="770" spans="1:25" ht="12.75" customHeight="1">
      <c r="A770" s="571"/>
      <c r="B770" s="572"/>
      <c r="C770" s="572"/>
      <c r="D770" s="572"/>
      <c r="E770" s="572"/>
      <c r="F770" s="572"/>
      <c r="G770" s="572"/>
      <c r="H770" s="572"/>
      <c r="I770" s="572"/>
      <c r="J770" s="572"/>
      <c r="K770" s="572"/>
      <c r="L770" s="572"/>
      <c r="M770" s="572"/>
      <c r="N770" s="572"/>
      <c r="O770" s="572"/>
      <c r="P770" s="572"/>
      <c r="Q770" s="572"/>
      <c r="R770" s="572"/>
      <c r="S770" s="572"/>
      <c r="T770" s="572"/>
      <c r="U770" s="572"/>
      <c r="V770" s="572"/>
      <c r="W770" s="572"/>
      <c r="X770" s="572"/>
      <c r="Y770" s="572"/>
    </row>
    <row r="771" spans="1:25" ht="12.75" customHeight="1">
      <c r="A771" s="571"/>
      <c r="B771" s="572"/>
      <c r="C771" s="572"/>
      <c r="D771" s="572"/>
      <c r="E771" s="572"/>
      <c r="F771" s="572"/>
      <c r="G771" s="572"/>
      <c r="H771" s="572"/>
      <c r="I771" s="572"/>
      <c r="J771" s="572"/>
      <c r="K771" s="572"/>
      <c r="L771" s="572"/>
      <c r="M771" s="572"/>
      <c r="N771" s="572"/>
      <c r="O771" s="572"/>
      <c r="P771" s="572"/>
      <c r="Q771" s="572"/>
      <c r="R771" s="572"/>
      <c r="S771" s="572"/>
      <c r="T771" s="572"/>
      <c r="U771" s="572"/>
      <c r="V771" s="572"/>
      <c r="W771" s="572"/>
      <c r="X771" s="572"/>
      <c r="Y771" s="572"/>
    </row>
    <row r="772" spans="1:25" ht="12.75" customHeight="1">
      <c r="A772" s="571"/>
      <c r="B772" s="572"/>
      <c r="C772" s="572"/>
      <c r="D772" s="572"/>
      <c r="E772" s="572"/>
      <c r="F772" s="572"/>
      <c r="G772" s="572"/>
      <c r="H772" s="572"/>
      <c r="I772" s="572"/>
      <c r="J772" s="572"/>
      <c r="K772" s="572"/>
      <c r="L772" s="572"/>
      <c r="M772" s="572"/>
      <c r="N772" s="572"/>
      <c r="O772" s="572"/>
      <c r="P772" s="572"/>
      <c r="Q772" s="572"/>
      <c r="R772" s="572"/>
      <c r="S772" s="572"/>
      <c r="T772" s="572"/>
      <c r="U772" s="572"/>
      <c r="V772" s="572"/>
      <c r="W772" s="572"/>
      <c r="X772" s="572"/>
      <c r="Y772" s="572"/>
    </row>
    <row r="773" spans="1:25" ht="12.75" customHeight="1">
      <c r="A773" s="571"/>
      <c r="B773" s="572"/>
      <c r="C773" s="572"/>
      <c r="D773" s="572"/>
      <c r="E773" s="572"/>
      <c r="F773" s="572"/>
      <c r="G773" s="572"/>
      <c r="H773" s="572"/>
      <c r="I773" s="572"/>
      <c r="J773" s="572"/>
      <c r="K773" s="572"/>
      <c r="L773" s="572"/>
      <c r="M773" s="572"/>
      <c r="N773" s="572"/>
      <c r="O773" s="572"/>
      <c r="P773" s="572"/>
      <c r="Q773" s="572"/>
      <c r="R773" s="572"/>
      <c r="S773" s="572"/>
      <c r="T773" s="572"/>
      <c r="U773" s="572"/>
      <c r="V773" s="572"/>
      <c r="W773" s="572"/>
      <c r="X773" s="572"/>
      <c r="Y773" s="572"/>
    </row>
    <row r="774" spans="1:25" ht="12.75" customHeight="1">
      <c r="A774" s="571"/>
      <c r="B774" s="572"/>
      <c r="C774" s="572"/>
      <c r="D774" s="572"/>
      <c r="E774" s="572"/>
      <c r="F774" s="572"/>
      <c r="G774" s="572"/>
      <c r="H774" s="572"/>
      <c r="I774" s="572"/>
      <c r="J774" s="572"/>
      <c r="K774" s="572"/>
      <c r="L774" s="572"/>
      <c r="M774" s="572"/>
      <c r="N774" s="572"/>
      <c r="O774" s="572"/>
      <c r="P774" s="572"/>
      <c r="Q774" s="572"/>
      <c r="R774" s="572"/>
      <c r="S774" s="572"/>
      <c r="T774" s="572"/>
      <c r="U774" s="572"/>
      <c r="V774" s="572"/>
      <c r="W774" s="572"/>
      <c r="X774" s="572"/>
      <c r="Y774" s="572"/>
    </row>
    <row r="775" spans="1:25" ht="12.75" customHeight="1">
      <c r="A775" s="571"/>
      <c r="B775" s="572"/>
      <c r="C775" s="572"/>
      <c r="D775" s="572"/>
      <c r="E775" s="572"/>
      <c r="F775" s="572"/>
      <c r="G775" s="572"/>
      <c r="H775" s="572"/>
      <c r="I775" s="572"/>
      <c r="J775" s="572"/>
      <c r="K775" s="572"/>
      <c r="L775" s="572"/>
      <c r="M775" s="572"/>
      <c r="N775" s="572"/>
      <c r="O775" s="572"/>
      <c r="P775" s="572"/>
      <c r="Q775" s="572"/>
      <c r="R775" s="572"/>
      <c r="S775" s="572"/>
      <c r="T775" s="572"/>
      <c r="U775" s="572"/>
      <c r="V775" s="572"/>
      <c r="W775" s="572"/>
      <c r="X775" s="572"/>
      <c r="Y775" s="572"/>
    </row>
    <row r="776" spans="1:25" ht="12.75" customHeight="1">
      <c r="A776" s="571"/>
      <c r="B776" s="572"/>
      <c r="C776" s="572"/>
      <c r="D776" s="572"/>
      <c r="E776" s="572"/>
      <c r="F776" s="572"/>
      <c r="G776" s="572"/>
      <c r="H776" s="572"/>
      <c r="I776" s="572"/>
      <c r="J776" s="572"/>
      <c r="K776" s="572"/>
      <c r="L776" s="572"/>
      <c r="M776" s="572"/>
      <c r="N776" s="572"/>
      <c r="O776" s="572"/>
      <c r="P776" s="572"/>
      <c r="Q776" s="572"/>
      <c r="R776" s="572"/>
      <c r="S776" s="572"/>
      <c r="T776" s="572"/>
      <c r="U776" s="572"/>
      <c r="V776" s="572"/>
      <c r="W776" s="572"/>
      <c r="X776" s="572"/>
      <c r="Y776" s="572"/>
    </row>
    <row r="777" spans="1:25" ht="12.75" customHeight="1">
      <c r="A777" s="571"/>
      <c r="B777" s="572"/>
      <c r="C777" s="572"/>
      <c r="D777" s="572"/>
      <c r="E777" s="572"/>
      <c r="F777" s="572"/>
      <c r="G777" s="572"/>
      <c r="H777" s="572"/>
      <c r="I777" s="572"/>
      <c r="J777" s="572"/>
      <c r="K777" s="572"/>
      <c r="L777" s="572"/>
      <c r="M777" s="572"/>
      <c r="N777" s="572"/>
      <c r="O777" s="572"/>
      <c r="P777" s="572"/>
      <c r="Q777" s="572"/>
      <c r="R777" s="572"/>
      <c r="S777" s="572"/>
      <c r="T777" s="572"/>
      <c r="U777" s="572"/>
      <c r="V777" s="572"/>
      <c r="W777" s="572"/>
      <c r="X777" s="572"/>
      <c r="Y777" s="572"/>
    </row>
    <row r="778" spans="1:25" ht="12.75" customHeight="1">
      <c r="A778" s="571"/>
      <c r="B778" s="572"/>
      <c r="C778" s="572"/>
      <c r="D778" s="572"/>
      <c r="E778" s="572"/>
      <c r="F778" s="572"/>
      <c r="G778" s="572"/>
      <c r="H778" s="572"/>
      <c r="I778" s="572"/>
      <c r="J778" s="572"/>
      <c r="K778" s="572"/>
      <c r="L778" s="572"/>
      <c r="M778" s="572"/>
      <c r="N778" s="572"/>
      <c r="O778" s="572"/>
      <c r="P778" s="572"/>
      <c r="Q778" s="572"/>
      <c r="R778" s="572"/>
      <c r="S778" s="572"/>
      <c r="T778" s="572"/>
      <c r="U778" s="572"/>
      <c r="V778" s="572"/>
      <c r="W778" s="572"/>
      <c r="X778" s="572"/>
      <c r="Y778" s="572"/>
    </row>
    <row r="779" spans="1:25" ht="12.75" customHeight="1">
      <c r="A779" s="571"/>
      <c r="B779" s="572"/>
      <c r="C779" s="572"/>
      <c r="D779" s="572"/>
      <c r="E779" s="572"/>
      <c r="F779" s="572"/>
      <c r="G779" s="572"/>
      <c r="H779" s="572"/>
      <c r="I779" s="572"/>
      <c r="J779" s="572"/>
      <c r="K779" s="572"/>
      <c r="L779" s="572"/>
      <c r="M779" s="572"/>
      <c r="N779" s="572"/>
      <c r="O779" s="572"/>
      <c r="P779" s="572"/>
      <c r="Q779" s="572"/>
      <c r="R779" s="572"/>
      <c r="S779" s="572"/>
      <c r="T779" s="572"/>
      <c r="U779" s="572"/>
      <c r="V779" s="572"/>
      <c r="W779" s="572"/>
      <c r="X779" s="572"/>
      <c r="Y779" s="572"/>
    </row>
    <row r="780" spans="1:25" ht="12.75" customHeight="1">
      <c r="A780" s="571"/>
      <c r="B780" s="572"/>
      <c r="C780" s="572"/>
      <c r="D780" s="572"/>
      <c r="E780" s="572"/>
      <c r="F780" s="572"/>
      <c r="G780" s="572"/>
      <c r="H780" s="572"/>
      <c r="I780" s="572"/>
      <c r="J780" s="572"/>
      <c r="K780" s="572"/>
      <c r="L780" s="572"/>
      <c r="M780" s="572"/>
      <c r="N780" s="572"/>
      <c r="O780" s="572"/>
      <c r="P780" s="572"/>
      <c r="Q780" s="572"/>
      <c r="R780" s="572"/>
      <c r="S780" s="572"/>
      <c r="T780" s="572"/>
      <c r="U780" s="572"/>
      <c r="V780" s="572"/>
      <c r="W780" s="572"/>
      <c r="X780" s="572"/>
      <c r="Y780" s="572"/>
    </row>
    <row r="781" spans="1:25" ht="12.75" customHeight="1">
      <c r="A781" s="571"/>
      <c r="B781" s="572"/>
      <c r="C781" s="572"/>
      <c r="D781" s="572"/>
      <c r="E781" s="572"/>
      <c r="F781" s="572"/>
      <c r="G781" s="572"/>
      <c r="H781" s="572"/>
      <c r="I781" s="572"/>
      <c r="J781" s="572"/>
      <c r="K781" s="572"/>
      <c r="L781" s="572"/>
      <c r="M781" s="572"/>
      <c r="N781" s="572"/>
      <c r="O781" s="572"/>
      <c r="P781" s="572"/>
      <c r="Q781" s="572"/>
      <c r="R781" s="572"/>
      <c r="S781" s="572"/>
      <c r="T781" s="572"/>
      <c r="U781" s="572"/>
      <c r="V781" s="572"/>
      <c r="W781" s="572"/>
      <c r="X781" s="572"/>
      <c r="Y781" s="572"/>
    </row>
    <row r="782" spans="1:25" ht="12.75" customHeight="1">
      <c r="A782" s="571"/>
      <c r="B782" s="572"/>
      <c r="C782" s="572"/>
      <c r="D782" s="572"/>
      <c r="E782" s="572"/>
      <c r="F782" s="572"/>
      <c r="G782" s="572"/>
      <c r="H782" s="572"/>
      <c r="I782" s="572"/>
      <c r="J782" s="572"/>
      <c r="K782" s="572"/>
      <c r="L782" s="572"/>
      <c r="M782" s="572"/>
      <c r="N782" s="572"/>
      <c r="O782" s="572"/>
      <c r="P782" s="572"/>
      <c r="Q782" s="572"/>
      <c r="R782" s="572"/>
      <c r="S782" s="572"/>
      <c r="T782" s="572"/>
      <c r="U782" s="572"/>
      <c r="V782" s="572"/>
      <c r="W782" s="572"/>
      <c r="X782" s="572"/>
      <c r="Y782" s="572"/>
    </row>
    <row r="783" spans="1:25" ht="12.75" customHeight="1">
      <c r="A783" s="571"/>
      <c r="B783" s="572"/>
      <c r="C783" s="572"/>
      <c r="D783" s="572"/>
      <c r="E783" s="572"/>
      <c r="F783" s="572"/>
      <c r="G783" s="572"/>
      <c r="H783" s="572"/>
      <c r="I783" s="572"/>
      <c r="J783" s="572"/>
      <c r="K783" s="572"/>
      <c r="L783" s="572"/>
      <c r="M783" s="572"/>
      <c r="N783" s="572"/>
      <c r="O783" s="572"/>
      <c r="P783" s="572"/>
      <c r="Q783" s="572"/>
      <c r="R783" s="572"/>
      <c r="S783" s="572"/>
      <c r="T783" s="572"/>
      <c r="U783" s="572"/>
      <c r="V783" s="572"/>
      <c r="W783" s="572"/>
      <c r="X783" s="572"/>
      <c r="Y783" s="572"/>
    </row>
    <row r="784" spans="1:25" ht="12.75" customHeight="1">
      <c r="A784" s="571"/>
      <c r="B784" s="572"/>
      <c r="C784" s="572"/>
      <c r="D784" s="572"/>
      <c r="E784" s="572"/>
      <c r="F784" s="572"/>
      <c r="G784" s="572"/>
      <c r="H784" s="572"/>
      <c r="I784" s="572"/>
      <c r="J784" s="572"/>
      <c r="K784" s="572"/>
      <c r="L784" s="572"/>
      <c r="M784" s="572"/>
      <c r="N784" s="572"/>
      <c r="O784" s="572"/>
      <c r="P784" s="572"/>
      <c r="Q784" s="572"/>
      <c r="R784" s="572"/>
      <c r="S784" s="572"/>
      <c r="T784" s="572"/>
      <c r="U784" s="572"/>
      <c r="V784" s="572"/>
      <c r="W784" s="572"/>
      <c r="X784" s="572"/>
      <c r="Y784" s="572"/>
    </row>
    <row r="785" spans="1:25" ht="12.75" customHeight="1">
      <c r="A785" s="571"/>
      <c r="B785" s="572"/>
      <c r="C785" s="572"/>
      <c r="D785" s="572"/>
      <c r="E785" s="572"/>
      <c r="F785" s="572"/>
      <c r="G785" s="572"/>
      <c r="H785" s="572"/>
      <c r="I785" s="572"/>
      <c r="J785" s="572"/>
      <c r="K785" s="572"/>
      <c r="L785" s="572"/>
      <c r="M785" s="572"/>
      <c r="N785" s="572"/>
      <c r="O785" s="572"/>
      <c r="P785" s="572"/>
      <c r="Q785" s="572"/>
      <c r="R785" s="572"/>
      <c r="S785" s="572"/>
      <c r="T785" s="572"/>
      <c r="U785" s="572"/>
      <c r="V785" s="572"/>
      <c r="W785" s="572"/>
      <c r="X785" s="572"/>
      <c r="Y785" s="572"/>
    </row>
    <row r="786" spans="1:25" ht="12.75" customHeight="1">
      <c r="A786" s="571"/>
      <c r="B786" s="572"/>
      <c r="C786" s="572"/>
      <c r="D786" s="572"/>
      <c r="E786" s="572"/>
      <c r="F786" s="572"/>
      <c r="G786" s="572"/>
      <c r="H786" s="572"/>
      <c r="I786" s="572"/>
      <c r="J786" s="572"/>
      <c r="K786" s="572"/>
      <c r="L786" s="572"/>
      <c r="M786" s="572"/>
      <c r="N786" s="572"/>
      <c r="O786" s="572"/>
      <c r="P786" s="572"/>
      <c r="Q786" s="572"/>
      <c r="R786" s="572"/>
      <c r="S786" s="572"/>
      <c r="T786" s="572"/>
      <c r="U786" s="572"/>
      <c r="V786" s="572"/>
      <c r="W786" s="572"/>
      <c r="X786" s="572"/>
      <c r="Y786" s="572"/>
    </row>
    <row r="787" spans="1:25" ht="12.75" customHeight="1">
      <c r="A787" s="571"/>
      <c r="B787" s="572"/>
      <c r="C787" s="572"/>
      <c r="D787" s="572"/>
      <c r="E787" s="572"/>
      <c r="F787" s="572"/>
      <c r="G787" s="572"/>
      <c r="H787" s="572"/>
      <c r="I787" s="572"/>
      <c r="J787" s="572"/>
      <c r="K787" s="572"/>
      <c r="L787" s="572"/>
      <c r="M787" s="572"/>
      <c r="N787" s="572"/>
      <c r="O787" s="572"/>
      <c r="P787" s="572"/>
      <c r="Q787" s="572"/>
      <c r="R787" s="572"/>
      <c r="S787" s="572"/>
      <c r="T787" s="572"/>
      <c r="U787" s="572"/>
      <c r="V787" s="572"/>
      <c r="W787" s="572"/>
      <c r="X787" s="572"/>
      <c r="Y787" s="572"/>
    </row>
    <row r="788" spans="1:25" ht="12.75" customHeight="1">
      <c r="A788" s="571"/>
      <c r="B788" s="572"/>
      <c r="C788" s="572"/>
      <c r="D788" s="572"/>
      <c r="E788" s="572"/>
      <c r="F788" s="572"/>
      <c r="G788" s="572"/>
      <c r="H788" s="572"/>
      <c r="I788" s="572"/>
      <c r="J788" s="572"/>
      <c r="K788" s="572"/>
      <c r="L788" s="572"/>
      <c r="M788" s="572"/>
      <c r="N788" s="572"/>
      <c r="O788" s="572"/>
      <c r="P788" s="572"/>
      <c r="Q788" s="572"/>
      <c r="R788" s="572"/>
      <c r="S788" s="572"/>
      <c r="T788" s="572"/>
      <c r="U788" s="572"/>
      <c r="V788" s="572"/>
      <c r="W788" s="572"/>
      <c r="X788" s="572"/>
      <c r="Y788" s="572"/>
    </row>
    <row r="789" spans="1:25" ht="12.75" customHeight="1">
      <c r="A789" s="571"/>
      <c r="B789" s="572"/>
      <c r="C789" s="572"/>
      <c r="D789" s="572"/>
      <c r="E789" s="572"/>
      <c r="F789" s="572"/>
      <c r="G789" s="572"/>
      <c r="H789" s="572"/>
      <c r="I789" s="572"/>
      <c r="J789" s="572"/>
      <c r="K789" s="572"/>
      <c r="L789" s="572"/>
      <c r="M789" s="572"/>
      <c r="N789" s="572"/>
      <c r="O789" s="572"/>
      <c r="P789" s="572"/>
      <c r="Q789" s="572"/>
      <c r="R789" s="572"/>
      <c r="S789" s="572"/>
      <c r="T789" s="572"/>
      <c r="U789" s="572"/>
      <c r="V789" s="572"/>
      <c r="W789" s="572"/>
      <c r="X789" s="572"/>
      <c r="Y789" s="572"/>
    </row>
    <row r="790" spans="1:25" ht="12.75" customHeight="1">
      <c r="A790" s="571"/>
      <c r="B790" s="572"/>
      <c r="C790" s="572"/>
      <c r="D790" s="572"/>
      <c r="E790" s="572"/>
      <c r="F790" s="572"/>
      <c r="G790" s="572"/>
      <c r="H790" s="572"/>
      <c r="I790" s="572"/>
      <c r="J790" s="572"/>
      <c r="K790" s="572"/>
      <c r="L790" s="572"/>
      <c r="M790" s="572"/>
      <c r="N790" s="572"/>
      <c r="O790" s="572"/>
      <c r="P790" s="572"/>
      <c r="Q790" s="572"/>
      <c r="R790" s="572"/>
      <c r="S790" s="572"/>
      <c r="T790" s="572"/>
      <c r="U790" s="572"/>
      <c r="V790" s="572"/>
      <c r="W790" s="572"/>
      <c r="X790" s="572"/>
      <c r="Y790" s="572"/>
    </row>
    <row r="791" spans="1:25" ht="12.75" customHeight="1">
      <c r="A791" s="571"/>
      <c r="B791" s="572"/>
      <c r="C791" s="572"/>
      <c r="D791" s="572"/>
      <c r="E791" s="572"/>
      <c r="F791" s="572"/>
      <c r="G791" s="572"/>
      <c r="H791" s="572"/>
      <c r="I791" s="572"/>
      <c r="J791" s="572"/>
      <c r="K791" s="572"/>
      <c r="L791" s="572"/>
      <c r="M791" s="572"/>
      <c r="N791" s="572"/>
      <c r="O791" s="572"/>
      <c r="P791" s="572"/>
      <c r="Q791" s="572"/>
      <c r="R791" s="572"/>
      <c r="S791" s="572"/>
      <c r="T791" s="572"/>
      <c r="U791" s="572"/>
      <c r="V791" s="572"/>
      <c r="W791" s="572"/>
      <c r="X791" s="572"/>
      <c r="Y791" s="572"/>
    </row>
    <row r="792" spans="1:25" ht="12.75" customHeight="1">
      <c r="A792" s="571"/>
      <c r="B792" s="572"/>
      <c r="C792" s="572"/>
      <c r="D792" s="572"/>
      <c r="E792" s="572"/>
      <c r="F792" s="572"/>
      <c r="G792" s="572"/>
      <c r="H792" s="572"/>
      <c r="I792" s="572"/>
      <c r="J792" s="572"/>
      <c r="K792" s="572"/>
      <c r="L792" s="572"/>
      <c r="M792" s="572"/>
      <c r="N792" s="572"/>
      <c r="O792" s="572"/>
      <c r="P792" s="572"/>
      <c r="Q792" s="572"/>
      <c r="R792" s="572"/>
      <c r="S792" s="572"/>
      <c r="T792" s="572"/>
      <c r="U792" s="572"/>
      <c r="V792" s="572"/>
      <c r="W792" s="572"/>
      <c r="X792" s="572"/>
      <c r="Y792" s="572"/>
    </row>
    <row r="793" spans="1:25" ht="12.75" customHeight="1">
      <c r="A793" s="571"/>
      <c r="B793" s="572"/>
      <c r="C793" s="572"/>
      <c r="D793" s="572"/>
      <c r="E793" s="572"/>
      <c r="F793" s="572"/>
      <c r="G793" s="572"/>
      <c r="H793" s="572"/>
      <c r="I793" s="572"/>
      <c r="J793" s="572"/>
      <c r="K793" s="572"/>
      <c r="L793" s="572"/>
      <c r="M793" s="572"/>
      <c r="N793" s="572"/>
      <c r="O793" s="572"/>
      <c r="P793" s="572"/>
      <c r="Q793" s="572"/>
      <c r="R793" s="572"/>
      <c r="S793" s="572"/>
      <c r="T793" s="572"/>
      <c r="U793" s="572"/>
      <c r="V793" s="572"/>
      <c r="W793" s="572"/>
      <c r="X793" s="572"/>
      <c r="Y793" s="572"/>
    </row>
    <row r="794" spans="1:25" ht="12.75" customHeight="1">
      <c r="A794" s="571"/>
      <c r="B794" s="572"/>
      <c r="C794" s="572"/>
      <c r="D794" s="572"/>
      <c r="E794" s="572"/>
      <c r="F794" s="572"/>
      <c r="G794" s="572"/>
      <c r="H794" s="572"/>
      <c r="I794" s="572"/>
      <c r="J794" s="572"/>
      <c r="K794" s="572"/>
      <c r="L794" s="572"/>
      <c r="M794" s="572"/>
      <c r="N794" s="572"/>
      <c r="O794" s="572"/>
      <c r="P794" s="572"/>
      <c r="Q794" s="572"/>
      <c r="R794" s="572"/>
      <c r="S794" s="572"/>
      <c r="T794" s="572"/>
      <c r="U794" s="572"/>
      <c r="V794" s="572"/>
      <c r="W794" s="572"/>
      <c r="X794" s="572"/>
      <c r="Y794" s="572"/>
    </row>
    <row r="795" spans="1:25" ht="12.75" customHeight="1">
      <c r="A795" s="571"/>
      <c r="B795" s="572"/>
      <c r="C795" s="572"/>
      <c r="D795" s="572"/>
      <c r="E795" s="572"/>
      <c r="F795" s="572"/>
      <c r="G795" s="572"/>
      <c r="H795" s="572"/>
      <c r="I795" s="572"/>
      <c r="J795" s="572"/>
      <c r="K795" s="572"/>
      <c r="L795" s="572"/>
      <c r="M795" s="572"/>
      <c r="N795" s="572"/>
      <c r="O795" s="572"/>
      <c r="P795" s="572"/>
      <c r="Q795" s="572"/>
      <c r="R795" s="572"/>
      <c r="S795" s="572"/>
      <c r="T795" s="572"/>
      <c r="U795" s="572"/>
      <c r="V795" s="572"/>
      <c r="W795" s="572"/>
      <c r="X795" s="572"/>
      <c r="Y795" s="572"/>
    </row>
    <row r="796" spans="1:25" ht="12.75" customHeight="1">
      <c r="A796" s="571"/>
      <c r="B796" s="572"/>
      <c r="C796" s="572"/>
      <c r="D796" s="572"/>
      <c r="E796" s="572"/>
      <c r="F796" s="572"/>
      <c r="G796" s="572"/>
      <c r="H796" s="572"/>
      <c r="I796" s="572"/>
      <c r="J796" s="572"/>
      <c r="K796" s="572"/>
      <c r="L796" s="572"/>
      <c r="M796" s="572"/>
      <c r="N796" s="572"/>
      <c r="O796" s="572"/>
      <c r="P796" s="572"/>
      <c r="Q796" s="572"/>
      <c r="R796" s="572"/>
      <c r="S796" s="572"/>
      <c r="T796" s="572"/>
      <c r="U796" s="572"/>
      <c r="V796" s="572"/>
      <c r="W796" s="572"/>
      <c r="X796" s="572"/>
      <c r="Y796" s="572"/>
    </row>
    <row r="797" spans="1:25" ht="12.75" customHeight="1">
      <c r="A797" s="571"/>
      <c r="B797" s="572"/>
      <c r="C797" s="572"/>
      <c r="D797" s="572"/>
      <c r="E797" s="572"/>
      <c r="F797" s="572"/>
      <c r="G797" s="572"/>
      <c r="H797" s="572"/>
      <c r="I797" s="572"/>
      <c r="J797" s="572"/>
      <c r="K797" s="572"/>
      <c r="L797" s="572"/>
      <c r="M797" s="572"/>
      <c r="N797" s="572"/>
      <c r="O797" s="572"/>
      <c r="P797" s="572"/>
      <c r="Q797" s="572"/>
      <c r="R797" s="572"/>
      <c r="S797" s="572"/>
      <c r="T797" s="572"/>
      <c r="U797" s="572"/>
      <c r="V797" s="572"/>
      <c r="W797" s="572"/>
      <c r="X797" s="572"/>
      <c r="Y797" s="572"/>
    </row>
    <row r="798" spans="1:25" ht="12.75" customHeight="1">
      <c r="A798" s="571"/>
      <c r="B798" s="572"/>
      <c r="C798" s="572"/>
      <c r="D798" s="572"/>
      <c r="E798" s="572"/>
      <c r="F798" s="572"/>
      <c r="G798" s="572"/>
      <c r="H798" s="572"/>
      <c r="I798" s="572"/>
      <c r="J798" s="572"/>
      <c r="K798" s="572"/>
      <c r="L798" s="572"/>
      <c r="M798" s="572"/>
      <c r="N798" s="572"/>
      <c r="O798" s="572"/>
      <c r="P798" s="572"/>
      <c r="Q798" s="572"/>
      <c r="R798" s="572"/>
      <c r="S798" s="572"/>
      <c r="T798" s="572"/>
      <c r="U798" s="572"/>
      <c r="V798" s="572"/>
      <c r="W798" s="572"/>
      <c r="X798" s="572"/>
      <c r="Y798" s="572"/>
    </row>
    <row r="799" spans="1:25" ht="12.75" customHeight="1">
      <c r="A799" s="571"/>
      <c r="B799" s="572"/>
      <c r="C799" s="572"/>
      <c r="D799" s="572"/>
      <c r="E799" s="572"/>
      <c r="F799" s="572"/>
      <c r="G799" s="572"/>
      <c r="H799" s="572"/>
      <c r="I799" s="572"/>
      <c r="J799" s="572"/>
      <c r="K799" s="572"/>
      <c r="L799" s="572"/>
      <c r="M799" s="572"/>
      <c r="N799" s="572"/>
      <c r="O799" s="572"/>
      <c r="P799" s="572"/>
      <c r="Q799" s="572"/>
      <c r="R799" s="572"/>
      <c r="S799" s="572"/>
      <c r="T799" s="572"/>
      <c r="U799" s="572"/>
      <c r="V799" s="572"/>
      <c r="W799" s="572"/>
      <c r="X799" s="572"/>
      <c r="Y799" s="572"/>
    </row>
    <row r="800" spans="1:25" ht="12.75" customHeight="1">
      <c r="A800" s="571"/>
      <c r="B800" s="572"/>
      <c r="C800" s="572"/>
      <c r="D800" s="572"/>
      <c r="E800" s="572"/>
      <c r="F800" s="572"/>
      <c r="G800" s="572"/>
      <c r="H800" s="572"/>
      <c r="I800" s="572"/>
      <c r="J800" s="572"/>
      <c r="K800" s="572"/>
      <c r="L800" s="572"/>
      <c r="M800" s="572"/>
      <c r="N800" s="572"/>
      <c r="O800" s="572"/>
      <c r="P800" s="572"/>
      <c r="Q800" s="572"/>
      <c r="R800" s="572"/>
      <c r="S800" s="572"/>
      <c r="T800" s="572"/>
      <c r="U800" s="572"/>
      <c r="V800" s="572"/>
      <c r="W800" s="572"/>
      <c r="X800" s="572"/>
      <c r="Y800" s="572"/>
    </row>
    <row r="801" spans="1:25" ht="12.75" customHeight="1">
      <c r="A801" s="571"/>
      <c r="B801" s="572"/>
      <c r="C801" s="572"/>
      <c r="D801" s="572"/>
      <c r="E801" s="572"/>
      <c r="F801" s="572"/>
      <c r="G801" s="572"/>
      <c r="H801" s="572"/>
      <c r="I801" s="572"/>
      <c r="J801" s="572"/>
      <c r="K801" s="572"/>
      <c r="L801" s="572"/>
      <c r="M801" s="572"/>
      <c r="N801" s="572"/>
      <c r="O801" s="572"/>
      <c r="P801" s="572"/>
      <c r="Q801" s="572"/>
      <c r="R801" s="572"/>
      <c r="S801" s="572"/>
      <c r="T801" s="572"/>
      <c r="U801" s="572"/>
      <c r="V801" s="572"/>
      <c r="W801" s="572"/>
      <c r="X801" s="572"/>
      <c r="Y801" s="572"/>
    </row>
    <row r="802" spans="1:25" ht="12.75" customHeight="1">
      <c r="A802" s="571"/>
      <c r="B802" s="572"/>
      <c r="C802" s="572"/>
      <c r="D802" s="572"/>
      <c r="E802" s="572"/>
      <c r="F802" s="572"/>
      <c r="G802" s="572"/>
      <c r="H802" s="572"/>
      <c r="I802" s="572"/>
      <c r="J802" s="572"/>
      <c r="K802" s="572"/>
      <c r="L802" s="572"/>
      <c r="M802" s="572"/>
      <c r="N802" s="572"/>
      <c r="O802" s="572"/>
      <c r="P802" s="572"/>
      <c r="Q802" s="572"/>
      <c r="R802" s="572"/>
      <c r="S802" s="572"/>
      <c r="T802" s="572"/>
      <c r="U802" s="572"/>
      <c r="V802" s="572"/>
      <c r="W802" s="572"/>
      <c r="X802" s="572"/>
      <c r="Y802" s="572"/>
    </row>
    <row r="803" spans="1:25" ht="12.75" customHeight="1">
      <c r="A803" s="571"/>
      <c r="B803" s="572"/>
      <c r="C803" s="572"/>
      <c r="D803" s="572"/>
      <c r="E803" s="572"/>
      <c r="F803" s="572"/>
      <c r="G803" s="572"/>
      <c r="H803" s="572"/>
      <c r="I803" s="572"/>
      <c r="J803" s="572"/>
      <c r="K803" s="572"/>
      <c r="L803" s="572"/>
      <c r="M803" s="572"/>
      <c r="N803" s="572"/>
      <c r="O803" s="572"/>
      <c r="P803" s="572"/>
      <c r="Q803" s="572"/>
      <c r="R803" s="572"/>
      <c r="S803" s="572"/>
      <c r="T803" s="572"/>
      <c r="U803" s="572"/>
      <c r="V803" s="572"/>
      <c r="W803" s="572"/>
      <c r="X803" s="572"/>
      <c r="Y803" s="572"/>
    </row>
    <row r="804" spans="1:25" ht="12.75" customHeight="1">
      <c r="A804" s="571"/>
      <c r="B804" s="572"/>
      <c r="C804" s="572"/>
      <c r="D804" s="572"/>
      <c r="E804" s="572"/>
      <c r="F804" s="572"/>
      <c r="G804" s="572"/>
      <c r="H804" s="572"/>
      <c r="I804" s="572"/>
      <c r="J804" s="572"/>
      <c r="K804" s="572"/>
      <c r="L804" s="572"/>
      <c r="M804" s="572"/>
      <c r="N804" s="572"/>
      <c r="O804" s="572"/>
      <c r="P804" s="572"/>
      <c r="Q804" s="572"/>
      <c r="R804" s="572"/>
      <c r="S804" s="572"/>
      <c r="T804" s="572"/>
      <c r="U804" s="572"/>
      <c r="V804" s="572"/>
      <c r="W804" s="572"/>
      <c r="X804" s="572"/>
      <c r="Y804" s="572"/>
    </row>
    <row r="805" spans="1:25" ht="12.75" customHeight="1">
      <c r="A805" s="571"/>
      <c r="B805" s="572"/>
      <c r="C805" s="572"/>
      <c r="D805" s="572"/>
      <c r="E805" s="572"/>
      <c r="F805" s="572"/>
      <c r="G805" s="572"/>
      <c r="H805" s="572"/>
      <c r="I805" s="572"/>
      <c r="J805" s="572"/>
      <c r="K805" s="572"/>
      <c r="L805" s="572"/>
      <c r="M805" s="572"/>
      <c r="N805" s="572"/>
      <c r="O805" s="572"/>
      <c r="P805" s="572"/>
      <c r="Q805" s="572"/>
      <c r="R805" s="572"/>
      <c r="S805" s="572"/>
      <c r="T805" s="572"/>
      <c r="U805" s="572"/>
      <c r="V805" s="572"/>
      <c r="W805" s="572"/>
      <c r="X805" s="572"/>
      <c r="Y805" s="572"/>
    </row>
    <row r="806" spans="1:25" ht="12.75" customHeight="1">
      <c r="A806" s="571"/>
      <c r="B806" s="572"/>
      <c r="C806" s="572"/>
      <c r="D806" s="572"/>
      <c r="E806" s="572"/>
      <c r="F806" s="572"/>
      <c r="G806" s="572"/>
      <c r="H806" s="572"/>
      <c r="I806" s="572"/>
      <c r="J806" s="572"/>
      <c r="K806" s="572"/>
      <c r="L806" s="572"/>
      <c r="M806" s="572"/>
      <c r="N806" s="572"/>
      <c r="O806" s="572"/>
      <c r="P806" s="572"/>
      <c r="Q806" s="572"/>
      <c r="R806" s="572"/>
      <c r="S806" s="572"/>
      <c r="T806" s="572"/>
      <c r="U806" s="572"/>
      <c r="V806" s="572"/>
      <c r="W806" s="572"/>
      <c r="X806" s="572"/>
      <c r="Y806" s="572"/>
    </row>
    <row r="807" spans="1:25" ht="12.75" customHeight="1">
      <c r="A807" s="571"/>
      <c r="B807" s="572"/>
      <c r="C807" s="572"/>
      <c r="D807" s="572"/>
      <c r="E807" s="572"/>
      <c r="F807" s="572"/>
      <c r="G807" s="572"/>
      <c r="H807" s="572"/>
      <c r="I807" s="572"/>
      <c r="J807" s="572"/>
      <c r="K807" s="572"/>
      <c r="L807" s="572"/>
      <c r="M807" s="572"/>
      <c r="N807" s="572"/>
      <c r="O807" s="572"/>
      <c r="P807" s="572"/>
      <c r="Q807" s="572"/>
      <c r="R807" s="572"/>
      <c r="S807" s="572"/>
      <c r="T807" s="572"/>
      <c r="U807" s="572"/>
      <c r="V807" s="572"/>
      <c r="W807" s="572"/>
      <c r="X807" s="572"/>
      <c r="Y807" s="572"/>
    </row>
    <row r="808" spans="1:25" ht="12.75" customHeight="1">
      <c r="A808" s="571"/>
      <c r="B808" s="572"/>
      <c r="C808" s="572"/>
      <c r="D808" s="572"/>
      <c r="E808" s="572"/>
      <c r="F808" s="572"/>
      <c r="G808" s="572"/>
      <c r="H808" s="572"/>
      <c r="I808" s="572"/>
      <c r="J808" s="572"/>
      <c r="K808" s="572"/>
      <c r="L808" s="572"/>
      <c r="M808" s="572"/>
      <c r="N808" s="572"/>
      <c r="O808" s="572"/>
      <c r="P808" s="572"/>
      <c r="Q808" s="572"/>
      <c r="R808" s="572"/>
      <c r="S808" s="572"/>
      <c r="T808" s="572"/>
      <c r="U808" s="572"/>
      <c r="V808" s="572"/>
      <c r="W808" s="572"/>
      <c r="X808" s="572"/>
      <c r="Y808" s="572"/>
    </row>
    <row r="809" spans="1:25" ht="12.75" customHeight="1">
      <c r="A809" s="571"/>
      <c r="B809" s="572"/>
      <c r="C809" s="572"/>
      <c r="D809" s="572"/>
      <c r="E809" s="572"/>
      <c r="F809" s="572"/>
      <c r="G809" s="572"/>
      <c r="H809" s="572"/>
      <c r="I809" s="572"/>
      <c r="J809" s="572"/>
      <c r="K809" s="572"/>
      <c r="L809" s="572"/>
      <c r="M809" s="572"/>
      <c r="N809" s="572"/>
      <c r="O809" s="572"/>
      <c r="P809" s="572"/>
      <c r="Q809" s="572"/>
      <c r="R809" s="572"/>
      <c r="S809" s="572"/>
      <c r="T809" s="572"/>
      <c r="U809" s="572"/>
      <c r="V809" s="572"/>
      <c r="W809" s="572"/>
      <c r="X809" s="572"/>
      <c r="Y809" s="572"/>
    </row>
    <row r="810" spans="1:25" ht="12.75" customHeight="1">
      <c r="A810" s="571"/>
      <c r="B810" s="572"/>
      <c r="C810" s="572"/>
      <c r="D810" s="572"/>
      <c r="E810" s="572"/>
      <c r="F810" s="572"/>
      <c r="G810" s="572"/>
      <c r="H810" s="572"/>
      <c r="I810" s="572"/>
      <c r="J810" s="572"/>
      <c r="K810" s="572"/>
      <c r="L810" s="572"/>
      <c r="M810" s="572"/>
      <c r="N810" s="572"/>
      <c r="O810" s="572"/>
      <c r="P810" s="572"/>
      <c r="Q810" s="572"/>
      <c r="R810" s="572"/>
      <c r="S810" s="572"/>
      <c r="T810" s="572"/>
      <c r="U810" s="572"/>
      <c r="V810" s="572"/>
      <c r="W810" s="572"/>
      <c r="X810" s="572"/>
      <c r="Y810" s="572"/>
    </row>
    <row r="811" spans="1:25" ht="12.75" customHeight="1">
      <c r="A811" s="571"/>
      <c r="B811" s="572"/>
      <c r="C811" s="572"/>
      <c r="D811" s="572"/>
      <c r="E811" s="572"/>
      <c r="F811" s="572"/>
      <c r="G811" s="572"/>
      <c r="H811" s="572"/>
      <c r="I811" s="572"/>
      <c r="J811" s="572"/>
      <c r="K811" s="572"/>
      <c r="L811" s="572"/>
      <c r="M811" s="572"/>
      <c r="N811" s="572"/>
      <c r="O811" s="572"/>
      <c r="P811" s="572"/>
      <c r="Q811" s="572"/>
      <c r="R811" s="572"/>
      <c r="S811" s="572"/>
      <c r="T811" s="572"/>
      <c r="U811" s="572"/>
      <c r="V811" s="572"/>
      <c r="W811" s="572"/>
      <c r="X811" s="572"/>
      <c r="Y811" s="572"/>
    </row>
    <row r="812" spans="1:25" ht="12.75" customHeight="1">
      <c r="A812" s="571"/>
      <c r="B812" s="572"/>
      <c r="C812" s="572"/>
      <c r="D812" s="572"/>
      <c r="E812" s="572"/>
      <c r="F812" s="572"/>
      <c r="G812" s="572"/>
      <c r="H812" s="572"/>
      <c r="I812" s="572"/>
      <c r="J812" s="572"/>
      <c r="K812" s="572"/>
      <c r="L812" s="572"/>
      <c r="M812" s="572"/>
      <c r="N812" s="572"/>
      <c r="O812" s="572"/>
      <c r="P812" s="572"/>
      <c r="Q812" s="572"/>
      <c r="R812" s="572"/>
      <c r="S812" s="572"/>
      <c r="T812" s="572"/>
      <c r="U812" s="572"/>
      <c r="V812" s="572"/>
      <c r="W812" s="572"/>
      <c r="X812" s="572"/>
      <c r="Y812" s="572"/>
    </row>
    <row r="813" spans="1:25" ht="12.75" customHeight="1">
      <c r="A813" s="571"/>
      <c r="B813" s="572"/>
      <c r="C813" s="572"/>
      <c r="D813" s="572"/>
      <c r="E813" s="572"/>
      <c r="F813" s="572"/>
      <c r="G813" s="572"/>
      <c r="H813" s="572"/>
      <c r="I813" s="572"/>
      <c r="J813" s="572"/>
      <c r="K813" s="572"/>
      <c r="L813" s="572"/>
      <c r="M813" s="572"/>
      <c r="N813" s="572"/>
      <c r="O813" s="572"/>
      <c r="P813" s="572"/>
      <c r="Q813" s="572"/>
      <c r="R813" s="572"/>
      <c r="S813" s="572"/>
      <c r="T813" s="572"/>
      <c r="U813" s="572"/>
      <c r="V813" s="572"/>
      <c r="W813" s="572"/>
      <c r="X813" s="572"/>
      <c r="Y813" s="572"/>
    </row>
    <row r="814" spans="1:25" ht="12.75" customHeight="1">
      <c r="A814" s="571"/>
      <c r="B814" s="572"/>
      <c r="C814" s="572"/>
      <c r="D814" s="572"/>
      <c r="E814" s="572"/>
      <c r="F814" s="572"/>
      <c r="G814" s="572"/>
      <c r="H814" s="572"/>
      <c r="I814" s="572"/>
      <c r="J814" s="572"/>
      <c r="K814" s="572"/>
      <c r="L814" s="572"/>
      <c r="M814" s="572"/>
      <c r="N814" s="572"/>
      <c r="O814" s="572"/>
      <c r="P814" s="572"/>
      <c r="Q814" s="572"/>
      <c r="R814" s="572"/>
      <c r="S814" s="572"/>
      <c r="T814" s="572"/>
      <c r="U814" s="572"/>
      <c r="V814" s="572"/>
      <c r="W814" s="572"/>
      <c r="X814" s="572"/>
      <c r="Y814" s="572"/>
    </row>
    <row r="815" spans="1:25" ht="12.75" customHeight="1">
      <c r="A815" s="571"/>
      <c r="B815" s="572"/>
      <c r="C815" s="572"/>
      <c r="D815" s="572"/>
      <c r="E815" s="572"/>
      <c r="F815" s="572"/>
      <c r="G815" s="572"/>
      <c r="H815" s="572"/>
      <c r="I815" s="572"/>
      <c r="J815" s="572"/>
      <c r="K815" s="572"/>
      <c r="L815" s="572"/>
      <c r="M815" s="572"/>
      <c r="N815" s="572"/>
      <c r="O815" s="572"/>
      <c r="P815" s="572"/>
      <c r="Q815" s="572"/>
      <c r="R815" s="572"/>
      <c r="S815" s="572"/>
      <c r="T815" s="572"/>
      <c r="U815" s="572"/>
      <c r="V815" s="572"/>
      <c r="W815" s="572"/>
      <c r="X815" s="572"/>
      <c r="Y815" s="572"/>
    </row>
    <row r="816" spans="1:25" ht="12.75" customHeight="1">
      <c r="A816" s="571"/>
      <c r="B816" s="572"/>
      <c r="C816" s="572"/>
      <c r="D816" s="572"/>
      <c r="E816" s="572"/>
      <c r="F816" s="572"/>
      <c r="G816" s="572"/>
      <c r="H816" s="572"/>
      <c r="I816" s="572"/>
      <c r="J816" s="572"/>
      <c r="K816" s="572"/>
      <c r="L816" s="572"/>
      <c r="M816" s="572"/>
      <c r="N816" s="572"/>
      <c r="O816" s="572"/>
      <c r="P816" s="572"/>
      <c r="Q816" s="572"/>
      <c r="R816" s="572"/>
      <c r="S816" s="572"/>
      <c r="T816" s="572"/>
      <c r="U816" s="572"/>
      <c r="V816" s="572"/>
      <c r="W816" s="572"/>
      <c r="X816" s="572"/>
      <c r="Y816" s="572"/>
    </row>
    <row r="817" spans="1:25" ht="12.75" customHeight="1">
      <c r="A817" s="571"/>
      <c r="B817" s="572"/>
      <c r="C817" s="572"/>
      <c r="D817" s="572"/>
      <c r="E817" s="572"/>
      <c r="F817" s="572"/>
      <c r="G817" s="572"/>
      <c r="H817" s="572"/>
      <c r="I817" s="572"/>
      <c r="J817" s="572"/>
      <c r="K817" s="572"/>
      <c r="L817" s="572"/>
      <c r="M817" s="572"/>
      <c r="N817" s="572"/>
      <c r="O817" s="572"/>
      <c r="P817" s="572"/>
      <c r="Q817" s="572"/>
      <c r="R817" s="572"/>
      <c r="S817" s="572"/>
      <c r="T817" s="572"/>
      <c r="U817" s="572"/>
      <c r="V817" s="572"/>
      <c r="W817" s="572"/>
      <c r="X817" s="572"/>
      <c r="Y817" s="572"/>
    </row>
    <row r="818" spans="1:25" ht="12.75" customHeight="1">
      <c r="A818" s="571"/>
      <c r="B818" s="572"/>
      <c r="C818" s="572"/>
      <c r="D818" s="572"/>
      <c r="E818" s="572"/>
      <c r="F818" s="572"/>
      <c r="G818" s="572"/>
      <c r="H818" s="572"/>
      <c r="I818" s="572"/>
      <c r="J818" s="572"/>
      <c r="K818" s="572"/>
      <c r="L818" s="572"/>
      <c r="M818" s="572"/>
      <c r="N818" s="572"/>
      <c r="O818" s="572"/>
      <c r="P818" s="572"/>
      <c r="Q818" s="572"/>
      <c r="R818" s="572"/>
      <c r="S818" s="572"/>
      <c r="T818" s="572"/>
      <c r="U818" s="572"/>
      <c r="V818" s="572"/>
      <c r="W818" s="572"/>
      <c r="X818" s="572"/>
      <c r="Y818" s="572"/>
    </row>
    <row r="819" spans="1:25" ht="12.75" customHeight="1">
      <c r="A819" s="571"/>
      <c r="B819" s="572"/>
      <c r="C819" s="572"/>
      <c r="D819" s="572"/>
      <c r="E819" s="572"/>
      <c r="F819" s="572"/>
      <c r="G819" s="572"/>
      <c r="H819" s="572"/>
      <c r="I819" s="572"/>
      <c r="J819" s="572"/>
      <c r="K819" s="572"/>
      <c r="L819" s="572"/>
      <c r="M819" s="572"/>
      <c r="N819" s="572"/>
      <c r="O819" s="572"/>
      <c r="P819" s="572"/>
      <c r="Q819" s="572"/>
      <c r="R819" s="572"/>
      <c r="S819" s="572"/>
      <c r="T819" s="572"/>
      <c r="U819" s="572"/>
      <c r="V819" s="572"/>
      <c r="W819" s="572"/>
      <c r="X819" s="572"/>
      <c r="Y819" s="572"/>
    </row>
    <row r="820" spans="1:25" ht="12.75" customHeight="1">
      <c r="A820" s="571"/>
      <c r="B820" s="572"/>
      <c r="C820" s="572"/>
      <c r="D820" s="572"/>
      <c r="E820" s="572"/>
      <c r="F820" s="572"/>
      <c r="G820" s="572"/>
      <c r="H820" s="572"/>
      <c r="I820" s="572"/>
      <c r="J820" s="572"/>
      <c r="K820" s="572"/>
      <c r="L820" s="572"/>
      <c r="M820" s="572"/>
      <c r="N820" s="572"/>
      <c r="O820" s="572"/>
      <c r="P820" s="572"/>
      <c r="Q820" s="572"/>
      <c r="R820" s="572"/>
      <c r="S820" s="572"/>
      <c r="T820" s="572"/>
      <c r="U820" s="572"/>
      <c r="V820" s="572"/>
      <c r="W820" s="572"/>
      <c r="X820" s="572"/>
      <c r="Y820" s="572"/>
    </row>
    <row r="821" spans="1:25" ht="12.75" customHeight="1">
      <c r="A821" s="571"/>
      <c r="B821" s="572"/>
      <c r="C821" s="572"/>
      <c r="D821" s="572"/>
      <c r="E821" s="572"/>
      <c r="F821" s="572"/>
      <c r="G821" s="572"/>
      <c r="H821" s="572"/>
      <c r="I821" s="572"/>
      <c r="J821" s="572"/>
      <c r="K821" s="572"/>
      <c r="L821" s="572"/>
      <c r="M821" s="572"/>
      <c r="N821" s="572"/>
      <c r="O821" s="572"/>
      <c r="P821" s="572"/>
      <c r="Q821" s="572"/>
      <c r="R821" s="572"/>
      <c r="S821" s="572"/>
      <c r="T821" s="572"/>
      <c r="U821" s="572"/>
      <c r="V821" s="572"/>
      <c r="W821" s="572"/>
      <c r="X821" s="572"/>
      <c r="Y821" s="572"/>
    </row>
    <row r="822" spans="1:25" ht="12.75" customHeight="1">
      <c r="A822" s="571"/>
      <c r="B822" s="572"/>
      <c r="C822" s="572"/>
      <c r="D822" s="572"/>
      <c r="E822" s="572"/>
      <c r="F822" s="572"/>
      <c r="G822" s="572"/>
      <c r="H822" s="572"/>
      <c r="I822" s="572"/>
      <c r="J822" s="572"/>
      <c r="K822" s="572"/>
      <c r="L822" s="572"/>
      <c r="M822" s="572"/>
      <c r="N822" s="572"/>
      <c r="O822" s="572"/>
      <c r="P822" s="572"/>
      <c r="Q822" s="572"/>
      <c r="R822" s="572"/>
      <c r="S822" s="572"/>
      <c r="T822" s="572"/>
      <c r="U822" s="572"/>
      <c r="V822" s="572"/>
      <c r="W822" s="572"/>
      <c r="X822" s="572"/>
      <c r="Y822" s="572"/>
    </row>
    <row r="823" spans="1:25" ht="12.75" customHeight="1">
      <c r="A823" s="571"/>
      <c r="B823" s="572"/>
      <c r="C823" s="572"/>
      <c r="D823" s="572"/>
      <c r="E823" s="572"/>
      <c r="F823" s="572"/>
      <c r="G823" s="572"/>
      <c r="H823" s="572"/>
      <c r="I823" s="572"/>
      <c r="J823" s="572"/>
      <c r="K823" s="572"/>
      <c r="L823" s="572"/>
      <c r="M823" s="572"/>
      <c r="N823" s="572"/>
      <c r="O823" s="572"/>
      <c r="P823" s="572"/>
      <c r="Q823" s="572"/>
      <c r="R823" s="572"/>
      <c r="S823" s="572"/>
      <c r="T823" s="572"/>
      <c r="U823" s="572"/>
      <c r="V823" s="572"/>
      <c r="W823" s="572"/>
      <c r="X823" s="572"/>
      <c r="Y823" s="572"/>
    </row>
    <row r="824" spans="1:25" ht="12.75" customHeight="1">
      <c r="A824" s="571"/>
      <c r="B824" s="572"/>
      <c r="C824" s="572"/>
      <c r="D824" s="572"/>
      <c r="E824" s="572"/>
      <c r="F824" s="572"/>
      <c r="G824" s="572"/>
      <c r="H824" s="572"/>
      <c r="I824" s="572"/>
      <c r="J824" s="572"/>
      <c r="K824" s="572"/>
      <c r="L824" s="572"/>
      <c r="M824" s="572"/>
      <c r="N824" s="572"/>
      <c r="O824" s="572"/>
      <c r="P824" s="572"/>
      <c r="Q824" s="572"/>
      <c r="R824" s="572"/>
      <c r="S824" s="572"/>
      <c r="T824" s="572"/>
      <c r="U824" s="572"/>
      <c r="V824" s="572"/>
      <c r="W824" s="572"/>
      <c r="X824" s="572"/>
      <c r="Y824" s="572"/>
    </row>
    <row r="825" spans="1:25" ht="12.75" customHeight="1">
      <c r="A825" s="571"/>
      <c r="B825" s="572"/>
      <c r="C825" s="572"/>
      <c r="D825" s="572"/>
      <c r="E825" s="572"/>
      <c r="F825" s="572"/>
      <c r="G825" s="572"/>
      <c r="H825" s="572"/>
      <c r="I825" s="572"/>
      <c r="J825" s="572"/>
      <c r="K825" s="572"/>
      <c r="L825" s="572"/>
      <c r="M825" s="572"/>
      <c r="N825" s="572"/>
      <c r="O825" s="572"/>
      <c r="P825" s="572"/>
      <c r="Q825" s="572"/>
      <c r="R825" s="572"/>
      <c r="S825" s="572"/>
      <c r="T825" s="572"/>
      <c r="U825" s="572"/>
      <c r="V825" s="572"/>
      <c r="W825" s="572"/>
      <c r="X825" s="572"/>
      <c r="Y825" s="572"/>
    </row>
    <row r="826" spans="1:25" ht="12.75" customHeight="1">
      <c r="A826" s="571"/>
      <c r="B826" s="572"/>
      <c r="C826" s="572"/>
      <c r="D826" s="572"/>
      <c r="E826" s="572"/>
      <c r="F826" s="572"/>
      <c r="G826" s="572"/>
      <c r="H826" s="572"/>
      <c r="I826" s="572"/>
      <c r="J826" s="572"/>
      <c r="K826" s="572"/>
      <c r="L826" s="572"/>
      <c r="M826" s="572"/>
      <c r="N826" s="572"/>
      <c r="O826" s="572"/>
      <c r="P826" s="572"/>
      <c r="Q826" s="572"/>
      <c r="R826" s="572"/>
      <c r="S826" s="572"/>
      <c r="T826" s="572"/>
      <c r="U826" s="572"/>
      <c r="V826" s="572"/>
      <c r="W826" s="572"/>
      <c r="X826" s="572"/>
      <c r="Y826" s="572"/>
    </row>
    <row r="827" spans="1:25" ht="12.75" customHeight="1">
      <c r="A827" s="571"/>
      <c r="B827" s="572"/>
      <c r="C827" s="572"/>
      <c r="D827" s="572"/>
      <c r="E827" s="572"/>
      <c r="F827" s="572"/>
      <c r="G827" s="572"/>
      <c r="H827" s="572"/>
      <c r="I827" s="572"/>
      <c r="J827" s="572"/>
      <c r="K827" s="572"/>
      <c r="L827" s="572"/>
      <c r="M827" s="572"/>
      <c r="N827" s="572"/>
      <c r="O827" s="572"/>
      <c r="P827" s="572"/>
      <c r="Q827" s="572"/>
      <c r="R827" s="572"/>
      <c r="S827" s="572"/>
      <c r="T827" s="572"/>
      <c r="U827" s="572"/>
      <c r="V827" s="572"/>
      <c r="W827" s="572"/>
      <c r="X827" s="572"/>
      <c r="Y827" s="572"/>
    </row>
    <row r="828" spans="1:25" ht="12.75" customHeight="1">
      <c r="A828" s="571"/>
      <c r="B828" s="572"/>
      <c r="C828" s="572"/>
      <c r="D828" s="572"/>
      <c r="E828" s="572"/>
      <c r="F828" s="572"/>
      <c r="G828" s="572"/>
      <c r="H828" s="572"/>
      <c r="I828" s="572"/>
      <c r="J828" s="572"/>
      <c r="K828" s="572"/>
      <c r="L828" s="572"/>
      <c r="M828" s="572"/>
      <c r="N828" s="572"/>
      <c r="O828" s="572"/>
      <c r="P828" s="572"/>
      <c r="Q828" s="572"/>
      <c r="R828" s="572"/>
      <c r="S828" s="572"/>
      <c r="T828" s="572"/>
      <c r="U828" s="572"/>
      <c r="V828" s="572"/>
      <c r="W828" s="572"/>
      <c r="X828" s="572"/>
      <c r="Y828" s="572"/>
    </row>
    <row r="829" spans="1:25" ht="12.75" customHeight="1">
      <c r="A829" s="571"/>
      <c r="B829" s="572"/>
      <c r="C829" s="572"/>
      <c r="D829" s="572"/>
      <c r="E829" s="572"/>
      <c r="F829" s="572"/>
      <c r="G829" s="572"/>
      <c r="H829" s="572"/>
      <c r="I829" s="572"/>
      <c r="J829" s="572"/>
      <c r="K829" s="572"/>
      <c r="L829" s="572"/>
      <c r="M829" s="572"/>
      <c r="N829" s="572"/>
      <c r="O829" s="572"/>
      <c r="P829" s="572"/>
      <c r="Q829" s="572"/>
      <c r="R829" s="572"/>
      <c r="S829" s="572"/>
      <c r="T829" s="572"/>
      <c r="U829" s="572"/>
      <c r="V829" s="572"/>
      <c r="W829" s="572"/>
      <c r="X829" s="572"/>
      <c r="Y829" s="572"/>
    </row>
    <row r="830" spans="1:25" ht="12.75" customHeight="1">
      <c r="A830" s="571"/>
      <c r="B830" s="572"/>
      <c r="C830" s="572"/>
      <c r="D830" s="572"/>
      <c r="E830" s="572"/>
      <c r="F830" s="572"/>
      <c r="G830" s="572"/>
      <c r="H830" s="572"/>
      <c r="I830" s="572"/>
      <c r="J830" s="572"/>
      <c r="K830" s="572"/>
      <c r="L830" s="572"/>
      <c r="M830" s="572"/>
      <c r="N830" s="572"/>
      <c r="O830" s="572"/>
      <c r="P830" s="572"/>
      <c r="Q830" s="572"/>
      <c r="R830" s="572"/>
      <c r="S830" s="572"/>
      <c r="T830" s="572"/>
      <c r="U830" s="572"/>
      <c r="V830" s="572"/>
      <c r="W830" s="572"/>
      <c r="X830" s="572"/>
      <c r="Y830" s="572"/>
    </row>
    <row r="831" spans="1:25" ht="12.75" customHeight="1">
      <c r="A831" s="571"/>
      <c r="B831" s="572"/>
      <c r="C831" s="572"/>
      <c r="D831" s="572"/>
      <c r="E831" s="572"/>
      <c r="F831" s="572"/>
      <c r="G831" s="572"/>
      <c r="H831" s="572"/>
      <c r="I831" s="572"/>
      <c r="J831" s="572"/>
      <c r="K831" s="572"/>
      <c r="L831" s="572"/>
      <c r="M831" s="572"/>
      <c r="N831" s="572"/>
      <c r="O831" s="572"/>
      <c r="P831" s="572"/>
      <c r="Q831" s="572"/>
      <c r="R831" s="572"/>
      <c r="S831" s="572"/>
      <c r="T831" s="572"/>
      <c r="U831" s="572"/>
      <c r="V831" s="572"/>
      <c r="W831" s="572"/>
      <c r="X831" s="572"/>
      <c r="Y831" s="572"/>
    </row>
    <row r="832" spans="1:25" ht="12.75" customHeight="1">
      <c r="A832" s="571"/>
      <c r="B832" s="572"/>
      <c r="C832" s="572"/>
      <c r="D832" s="572"/>
      <c r="E832" s="572"/>
      <c r="F832" s="572"/>
      <c r="G832" s="572"/>
      <c r="H832" s="572"/>
      <c r="I832" s="572"/>
      <c r="J832" s="572"/>
      <c r="K832" s="572"/>
      <c r="L832" s="572"/>
      <c r="M832" s="572"/>
      <c r="N832" s="572"/>
      <c r="O832" s="572"/>
      <c r="P832" s="572"/>
      <c r="Q832" s="572"/>
      <c r="R832" s="572"/>
      <c r="S832" s="572"/>
      <c r="T832" s="572"/>
      <c r="U832" s="572"/>
      <c r="V832" s="572"/>
      <c r="W832" s="572"/>
      <c r="X832" s="572"/>
      <c r="Y832" s="572"/>
    </row>
    <row r="833" spans="1:25" ht="12.75" customHeight="1">
      <c r="A833" s="571"/>
      <c r="B833" s="572"/>
      <c r="C833" s="572"/>
      <c r="D833" s="572"/>
      <c r="E833" s="572"/>
      <c r="F833" s="572"/>
      <c r="G833" s="572"/>
      <c r="H833" s="572"/>
      <c r="I833" s="572"/>
      <c r="J833" s="572"/>
      <c r="K833" s="572"/>
      <c r="L833" s="572"/>
      <c r="M833" s="572"/>
      <c r="N833" s="572"/>
      <c r="O833" s="572"/>
      <c r="P833" s="572"/>
      <c r="Q833" s="572"/>
      <c r="R833" s="572"/>
      <c r="S833" s="572"/>
      <c r="T833" s="572"/>
      <c r="U833" s="572"/>
      <c r="V833" s="572"/>
      <c r="W833" s="572"/>
      <c r="X833" s="572"/>
      <c r="Y833" s="572"/>
    </row>
    <row r="834" spans="1:25" ht="12.75" customHeight="1">
      <c r="A834" s="571"/>
      <c r="B834" s="572"/>
      <c r="C834" s="572"/>
      <c r="D834" s="572"/>
      <c r="E834" s="572"/>
      <c r="F834" s="572"/>
      <c r="G834" s="572"/>
      <c r="H834" s="572"/>
      <c r="I834" s="572"/>
      <c r="J834" s="572"/>
      <c r="K834" s="572"/>
      <c r="L834" s="572"/>
      <c r="M834" s="572"/>
      <c r="N834" s="572"/>
      <c r="O834" s="572"/>
      <c r="P834" s="572"/>
      <c r="Q834" s="572"/>
      <c r="R834" s="572"/>
      <c r="S834" s="572"/>
      <c r="T834" s="572"/>
      <c r="U834" s="572"/>
      <c r="V834" s="572"/>
      <c r="W834" s="572"/>
      <c r="X834" s="572"/>
      <c r="Y834" s="572"/>
    </row>
    <row r="835" spans="1:25" ht="12.75" customHeight="1">
      <c r="A835" s="571"/>
      <c r="B835" s="572"/>
      <c r="C835" s="572"/>
      <c r="D835" s="572"/>
      <c r="E835" s="572"/>
      <c r="F835" s="572"/>
      <c r="G835" s="572"/>
      <c r="H835" s="572"/>
      <c r="I835" s="572"/>
      <c r="J835" s="572"/>
      <c r="K835" s="572"/>
      <c r="L835" s="572"/>
      <c r="M835" s="572"/>
      <c r="N835" s="572"/>
      <c r="O835" s="572"/>
      <c r="P835" s="572"/>
      <c r="Q835" s="572"/>
      <c r="R835" s="572"/>
      <c r="S835" s="572"/>
      <c r="T835" s="572"/>
      <c r="U835" s="572"/>
      <c r="V835" s="572"/>
      <c r="W835" s="572"/>
      <c r="X835" s="572"/>
      <c r="Y835" s="572"/>
    </row>
    <row r="836" spans="1:25" ht="12.75" customHeight="1">
      <c r="A836" s="571"/>
      <c r="B836" s="572"/>
      <c r="C836" s="572"/>
      <c r="D836" s="572"/>
      <c r="E836" s="572"/>
      <c r="F836" s="572"/>
      <c r="G836" s="572"/>
      <c r="H836" s="572"/>
      <c r="I836" s="572"/>
      <c r="J836" s="572"/>
      <c r="K836" s="572"/>
      <c r="L836" s="572"/>
      <c r="M836" s="572"/>
      <c r="N836" s="572"/>
      <c r="O836" s="572"/>
      <c r="P836" s="572"/>
      <c r="Q836" s="572"/>
      <c r="R836" s="572"/>
      <c r="S836" s="572"/>
      <c r="T836" s="572"/>
      <c r="U836" s="572"/>
      <c r="V836" s="572"/>
      <c r="W836" s="572"/>
      <c r="X836" s="572"/>
      <c r="Y836" s="572"/>
    </row>
    <row r="837" spans="1:25" ht="12.75" customHeight="1">
      <c r="A837" s="571"/>
      <c r="B837" s="572"/>
      <c r="C837" s="572"/>
      <c r="D837" s="572"/>
      <c r="E837" s="572"/>
      <c r="F837" s="572"/>
      <c r="G837" s="572"/>
      <c r="H837" s="572"/>
      <c r="I837" s="572"/>
      <c r="J837" s="572"/>
      <c r="K837" s="572"/>
      <c r="L837" s="572"/>
      <c r="M837" s="572"/>
      <c r="N837" s="572"/>
      <c r="O837" s="572"/>
      <c r="P837" s="572"/>
      <c r="Q837" s="572"/>
      <c r="R837" s="572"/>
      <c r="S837" s="572"/>
      <c r="T837" s="572"/>
      <c r="U837" s="572"/>
      <c r="V837" s="572"/>
      <c r="W837" s="572"/>
      <c r="X837" s="572"/>
      <c r="Y837" s="572"/>
    </row>
    <row r="838" spans="1:25" ht="12.75" customHeight="1">
      <c r="A838" s="571"/>
      <c r="B838" s="572"/>
      <c r="C838" s="572"/>
      <c r="D838" s="572"/>
      <c r="E838" s="572"/>
      <c r="F838" s="572"/>
      <c r="G838" s="572"/>
      <c r="H838" s="572"/>
      <c r="I838" s="572"/>
      <c r="J838" s="572"/>
      <c r="K838" s="572"/>
      <c r="L838" s="572"/>
      <c r="M838" s="572"/>
      <c r="N838" s="572"/>
      <c r="O838" s="572"/>
      <c r="P838" s="572"/>
      <c r="Q838" s="572"/>
      <c r="R838" s="572"/>
      <c r="S838" s="572"/>
      <c r="T838" s="572"/>
      <c r="U838" s="572"/>
      <c r="V838" s="572"/>
      <c r="W838" s="572"/>
      <c r="X838" s="572"/>
      <c r="Y838" s="572"/>
    </row>
    <row r="839" spans="1:25" ht="12.75" customHeight="1">
      <c r="A839" s="571"/>
      <c r="B839" s="572"/>
      <c r="C839" s="572"/>
      <c r="D839" s="572"/>
      <c r="E839" s="572"/>
      <c r="F839" s="572"/>
      <c r="G839" s="572"/>
      <c r="H839" s="572"/>
      <c r="I839" s="572"/>
      <c r="J839" s="572"/>
      <c r="K839" s="572"/>
      <c r="L839" s="572"/>
      <c r="M839" s="572"/>
      <c r="N839" s="572"/>
      <c r="O839" s="572"/>
      <c r="P839" s="572"/>
      <c r="Q839" s="572"/>
      <c r="R839" s="572"/>
      <c r="S839" s="572"/>
      <c r="T839" s="572"/>
      <c r="U839" s="572"/>
      <c r="V839" s="572"/>
      <c r="W839" s="572"/>
      <c r="X839" s="572"/>
      <c r="Y839" s="572"/>
    </row>
    <row r="840" spans="1:25" ht="12.75" customHeight="1">
      <c r="A840" s="571"/>
      <c r="B840" s="572"/>
      <c r="C840" s="572"/>
      <c r="D840" s="572"/>
      <c r="E840" s="572"/>
      <c r="F840" s="572"/>
      <c r="G840" s="572"/>
      <c r="H840" s="572"/>
      <c r="I840" s="572"/>
      <c r="J840" s="572"/>
      <c r="K840" s="572"/>
      <c r="L840" s="572"/>
      <c r="M840" s="572"/>
      <c r="N840" s="572"/>
      <c r="O840" s="572"/>
      <c r="P840" s="572"/>
      <c r="Q840" s="572"/>
      <c r="R840" s="572"/>
      <c r="S840" s="572"/>
      <c r="T840" s="572"/>
      <c r="U840" s="572"/>
      <c r="V840" s="572"/>
      <c r="W840" s="572"/>
      <c r="X840" s="572"/>
      <c r="Y840" s="572"/>
    </row>
    <row r="841" spans="1:25" ht="12.75" customHeight="1">
      <c r="A841" s="571"/>
      <c r="B841" s="572"/>
      <c r="C841" s="572"/>
      <c r="D841" s="572"/>
      <c r="E841" s="572"/>
      <c r="F841" s="572"/>
      <c r="G841" s="572"/>
      <c r="H841" s="572"/>
      <c r="I841" s="572"/>
      <c r="J841" s="572"/>
      <c r="K841" s="572"/>
      <c r="L841" s="572"/>
      <c r="M841" s="572"/>
      <c r="N841" s="572"/>
      <c r="O841" s="572"/>
      <c r="P841" s="572"/>
      <c r="Q841" s="572"/>
      <c r="R841" s="572"/>
      <c r="S841" s="572"/>
      <c r="T841" s="572"/>
      <c r="U841" s="572"/>
      <c r="V841" s="572"/>
      <c r="W841" s="572"/>
      <c r="X841" s="572"/>
      <c r="Y841" s="572"/>
    </row>
    <row r="842" spans="1:25" ht="12.75" customHeight="1">
      <c r="A842" s="571"/>
      <c r="B842" s="572"/>
      <c r="C842" s="572"/>
      <c r="D842" s="572"/>
      <c r="E842" s="572"/>
      <c r="F842" s="572"/>
      <c r="G842" s="572"/>
      <c r="H842" s="572"/>
      <c r="I842" s="572"/>
      <c r="J842" s="572"/>
      <c r="K842" s="572"/>
      <c r="L842" s="572"/>
      <c r="M842" s="572"/>
      <c r="N842" s="572"/>
      <c r="O842" s="572"/>
      <c r="P842" s="572"/>
      <c r="Q842" s="572"/>
      <c r="R842" s="572"/>
      <c r="S842" s="572"/>
      <c r="T842" s="572"/>
      <c r="U842" s="572"/>
      <c r="V842" s="572"/>
      <c r="W842" s="572"/>
      <c r="X842" s="572"/>
      <c r="Y842" s="572"/>
    </row>
    <row r="843" spans="1:25" ht="12.75" customHeight="1">
      <c r="A843" s="571"/>
      <c r="B843" s="572"/>
      <c r="C843" s="572"/>
      <c r="D843" s="572"/>
      <c r="E843" s="572"/>
      <c r="F843" s="572"/>
      <c r="G843" s="572"/>
      <c r="H843" s="572"/>
      <c r="I843" s="572"/>
      <c r="J843" s="572"/>
      <c r="K843" s="572"/>
      <c r="L843" s="572"/>
      <c r="M843" s="572"/>
      <c r="N843" s="572"/>
      <c r="O843" s="572"/>
      <c r="P843" s="572"/>
      <c r="Q843" s="572"/>
      <c r="R843" s="572"/>
      <c r="S843" s="572"/>
      <c r="T843" s="572"/>
      <c r="U843" s="572"/>
      <c r="V843" s="572"/>
      <c r="W843" s="572"/>
      <c r="X843" s="572"/>
      <c r="Y843" s="572"/>
    </row>
    <row r="844" spans="1:25" ht="12.75" customHeight="1">
      <c r="A844" s="571"/>
      <c r="B844" s="572"/>
      <c r="C844" s="572"/>
      <c r="D844" s="572"/>
      <c r="E844" s="572"/>
      <c r="F844" s="572"/>
      <c r="G844" s="572"/>
      <c r="H844" s="572"/>
      <c r="I844" s="572"/>
      <c r="J844" s="572"/>
      <c r="K844" s="572"/>
      <c r="L844" s="572"/>
      <c r="M844" s="572"/>
      <c r="N844" s="572"/>
      <c r="O844" s="572"/>
      <c r="P844" s="572"/>
      <c r="Q844" s="572"/>
      <c r="R844" s="572"/>
      <c r="S844" s="572"/>
      <c r="T844" s="572"/>
      <c r="U844" s="572"/>
      <c r="V844" s="572"/>
      <c r="W844" s="572"/>
      <c r="X844" s="572"/>
      <c r="Y844" s="572"/>
    </row>
    <row r="845" spans="1:25" ht="12.75" customHeight="1">
      <c r="A845" s="571"/>
      <c r="B845" s="572"/>
      <c r="C845" s="572"/>
      <c r="D845" s="572"/>
      <c r="E845" s="572"/>
      <c r="F845" s="572"/>
      <c r="G845" s="572"/>
      <c r="H845" s="572"/>
      <c r="I845" s="572"/>
      <c r="J845" s="572"/>
      <c r="K845" s="572"/>
      <c r="L845" s="572"/>
      <c r="M845" s="572"/>
      <c r="N845" s="572"/>
      <c r="O845" s="572"/>
      <c r="P845" s="572"/>
      <c r="Q845" s="572"/>
      <c r="R845" s="572"/>
      <c r="S845" s="572"/>
      <c r="T845" s="572"/>
      <c r="U845" s="572"/>
      <c r="V845" s="572"/>
      <c r="W845" s="572"/>
      <c r="X845" s="572"/>
      <c r="Y845" s="572"/>
    </row>
    <row r="846" spans="1:25" ht="12.75" customHeight="1">
      <c r="A846" s="571"/>
      <c r="B846" s="572"/>
      <c r="C846" s="572"/>
      <c r="D846" s="572"/>
      <c r="E846" s="572"/>
      <c r="F846" s="572"/>
      <c r="G846" s="572"/>
      <c r="H846" s="572"/>
      <c r="I846" s="572"/>
      <c r="J846" s="572"/>
      <c r="K846" s="572"/>
      <c r="L846" s="572"/>
      <c r="M846" s="572"/>
      <c r="N846" s="572"/>
      <c r="O846" s="572"/>
      <c r="P846" s="572"/>
      <c r="Q846" s="572"/>
      <c r="R846" s="572"/>
      <c r="S846" s="572"/>
      <c r="T846" s="572"/>
      <c r="U846" s="572"/>
      <c r="V846" s="572"/>
      <c r="W846" s="572"/>
      <c r="X846" s="572"/>
      <c r="Y846" s="572"/>
    </row>
    <row r="847" spans="1:25" ht="12.75" customHeight="1">
      <c r="A847" s="571"/>
      <c r="B847" s="572"/>
      <c r="C847" s="572"/>
      <c r="D847" s="572"/>
      <c r="E847" s="572"/>
      <c r="F847" s="572"/>
      <c r="G847" s="572"/>
      <c r="H847" s="572"/>
      <c r="I847" s="572"/>
      <c r="J847" s="572"/>
      <c r="K847" s="572"/>
      <c r="L847" s="572"/>
      <c r="M847" s="572"/>
      <c r="N847" s="572"/>
      <c r="O847" s="572"/>
      <c r="P847" s="572"/>
      <c r="Q847" s="572"/>
      <c r="R847" s="572"/>
      <c r="S847" s="572"/>
      <c r="T847" s="572"/>
      <c r="U847" s="572"/>
      <c r="V847" s="572"/>
      <c r="W847" s="572"/>
      <c r="X847" s="572"/>
      <c r="Y847" s="572"/>
    </row>
    <row r="848" spans="1:25" ht="12.75" customHeight="1">
      <c r="A848" s="571"/>
      <c r="B848" s="572"/>
      <c r="C848" s="572"/>
      <c r="D848" s="572"/>
      <c r="E848" s="572"/>
      <c r="F848" s="572"/>
      <c r="G848" s="572"/>
      <c r="H848" s="572"/>
      <c r="I848" s="572"/>
      <c r="J848" s="572"/>
      <c r="K848" s="572"/>
      <c r="L848" s="572"/>
      <c r="M848" s="572"/>
      <c r="N848" s="572"/>
      <c r="O848" s="572"/>
      <c r="P848" s="572"/>
      <c r="Q848" s="572"/>
      <c r="R848" s="572"/>
      <c r="S848" s="572"/>
      <c r="T848" s="572"/>
      <c r="U848" s="572"/>
      <c r="V848" s="572"/>
      <c r="W848" s="572"/>
      <c r="X848" s="572"/>
      <c r="Y848" s="572"/>
    </row>
    <row r="849" spans="1:25" ht="12.75" customHeight="1">
      <c r="A849" s="571"/>
      <c r="B849" s="572"/>
      <c r="C849" s="572"/>
      <c r="D849" s="572"/>
      <c r="E849" s="572"/>
      <c r="F849" s="572"/>
      <c r="G849" s="572"/>
      <c r="H849" s="572"/>
      <c r="I849" s="572"/>
      <c r="J849" s="572"/>
      <c r="K849" s="572"/>
      <c r="L849" s="572"/>
      <c r="M849" s="572"/>
      <c r="N849" s="572"/>
      <c r="O849" s="572"/>
      <c r="P849" s="572"/>
      <c r="Q849" s="572"/>
      <c r="R849" s="572"/>
      <c r="S849" s="572"/>
      <c r="T849" s="572"/>
      <c r="U849" s="572"/>
      <c r="V849" s="572"/>
      <c r="W849" s="572"/>
      <c r="X849" s="572"/>
      <c r="Y849" s="572"/>
    </row>
    <row r="850" spans="1:25" ht="12.75" customHeight="1">
      <c r="A850" s="571"/>
      <c r="B850" s="572"/>
      <c r="C850" s="572"/>
      <c r="D850" s="572"/>
      <c r="E850" s="572"/>
      <c r="F850" s="572"/>
      <c r="G850" s="572"/>
      <c r="H850" s="572"/>
      <c r="I850" s="572"/>
      <c r="J850" s="572"/>
      <c r="K850" s="572"/>
      <c r="L850" s="572"/>
      <c r="M850" s="572"/>
      <c r="N850" s="572"/>
      <c r="O850" s="572"/>
      <c r="P850" s="572"/>
      <c r="Q850" s="572"/>
      <c r="R850" s="572"/>
      <c r="S850" s="572"/>
      <c r="T850" s="572"/>
      <c r="U850" s="572"/>
      <c r="V850" s="572"/>
      <c r="W850" s="572"/>
      <c r="X850" s="572"/>
      <c r="Y850" s="572"/>
    </row>
    <row r="851" spans="1:25" ht="12.75" customHeight="1">
      <c r="A851" s="571"/>
      <c r="B851" s="572"/>
      <c r="C851" s="572"/>
      <c r="D851" s="572"/>
      <c r="E851" s="572"/>
      <c r="F851" s="572"/>
      <c r="G851" s="572"/>
      <c r="H851" s="572"/>
      <c r="I851" s="572"/>
      <c r="J851" s="572"/>
      <c r="K851" s="572"/>
      <c r="L851" s="572"/>
      <c r="M851" s="572"/>
      <c r="N851" s="572"/>
      <c r="O851" s="572"/>
      <c r="P851" s="572"/>
      <c r="Q851" s="572"/>
      <c r="R851" s="572"/>
      <c r="S851" s="572"/>
      <c r="T851" s="572"/>
      <c r="U851" s="572"/>
      <c r="V851" s="572"/>
      <c r="W851" s="572"/>
      <c r="X851" s="572"/>
      <c r="Y851" s="572"/>
    </row>
    <row r="852" spans="1:25" ht="12.75" customHeight="1">
      <c r="A852" s="571"/>
      <c r="B852" s="572"/>
      <c r="C852" s="572"/>
      <c r="D852" s="572"/>
      <c r="E852" s="572"/>
      <c r="F852" s="572"/>
      <c r="G852" s="572"/>
      <c r="H852" s="572"/>
      <c r="I852" s="572"/>
      <c r="J852" s="572"/>
      <c r="K852" s="572"/>
      <c r="L852" s="572"/>
      <c r="M852" s="572"/>
      <c r="N852" s="572"/>
      <c r="O852" s="572"/>
      <c r="P852" s="572"/>
      <c r="Q852" s="572"/>
      <c r="R852" s="572"/>
      <c r="S852" s="572"/>
      <c r="T852" s="572"/>
      <c r="U852" s="572"/>
      <c r="V852" s="572"/>
      <c r="W852" s="572"/>
      <c r="X852" s="572"/>
      <c r="Y852" s="572"/>
    </row>
    <row r="853" spans="1:25" ht="12.75" customHeight="1">
      <c r="A853" s="571"/>
      <c r="B853" s="572"/>
      <c r="C853" s="572"/>
      <c r="D853" s="572"/>
      <c r="E853" s="572"/>
      <c r="F853" s="572"/>
      <c r="G853" s="572"/>
      <c r="H853" s="572"/>
      <c r="I853" s="572"/>
      <c r="J853" s="572"/>
      <c r="K853" s="572"/>
      <c r="L853" s="572"/>
      <c r="M853" s="572"/>
      <c r="N853" s="572"/>
      <c r="O853" s="572"/>
      <c r="P853" s="572"/>
      <c r="Q853" s="572"/>
      <c r="R853" s="572"/>
      <c r="S853" s="572"/>
      <c r="T853" s="572"/>
      <c r="U853" s="572"/>
      <c r="V853" s="572"/>
      <c r="W853" s="572"/>
      <c r="X853" s="572"/>
      <c r="Y853" s="572"/>
    </row>
    <row r="854" spans="1:25" ht="12.75" customHeight="1">
      <c r="A854" s="571"/>
      <c r="B854" s="572"/>
      <c r="C854" s="572"/>
      <c r="D854" s="572"/>
      <c r="E854" s="572"/>
      <c r="F854" s="572"/>
      <c r="G854" s="572"/>
      <c r="H854" s="572"/>
      <c r="I854" s="572"/>
      <c r="J854" s="572"/>
      <c r="K854" s="572"/>
      <c r="L854" s="572"/>
      <c r="M854" s="572"/>
      <c r="N854" s="572"/>
      <c r="O854" s="572"/>
      <c r="P854" s="572"/>
      <c r="Q854" s="572"/>
      <c r="R854" s="572"/>
      <c r="S854" s="572"/>
      <c r="T854" s="572"/>
      <c r="U854" s="572"/>
      <c r="V854" s="572"/>
      <c r="W854" s="572"/>
      <c r="X854" s="572"/>
      <c r="Y854" s="572"/>
    </row>
    <row r="855" spans="1:25" ht="12.75" customHeight="1">
      <c r="A855" s="571"/>
      <c r="B855" s="572"/>
      <c r="C855" s="572"/>
      <c r="D855" s="572"/>
      <c r="E855" s="572"/>
      <c r="F855" s="572"/>
      <c r="G855" s="572"/>
      <c r="H855" s="572"/>
      <c r="I855" s="572"/>
      <c r="J855" s="572"/>
      <c r="K855" s="572"/>
      <c r="L855" s="572"/>
      <c r="M855" s="572"/>
      <c r="N855" s="572"/>
      <c r="O855" s="572"/>
      <c r="P855" s="572"/>
      <c r="Q855" s="572"/>
      <c r="R855" s="572"/>
      <c r="S855" s="572"/>
      <c r="T855" s="572"/>
      <c r="U855" s="572"/>
      <c r="V855" s="572"/>
      <c r="W855" s="572"/>
      <c r="X855" s="572"/>
      <c r="Y855" s="572"/>
    </row>
    <row r="856" spans="1:25" ht="12.75" customHeight="1">
      <c r="A856" s="571"/>
      <c r="B856" s="572"/>
      <c r="C856" s="572"/>
      <c r="D856" s="572"/>
      <c r="E856" s="572"/>
      <c r="F856" s="572"/>
      <c r="G856" s="572"/>
      <c r="H856" s="572"/>
      <c r="I856" s="572"/>
      <c r="J856" s="572"/>
      <c r="K856" s="572"/>
      <c r="L856" s="572"/>
      <c r="M856" s="572"/>
      <c r="N856" s="572"/>
      <c r="O856" s="572"/>
      <c r="P856" s="572"/>
      <c r="Q856" s="572"/>
      <c r="R856" s="572"/>
      <c r="S856" s="572"/>
      <c r="T856" s="572"/>
      <c r="U856" s="572"/>
      <c r="V856" s="572"/>
      <c r="W856" s="572"/>
      <c r="X856" s="572"/>
      <c r="Y856" s="572"/>
    </row>
    <row r="857" spans="1:25" ht="12.75" customHeight="1">
      <c r="A857" s="571"/>
      <c r="B857" s="572"/>
      <c r="C857" s="572"/>
      <c r="D857" s="572"/>
      <c r="E857" s="572"/>
      <c r="F857" s="572"/>
      <c r="G857" s="572"/>
      <c r="H857" s="572"/>
      <c r="I857" s="572"/>
      <c r="J857" s="572"/>
      <c r="K857" s="572"/>
      <c r="L857" s="572"/>
      <c r="M857" s="572"/>
      <c r="N857" s="572"/>
      <c r="O857" s="572"/>
      <c r="P857" s="572"/>
      <c r="Q857" s="572"/>
      <c r="R857" s="572"/>
      <c r="S857" s="572"/>
      <c r="T857" s="572"/>
      <c r="U857" s="572"/>
      <c r="V857" s="572"/>
      <c r="W857" s="572"/>
      <c r="X857" s="572"/>
      <c r="Y857" s="572"/>
    </row>
    <row r="858" spans="1:25" ht="12.75" customHeight="1">
      <c r="A858" s="571"/>
      <c r="B858" s="572"/>
      <c r="C858" s="572"/>
      <c r="D858" s="572"/>
      <c r="E858" s="572"/>
      <c r="F858" s="572"/>
      <c r="G858" s="572"/>
      <c r="H858" s="572"/>
      <c r="I858" s="572"/>
      <c r="J858" s="572"/>
      <c r="K858" s="572"/>
      <c r="L858" s="572"/>
      <c r="M858" s="572"/>
      <c r="N858" s="572"/>
      <c r="O858" s="572"/>
      <c r="P858" s="572"/>
      <c r="Q858" s="572"/>
      <c r="R858" s="572"/>
      <c r="S858" s="572"/>
      <c r="T858" s="572"/>
      <c r="U858" s="572"/>
      <c r="V858" s="572"/>
      <c r="W858" s="572"/>
      <c r="X858" s="572"/>
      <c r="Y858" s="572"/>
    </row>
    <row r="859" spans="1:25" ht="12.75" customHeight="1">
      <c r="A859" s="571"/>
      <c r="B859" s="572"/>
      <c r="C859" s="572"/>
      <c r="D859" s="572"/>
      <c r="E859" s="572"/>
      <c r="F859" s="572"/>
      <c r="G859" s="572"/>
      <c r="H859" s="572"/>
      <c r="I859" s="572"/>
      <c r="J859" s="572"/>
      <c r="K859" s="572"/>
      <c r="L859" s="572"/>
      <c r="M859" s="572"/>
      <c r="N859" s="572"/>
      <c r="O859" s="572"/>
      <c r="P859" s="572"/>
      <c r="Q859" s="572"/>
      <c r="R859" s="572"/>
      <c r="S859" s="572"/>
      <c r="T859" s="572"/>
      <c r="U859" s="572"/>
      <c r="V859" s="572"/>
      <c r="W859" s="572"/>
      <c r="X859" s="572"/>
      <c r="Y859" s="572"/>
    </row>
    <row r="860" spans="1:25" ht="12.75" customHeight="1">
      <c r="A860" s="571"/>
      <c r="B860" s="572"/>
      <c r="C860" s="572"/>
      <c r="D860" s="572"/>
      <c r="E860" s="572"/>
      <c r="F860" s="572"/>
      <c r="G860" s="572"/>
      <c r="H860" s="572"/>
      <c r="I860" s="572"/>
      <c r="J860" s="572"/>
      <c r="K860" s="572"/>
      <c r="L860" s="572"/>
      <c r="M860" s="572"/>
      <c r="N860" s="572"/>
      <c r="O860" s="572"/>
      <c r="P860" s="572"/>
      <c r="Q860" s="572"/>
      <c r="R860" s="572"/>
      <c r="S860" s="572"/>
      <c r="T860" s="572"/>
      <c r="U860" s="572"/>
      <c r="V860" s="572"/>
      <c r="W860" s="572"/>
      <c r="X860" s="572"/>
      <c r="Y860" s="572"/>
    </row>
    <row r="861" spans="1:25" ht="12.75" customHeight="1">
      <c r="A861" s="571"/>
      <c r="B861" s="572"/>
      <c r="C861" s="572"/>
      <c r="D861" s="572"/>
      <c r="E861" s="572"/>
      <c r="F861" s="572"/>
      <c r="G861" s="572"/>
      <c r="H861" s="572"/>
      <c r="I861" s="572"/>
      <c r="J861" s="572"/>
      <c r="K861" s="572"/>
      <c r="L861" s="572"/>
      <c r="M861" s="572"/>
      <c r="N861" s="572"/>
      <c r="O861" s="572"/>
      <c r="P861" s="572"/>
      <c r="Q861" s="572"/>
      <c r="R861" s="572"/>
      <c r="S861" s="572"/>
      <c r="T861" s="572"/>
      <c r="U861" s="572"/>
      <c r="V861" s="572"/>
      <c r="W861" s="572"/>
      <c r="X861" s="572"/>
      <c r="Y861" s="572"/>
    </row>
    <row r="862" spans="1:25" ht="12.75" customHeight="1">
      <c r="A862" s="571"/>
      <c r="B862" s="572"/>
      <c r="C862" s="572"/>
      <c r="D862" s="572"/>
      <c r="E862" s="572"/>
      <c r="F862" s="572"/>
      <c r="G862" s="572"/>
      <c r="H862" s="572"/>
      <c r="I862" s="572"/>
      <c r="J862" s="572"/>
      <c r="K862" s="572"/>
      <c r="L862" s="572"/>
      <c r="M862" s="572"/>
      <c r="N862" s="572"/>
      <c r="O862" s="572"/>
      <c r="P862" s="572"/>
      <c r="Q862" s="572"/>
      <c r="R862" s="572"/>
      <c r="S862" s="572"/>
      <c r="T862" s="572"/>
      <c r="U862" s="572"/>
      <c r="V862" s="572"/>
      <c r="W862" s="572"/>
      <c r="X862" s="572"/>
      <c r="Y862" s="572"/>
    </row>
    <row r="863" spans="1:25" ht="12.75" customHeight="1">
      <c r="A863" s="571"/>
      <c r="B863" s="572"/>
      <c r="C863" s="572"/>
      <c r="D863" s="572"/>
      <c r="E863" s="572"/>
      <c r="F863" s="572"/>
      <c r="G863" s="572"/>
      <c r="H863" s="572"/>
      <c r="I863" s="572"/>
      <c r="J863" s="572"/>
      <c r="K863" s="572"/>
      <c r="L863" s="572"/>
      <c r="M863" s="572"/>
      <c r="N863" s="572"/>
      <c r="O863" s="572"/>
      <c r="P863" s="572"/>
      <c r="Q863" s="572"/>
      <c r="R863" s="572"/>
      <c r="S863" s="572"/>
      <c r="T863" s="572"/>
      <c r="U863" s="572"/>
      <c r="V863" s="572"/>
      <c r="W863" s="572"/>
      <c r="X863" s="572"/>
      <c r="Y863" s="572"/>
    </row>
    <row r="864" spans="1:25" ht="12.75" customHeight="1">
      <c r="A864" s="571"/>
      <c r="B864" s="572"/>
      <c r="C864" s="572"/>
      <c r="D864" s="572"/>
      <c r="E864" s="572"/>
      <c r="F864" s="572"/>
      <c r="G864" s="572"/>
      <c r="H864" s="572"/>
      <c r="I864" s="572"/>
      <c r="J864" s="572"/>
      <c r="K864" s="572"/>
      <c r="L864" s="572"/>
      <c r="M864" s="572"/>
      <c r="N864" s="572"/>
      <c r="O864" s="572"/>
      <c r="P864" s="572"/>
      <c r="Q864" s="572"/>
      <c r="R864" s="572"/>
      <c r="S864" s="572"/>
      <c r="T864" s="572"/>
      <c r="U864" s="572"/>
      <c r="V864" s="572"/>
      <c r="W864" s="572"/>
      <c r="X864" s="572"/>
      <c r="Y864" s="572"/>
    </row>
    <row r="865" spans="1:25" ht="12.75" customHeight="1">
      <c r="A865" s="571"/>
      <c r="B865" s="572"/>
      <c r="C865" s="572"/>
      <c r="D865" s="572"/>
      <c r="E865" s="572"/>
      <c r="F865" s="572"/>
      <c r="G865" s="572"/>
      <c r="H865" s="572"/>
      <c r="I865" s="572"/>
      <c r="J865" s="572"/>
      <c r="K865" s="572"/>
      <c r="L865" s="572"/>
      <c r="M865" s="572"/>
      <c r="N865" s="572"/>
      <c r="O865" s="572"/>
      <c r="P865" s="572"/>
      <c r="Q865" s="572"/>
      <c r="R865" s="572"/>
      <c r="S865" s="572"/>
      <c r="T865" s="572"/>
      <c r="U865" s="572"/>
      <c r="V865" s="572"/>
      <c r="W865" s="572"/>
      <c r="X865" s="572"/>
      <c r="Y865" s="572"/>
    </row>
    <row r="866" spans="1:25" ht="12.75" customHeight="1">
      <c r="A866" s="571"/>
      <c r="B866" s="572"/>
      <c r="C866" s="572"/>
      <c r="D866" s="572"/>
      <c r="E866" s="572"/>
      <c r="F866" s="572"/>
      <c r="G866" s="572"/>
      <c r="H866" s="572"/>
      <c r="I866" s="572"/>
      <c r="J866" s="572"/>
      <c r="K866" s="572"/>
      <c r="L866" s="572"/>
      <c r="M866" s="572"/>
      <c r="N866" s="572"/>
      <c r="O866" s="572"/>
      <c r="P866" s="572"/>
      <c r="Q866" s="572"/>
      <c r="R866" s="572"/>
      <c r="S866" s="572"/>
      <c r="T866" s="572"/>
      <c r="U866" s="572"/>
      <c r="V866" s="572"/>
      <c r="W866" s="572"/>
      <c r="X866" s="572"/>
      <c r="Y866" s="572"/>
    </row>
    <row r="867" spans="1:25" ht="12.75" customHeight="1">
      <c r="A867" s="571"/>
      <c r="B867" s="572"/>
      <c r="C867" s="572"/>
      <c r="D867" s="572"/>
      <c r="E867" s="572"/>
      <c r="F867" s="572"/>
      <c r="G867" s="572"/>
      <c r="H867" s="572"/>
      <c r="I867" s="572"/>
      <c r="J867" s="572"/>
      <c r="K867" s="572"/>
      <c r="L867" s="572"/>
      <c r="M867" s="572"/>
      <c r="N867" s="572"/>
      <c r="O867" s="572"/>
      <c r="P867" s="572"/>
      <c r="Q867" s="572"/>
      <c r="R867" s="572"/>
      <c r="S867" s="572"/>
      <c r="T867" s="572"/>
      <c r="U867" s="572"/>
      <c r="V867" s="572"/>
      <c r="W867" s="572"/>
      <c r="X867" s="572"/>
      <c r="Y867" s="572"/>
    </row>
    <row r="868" spans="1:25" ht="12.75" customHeight="1">
      <c r="A868" s="571"/>
      <c r="B868" s="572"/>
      <c r="C868" s="572"/>
      <c r="D868" s="572"/>
      <c r="E868" s="572"/>
      <c r="F868" s="572"/>
      <c r="G868" s="572"/>
      <c r="H868" s="572"/>
      <c r="I868" s="572"/>
      <c r="J868" s="572"/>
      <c r="K868" s="572"/>
      <c r="L868" s="572"/>
      <c r="M868" s="572"/>
      <c r="N868" s="572"/>
      <c r="O868" s="572"/>
      <c r="P868" s="572"/>
      <c r="Q868" s="572"/>
      <c r="R868" s="572"/>
      <c r="S868" s="572"/>
      <c r="T868" s="572"/>
      <c r="U868" s="572"/>
      <c r="V868" s="572"/>
      <c r="W868" s="572"/>
      <c r="X868" s="572"/>
      <c r="Y868" s="572"/>
    </row>
    <row r="869" spans="1:25" ht="12.75" customHeight="1">
      <c r="A869" s="571"/>
      <c r="B869" s="572"/>
      <c r="C869" s="572"/>
      <c r="D869" s="572"/>
      <c r="E869" s="572"/>
      <c r="F869" s="572"/>
      <c r="G869" s="572"/>
      <c r="H869" s="572"/>
      <c r="I869" s="572"/>
      <c r="J869" s="572"/>
      <c r="K869" s="572"/>
      <c r="L869" s="572"/>
      <c r="M869" s="572"/>
      <c r="N869" s="572"/>
      <c r="O869" s="572"/>
      <c r="P869" s="572"/>
      <c r="Q869" s="572"/>
      <c r="R869" s="572"/>
      <c r="S869" s="572"/>
      <c r="T869" s="572"/>
      <c r="U869" s="572"/>
      <c r="V869" s="572"/>
      <c r="W869" s="572"/>
      <c r="X869" s="572"/>
      <c r="Y869" s="572"/>
    </row>
    <row r="870" spans="1:25" ht="12.75" customHeight="1">
      <c r="A870" s="571"/>
      <c r="B870" s="572"/>
      <c r="C870" s="572"/>
      <c r="D870" s="572"/>
      <c r="E870" s="572"/>
      <c r="F870" s="572"/>
      <c r="G870" s="572"/>
      <c r="H870" s="572"/>
      <c r="I870" s="572"/>
      <c r="J870" s="572"/>
      <c r="K870" s="572"/>
      <c r="L870" s="572"/>
      <c r="M870" s="572"/>
      <c r="N870" s="572"/>
      <c r="O870" s="572"/>
      <c r="P870" s="572"/>
      <c r="Q870" s="572"/>
      <c r="R870" s="572"/>
      <c r="S870" s="572"/>
      <c r="T870" s="572"/>
      <c r="U870" s="572"/>
      <c r="V870" s="572"/>
      <c r="W870" s="572"/>
      <c r="X870" s="572"/>
      <c r="Y870" s="572"/>
    </row>
    <row r="871" spans="1:25" ht="12.75" customHeight="1">
      <c r="A871" s="571"/>
      <c r="B871" s="572"/>
      <c r="C871" s="572"/>
      <c r="D871" s="572"/>
      <c r="E871" s="572"/>
      <c r="F871" s="572"/>
      <c r="G871" s="572"/>
      <c r="H871" s="572"/>
      <c r="I871" s="572"/>
      <c r="J871" s="572"/>
      <c r="K871" s="572"/>
      <c r="L871" s="572"/>
      <c r="M871" s="572"/>
      <c r="N871" s="572"/>
      <c r="O871" s="572"/>
      <c r="P871" s="572"/>
      <c r="Q871" s="572"/>
      <c r="R871" s="572"/>
      <c r="S871" s="572"/>
      <c r="T871" s="572"/>
      <c r="U871" s="572"/>
      <c r="V871" s="572"/>
      <c r="W871" s="572"/>
      <c r="X871" s="572"/>
      <c r="Y871" s="572"/>
    </row>
    <row r="872" spans="1:25" ht="12.75" customHeight="1">
      <c r="A872" s="571"/>
      <c r="B872" s="572"/>
      <c r="C872" s="572"/>
      <c r="D872" s="572"/>
      <c r="E872" s="572"/>
      <c r="F872" s="572"/>
      <c r="G872" s="572"/>
      <c r="H872" s="572"/>
      <c r="I872" s="572"/>
      <c r="J872" s="572"/>
      <c r="K872" s="572"/>
      <c r="L872" s="572"/>
      <c r="M872" s="572"/>
      <c r="N872" s="572"/>
      <c r="O872" s="572"/>
      <c r="P872" s="572"/>
      <c r="Q872" s="572"/>
      <c r="R872" s="572"/>
      <c r="S872" s="572"/>
      <c r="T872" s="572"/>
      <c r="U872" s="572"/>
      <c r="V872" s="572"/>
      <c r="W872" s="572"/>
      <c r="X872" s="572"/>
      <c r="Y872" s="572"/>
    </row>
    <row r="873" spans="1:25" ht="12.75" customHeight="1">
      <c r="A873" s="571"/>
      <c r="B873" s="572"/>
      <c r="C873" s="572"/>
      <c r="D873" s="572"/>
      <c r="E873" s="572"/>
      <c r="F873" s="572"/>
      <c r="G873" s="572"/>
      <c r="H873" s="572"/>
      <c r="I873" s="572"/>
      <c r="J873" s="572"/>
      <c r="K873" s="572"/>
      <c r="L873" s="572"/>
      <c r="M873" s="572"/>
      <c r="N873" s="572"/>
      <c r="O873" s="572"/>
      <c r="P873" s="572"/>
      <c r="Q873" s="572"/>
      <c r="R873" s="572"/>
      <c r="S873" s="572"/>
      <c r="T873" s="572"/>
      <c r="U873" s="572"/>
      <c r="V873" s="572"/>
      <c r="W873" s="572"/>
      <c r="X873" s="572"/>
      <c r="Y873" s="572"/>
    </row>
    <row r="874" spans="1:25" ht="12.75" customHeight="1">
      <c r="A874" s="571"/>
      <c r="B874" s="572"/>
      <c r="C874" s="572"/>
      <c r="D874" s="572"/>
      <c r="E874" s="572"/>
      <c r="F874" s="572"/>
      <c r="G874" s="572"/>
      <c r="H874" s="572"/>
      <c r="I874" s="572"/>
      <c r="J874" s="572"/>
      <c r="K874" s="572"/>
      <c r="L874" s="572"/>
      <c r="M874" s="572"/>
      <c r="N874" s="572"/>
      <c r="O874" s="572"/>
      <c r="P874" s="572"/>
      <c r="Q874" s="572"/>
      <c r="R874" s="572"/>
      <c r="S874" s="572"/>
      <c r="T874" s="572"/>
      <c r="U874" s="572"/>
      <c r="V874" s="572"/>
      <c r="W874" s="572"/>
      <c r="X874" s="572"/>
      <c r="Y874" s="572"/>
    </row>
    <row r="875" spans="1:25" ht="12.75" customHeight="1">
      <c r="A875" s="571"/>
      <c r="B875" s="572"/>
      <c r="C875" s="572"/>
      <c r="D875" s="572"/>
      <c r="E875" s="572"/>
      <c r="F875" s="572"/>
      <c r="G875" s="572"/>
      <c r="H875" s="572"/>
      <c r="I875" s="572"/>
      <c r="J875" s="572"/>
      <c r="K875" s="572"/>
      <c r="L875" s="572"/>
      <c r="M875" s="572"/>
      <c r="N875" s="572"/>
      <c r="O875" s="572"/>
      <c r="P875" s="572"/>
      <c r="Q875" s="572"/>
      <c r="R875" s="572"/>
      <c r="S875" s="572"/>
      <c r="T875" s="572"/>
      <c r="U875" s="572"/>
      <c r="V875" s="572"/>
      <c r="W875" s="572"/>
      <c r="X875" s="572"/>
      <c r="Y875" s="572"/>
    </row>
    <row r="876" spans="1:25" ht="12.75" customHeight="1">
      <c r="A876" s="571"/>
      <c r="B876" s="572"/>
      <c r="C876" s="572"/>
      <c r="D876" s="572"/>
      <c r="E876" s="572"/>
      <c r="F876" s="572"/>
      <c r="G876" s="572"/>
      <c r="H876" s="572"/>
      <c r="I876" s="572"/>
      <c r="J876" s="572"/>
      <c r="K876" s="572"/>
      <c r="L876" s="572"/>
      <c r="M876" s="572"/>
      <c r="N876" s="572"/>
      <c r="O876" s="572"/>
      <c r="P876" s="572"/>
      <c r="Q876" s="572"/>
      <c r="R876" s="572"/>
      <c r="S876" s="572"/>
      <c r="T876" s="572"/>
      <c r="U876" s="572"/>
      <c r="V876" s="572"/>
      <c r="W876" s="572"/>
      <c r="X876" s="572"/>
      <c r="Y876" s="572"/>
    </row>
    <row r="877" spans="1:25" ht="12.75" customHeight="1">
      <c r="A877" s="571"/>
      <c r="B877" s="572"/>
      <c r="C877" s="572"/>
      <c r="D877" s="572"/>
      <c r="E877" s="572"/>
      <c r="F877" s="572"/>
      <c r="G877" s="572"/>
      <c r="H877" s="572"/>
      <c r="I877" s="572"/>
      <c r="J877" s="572"/>
      <c r="K877" s="572"/>
      <c r="L877" s="572"/>
      <c r="M877" s="572"/>
      <c r="N877" s="572"/>
      <c r="O877" s="572"/>
      <c r="P877" s="572"/>
      <c r="Q877" s="572"/>
      <c r="R877" s="572"/>
      <c r="S877" s="572"/>
      <c r="T877" s="572"/>
      <c r="U877" s="572"/>
      <c r="V877" s="572"/>
      <c r="W877" s="572"/>
      <c r="X877" s="572"/>
      <c r="Y877" s="572"/>
    </row>
    <row r="878" spans="1:25" ht="12.75" customHeight="1">
      <c r="A878" s="571"/>
      <c r="B878" s="572"/>
      <c r="C878" s="572"/>
      <c r="D878" s="572"/>
      <c r="E878" s="572"/>
      <c r="F878" s="572"/>
      <c r="G878" s="572"/>
      <c r="H878" s="572"/>
      <c r="I878" s="572"/>
      <c r="J878" s="572"/>
      <c r="K878" s="572"/>
      <c r="L878" s="572"/>
      <c r="M878" s="572"/>
      <c r="N878" s="572"/>
      <c r="O878" s="572"/>
      <c r="P878" s="572"/>
      <c r="Q878" s="572"/>
      <c r="R878" s="572"/>
      <c r="S878" s="572"/>
      <c r="T878" s="572"/>
      <c r="U878" s="572"/>
      <c r="V878" s="572"/>
      <c r="W878" s="572"/>
      <c r="X878" s="572"/>
      <c r="Y878" s="572"/>
    </row>
    <row r="879" spans="1:25" ht="12.75" customHeight="1">
      <c r="A879" s="571"/>
      <c r="B879" s="572"/>
      <c r="C879" s="572"/>
      <c r="D879" s="572"/>
      <c r="E879" s="572"/>
      <c r="F879" s="572"/>
      <c r="G879" s="572"/>
      <c r="H879" s="572"/>
      <c r="I879" s="572"/>
      <c r="J879" s="572"/>
      <c r="K879" s="572"/>
      <c r="L879" s="572"/>
      <c r="M879" s="572"/>
      <c r="N879" s="572"/>
      <c r="O879" s="572"/>
      <c r="P879" s="572"/>
      <c r="Q879" s="572"/>
      <c r="R879" s="572"/>
      <c r="S879" s="572"/>
      <c r="T879" s="572"/>
      <c r="U879" s="572"/>
      <c r="V879" s="572"/>
      <c r="W879" s="572"/>
      <c r="X879" s="572"/>
      <c r="Y879" s="572"/>
    </row>
    <row r="880" spans="1:25" ht="12.75" customHeight="1">
      <c r="A880" s="571"/>
      <c r="B880" s="572"/>
      <c r="C880" s="572"/>
      <c r="D880" s="572"/>
      <c r="E880" s="572"/>
      <c r="F880" s="572"/>
      <c r="G880" s="572"/>
      <c r="H880" s="572"/>
      <c r="I880" s="572"/>
      <c r="J880" s="572"/>
      <c r="K880" s="572"/>
      <c r="L880" s="572"/>
      <c r="M880" s="572"/>
      <c r="N880" s="572"/>
      <c r="O880" s="572"/>
      <c r="P880" s="572"/>
      <c r="Q880" s="572"/>
      <c r="R880" s="572"/>
      <c r="S880" s="572"/>
      <c r="T880" s="572"/>
      <c r="U880" s="572"/>
      <c r="V880" s="572"/>
      <c r="W880" s="572"/>
      <c r="X880" s="572"/>
      <c r="Y880" s="572"/>
    </row>
    <row r="881" spans="1:25" ht="12.75" customHeight="1">
      <c r="A881" s="571"/>
      <c r="B881" s="572"/>
      <c r="C881" s="572"/>
      <c r="D881" s="572"/>
      <c r="E881" s="572"/>
      <c r="F881" s="572"/>
      <c r="G881" s="572"/>
      <c r="H881" s="572"/>
      <c r="I881" s="572"/>
      <c r="J881" s="572"/>
      <c r="K881" s="572"/>
      <c r="L881" s="572"/>
      <c r="M881" s="572"/>
      <c r="N881" s="572"/>
      <c r="O881" s="572"/>
      <c r="P881" s="572"/>
      <c r="Q881" s="572"/>
      <c r="R881" s="572"/>
      <c r="S881" s="572"/>
      <c r="T881" s="572"/>
      <c r="U881" s="572"/>
      <c r="V881" s="572"/>
      <c r="W881" s="572"/>
      <c r="X881" s="572"/>
      <c r="Y881" s="572"/>
    </row>
    <row r="882" spans="1:25" ht="12.75" customHeight="1">
      <c r="A882" s="571"/>
      <c r="B882" s="572"/>
      <c r="C882" s="572"/>
      <c r="D882" s="572"/>
      <c r="E882" s="572"/>
      <c r="F882" s="572"/>
      <c r="G882" s="572"/>
      <c r="H882" s="572"/>
      <c r="I882" s="572"/>
      <c r="J882" s="572"/>
      <c r="K882" s="572"/>
      <c r="L882" s="572"/>
      <c r="M882" s="572"/>
      <c r="N882" s="572"/>
      <c r="O882" s="572"/>
      <c r="P882" s="572"/>
      <c r="Q882" s="572"/>
      <c r="R882" s="572"/>
      <c r="S882" s="572"/>
      <c r="T882" s="572"/>
      <c r="U882" s="572"/>
      <c r="V882" s="572"/>
      <c r="W882" s="572"/>
      <c r="X882" s="572"/>
      <c r="Y882" s="572"/>
    </row>
    <row r="883" spans="1:25" ht="12.75" customHeight="1">
      <c r="A883" s="571"/>
      <c r="B883" s="572"/>
      <c r="C883" s="572"/>
      <c r="D883" s="572"/>
      <c r="E883" s="572"/>
      <c r="F883" s="572"/>
      <c r="G883" s="572"/>
      <c r="H883" s="572"/>
      <c r="I883" s="572"/>
      <c r="J883" s="572"/>
      <c r="K883" s="572"/>
      <c r="L883" s="572"/>
      <c r="M883" s="572"/>
      <c r="N883" s="572"/>
      <c r="O883" s="572"/>
      <c r="P883" s="572"/>
      <c r="Q883" s="572"/>
      <c r="R883" s="572"/>
      <c r="S883" s="572"/>
      <c r="T883" s="572"/>
      <c r="U883" s="572"/>
      <c r="V883" s="572"/>
      <c r="W883" s="572"/>
      <c r="X883" s="572"/>
      <c r="Y883" s="572"/>
    </row>
    <row r="884" spans="1:25" ht="12.75" customHeight="1">
      <c r="A884" s="571"/>
      <c r="B884" s="572"/>
      <c r="C884" s="572"/>
      <c r="D884" s="572"/>
      <c r="E884" s="572"/>
      <c r="F884" s="572"/>
      <c r="G884" s="572"/>
      <c r="H884" s="572"/>
      <c r="I884" s="572"/>
      <c r="J884" s="572"/>
      <c r="K884" s="572"/>
      <c r="L884" s="572"/>
      <c r="M884" s="572"/>
      <c r="N884" s="572"/>
      <c r="O884" s="572"/>
      <c r="P884" s="572"/>
      <c r="Q884" s="572"/>
      <c r="R884" s="572"/>
      <c r="S884" s="572"/>
      <c r="T884" s="572"/>
      <c r="U884" s="572"/>
      <c r="V884" s="572"/>
      <c r="W884" s="572"/>
      <c r="X884" s="572"/>
      <c r="Y884" s="572"/>
    </row>
    <row r="885" spans="1:25" ht="12.75" customHeight="1">
      <c r="A885" s="571"/>
      <c r="B885" s="572"/>
      <c r="C885" s="572"/>
      <c r="D885" s="572"/>
      <c r="E885" s="572"/>
      <c r="F885" s="572"/>
      <c r="G885" s="572"/>
      <c r="H885" s="572"/>
      <c r="I885" s="572"/>
      <c r="J885" s="572"/>
      <c r="K885" s="572"/>
      <c r="L885" s="572"/>
      <c r="M885" s="572"/>
      <c r="N885" s="572"/>
      <c r="O885" s="572"/>
      <c r="P885" s="572"/>
      <c r="Q885" s="572"/>
      <c r="R885" s="572"/>
      <c r="S885" s="572"/>
      <c r="T885" s="572"/>
      <c r="U885" s="572"/>
      <c r="V885" s="572"/>
      <c r="W885" s="572"/>
      <c r="X885" s="572"/>
      <c r="Y885" s="572"/>
    </row>
    <row r="886" spans="1:25" ht="12.75" customHeight="1">
      <c r="A886" s="571"/>
      <c r="B886" s="572"/>
      <c r="C886" s="572"/>
      <c r="D886" s="572"/>
      <c r="E886" s="572"/>
      <c r="F886" s="572"/>
      <c r="G886" s="572"/>
      <c r="H886" s="572"/>
      <c r="I886" s="572"/>
      <c r="J886" s="572"/>
      <c r="K886" s="572"/>
      <c r="L886" s="572"/>
      <c r="M886" s="572"/>
      <c r="N886" s="572"/>
      <c r="O886" s="572"/>
      <c r="P886" s="572"/>
      <c r="Q886" s="572"/>
      <c r="R886" s="572"/>
      <c r="S886" s="572"/>
      <c r="T886" s="572"/>
      <c r="U886" s="572"/>
      <c r="V886" s="572"/>
      <c r="W886" s="572"/>
      <c r="X886" s="572"/>
      <c r="Y886" s="572"/>
    </row>
    <row r="887" spans="1:25" ht="12.75" customHeight="1">
      <c r="A887" s="571"/>
      <c r="B887" s="572"/>
      <c r="C887" s="572"/>
      <c r="D887" s="572"/>
      <c r="E887" s="572"/>
      <c r="F887" s="572"/>
      <c r="G887" s="572"/>
      <c r="H887" s="572"/>
      <c r="I887" s="572"/>
      <c r="J887" s="572"/>
      <c r="K887" s="572"/>
      <c r="L887" s="572"/>
      <c r="M887" s="572"/>
      <c r="N887" s="572"/>
      <c r="O887" s="572"/>
      <c r="P887" s="572"/>
      <c r="Q887" s="572"/>
      <c r="R887" s="572"/>
      <c r="S887" s="572"/>
      <c r="T887" s="572"/>
      <c r="U887" s="572"/>
      <c r="V887" s="572"/>
      <c r="W887" s="572"/>
      <c r="X887" s="572"/>
      <c r="Y887" s="572"/>
    </row>
    <row r="888" spans="1:25" ht="12.75" customHeight="1">
      <c r="A888" s="571"/>
      <c r="B888" s="572"/>
      <c r="C888" s="572"/>
      <c r="D888" s="572"/>
      <c r="E888" s="572"/>
      <c r="F888" s="572"/>
      <c r="G888" s="572"/>
      <c r="H888" s="572"/>
      <c r="I888" s="572"/>
      <c r="J888" s="572"/>
      <c r="K888" s="572"/>
      <c r="L888" s="572"/>
      <c r="M888" s="572"/>
      <c r="N888" s="572"/>
      <c r="O888" s="572"/>
      <c r="P888" s="572"/>
      <c r="Q888" s="572"/>
      <c r="R888" s="572"/>
      <c r="S888" s="572"/>
      <c r="T888" s="572"/>
      <c r="U888" s="572"/>
      <c r="V888" s="572"/>
      <c r="W888" s="572"/>
      <c r="X888" s="572"/>
      <c r="Y888" s="572"/>
    </row>
    <row r="889" spans="1:25" ht="12.75" customHeight="1">
      <c r="A889" s="571"/>
      <c r="B889" s="572"/>
      <c r="C889" s="572"/>
      <c r="D889" s="572"/>
      <c r="E889" s="572"/>
      <c r="F889" s="572"/>
      <c r="G889" s="572"/>
      <c r="H889" s="572"/>
      <c r="I889" s="572"/>
      <c r="J889" s="572"/>
      <c r="K889" s="572"/>
      <c r="L889" s="572"/>
      <c r="M889" s="572"/>
      <c r="N889" s="572"/>
      <c r="O889" s="572"/>
      <c r="P889" s="572"/>
      <c r="Q889" s="572"/>
      <c r="R889" s="572"/>
      <c r="S889" s="572"/>
      <c r="T889" s="572"/>
      <c r="U889" s="572"/>
      <c r="V889" s="572"/>
      <c r="W889" s="572"/>
      <c r="X889" s="572"/>
      <c r="Y889" s="572"/>
    </row>
    <row r="890" spans="1:25" ht="12.75" customHeight="1">
      <c r="A890" s="571"/>
      <c r="B890" s="572"/>
      <c r="C890" s="572"/>
      <c r="D890" s="572"/>
      <c r="E890" s="572"/>
      <c r="F890" s="572"/>
      <c r="G890" s="572"/>
      <c r="H890" s="572"/>
      <c r="I890" s="572"/>
      <c r="J890" s="572"/>
      <c r="K890" s="572"/>
      <c r="L890" s="572"/>
      <c r="M890" s="572"/>
      <c r="N890" s="572"/>
      <c r="O890" s="572"/>
      <c r="P890" s="572"/>
      <c r="Q890" s="572"/>
      <c r="R890" s="572"/>
      <c r="S890" s="572"/>
      <c r="T890" s="572"/>
      <c r="U890" s="572"/>
      <c r="V890" s="572"/>
      <c r="W890" s="572"/>
      <c r="X890" s="572"/>
      <c r="Y890" s="572"/>
    </row>
    <row r="891" spans="1:25" ht="12.75" customHeight="1">
      <c r="A891" s="571"/>
      <c r="B891" s="572"/>
      <c r="C891" s="572"/>
      <c r="D891" s="572"/>
      <c r="E891" s="572"/>
      <c r="F891" s="572"/>
      <c r="G891" s="572"/>
      <c r="H891" s="572"/>
      <c r="I891" s="572"/>
      <c r="J891" s="572"/>
      <c r="K891" s="572"/>
      <c r="L891" s="572"/>
      <c r="M891" s="572"/>
      <c r="N891" s="572"/>
      <c r="O891" s="572"/>
      <c r="P891" s="572"/>
      <c r="Q891" s="572"/>
      <c r="R891" s="572"/>
      <c r="S891" s="572"/>
      <c r="T891" s="572"/>
      <c r="U891" s="572"/>
      <c r="V891" s="572"/>
      <c r="W891" s="572"/>
      <c r="X891" s="572"/>
      <c r="Y891" s="572"/>
    </row>
    <row r="892" spans="1:25" ht="12.75" customHeight="1">
      <c r="A892" s="571"/>
      <c r="B892" s="572"/>
      <c r="C892" s="572"/>
      <c r="D892" s="572"/>
      <c r="E892" s="572"/>
      <c r="F892" s="572"/>
      <c r="G892" s="572"/>
      <c r="H892" s="572"/>
      <c r="I892" s="572"/>
      <c r="J892" s="572"/>
      <c r="K892" s="572"/>
      <c r="L892" s="572"/>
      <c r="M892" s="572"/>
      <c r="N892" s="572"/>
      <c r="O892" s="572"/>
      <c r="P892" s="572"/>
      <c r="Q892" s="572"/>
      <c r="R892" s="572"/>
      <c r="S892" s="572"/>
      <c r="T892" s="572"/>
      <c r="U892" s="572"/>
      <c r="V892" s="572"/>
      <c r="W892" s="572"/>
      <c r="X892" s="572"/>
      <c r="Y892" s="572"/>
    </row>
    <row r="893" spans="1:25" ht="12.75" customHeight="1">
      <c r="A893" s="571"/>
      <c r="B893" s="572"/>
      <c r="C893" s="572"/>
      <c r="D893" s="572"/>
      <c r="E893" s="572"/>
      <c r="F893" s="572"/>
      <c r="G893" s="572"/>
      <c r="H893" s="572"/>
      <c r="I893" s="572"/>
      <c r="J893" s="572"/>
      <c r="K893" s="572"/>
      <c r="L893" s="572"/>
      <c r="M893" s="572"/>
      <c r="N893" s="572"/>
      <c r="O893" s="572"/>
      <c r="P893" s="572"/>
      <c r="Q893" s="572"/>
      <c r="R893" s="572"/>
      <c r="S893" s="572"/>
      <c r="T893" s="572"/>
      <c r="U893" s="572"/>
      <c r="V893" s="572"/>
      <c r="W893" s="572"/>
      <c r="X893" s="572"/>
      <c r="Y893" s="572"/>
    </row>
    <row r="894" spans="1:25" ht="12.75" customHeight="1">
      <c r="A894" s="571"/>
      <c r="B894" s="572"/>
      <c r="C894" s="572"/>
      <c r="D894" s="572"/>
      <c r="E894" s="572"/>
      <c r="F894" s="572"/>
      <c r="G894" s="572"/>
      <c r="H894" s="572"/>
      <c r="I894" s="572"/>
      <c r="J894" s="572"/>
      <c r="K894" s="572"/>
      <c r="L894" s="572"/>
      <c r="M894" s="572"/>
      <c r="N894" s="572"/>
      <c r="O894" s="572"/>
      <c r="P894" s="572"/>
      <c r="Q894" s="572"/>
      <c r="R894" s="572"/>
      <c r="S894" s="572"/>
      <c r="T894" s="572"/>
      <c r="U894" s="572"/>
      <c r="V894" s="572"/>
      <c r="W894" s="572"/>
      <c r="X894" s="572"/>
      <c r="Y894" s="572"/>
    </row>
    <row r="895" spans="1:25" ht="12.75" customHeight="1">
      <c r="A895" s="571"/>
      <c r="B895" s="572"/>
      <c r="C895" s="572"/>
      <c r="D895" s="572"/>
      <c r="E895" s="572"/>
      <c r="F895" s="572"/>
      <c r="G895" s="572"/>
      <c r="H895" s="572"/>
      <c r="I895" s="572"/>
      <c r="J895" s="572"/>
      <c r="K895" s="572"/>
      <c r="L895" s="572"/>
      <c r="M895" s="572"/>
      <c r="N895" s="572"/>
      <c r="O895" s="572"/>
      <c r="P895" s="572"/>
      <c r="Q895" s="572"/>
      <c r="R895" s="572"/>
      <c r="S895" s="572"/>
      <c r="T895" s="572"/>
      <c r="U895" s="572"/>
      <c r="V895" s="572"/>
      <c r="W895" s="572"/>
      <c r="X895" s="572"/>
      <c r="Y895" s="572"/>
    </row>
    <row r="896" spans="1:25" ht="12.75" customHeight="1">
      <c r="A896" s="571"/>
      <c r="B896" s="572"/>
      <c r="C896" s="572"/>
      <c r="D896" s="572"/>
      <c r="E896" s="572"/>
      <c r="F896" s="572"/>
      <c r="G896" s="572"/>
      <c r="H896" s="572"/>
      <c r="I896" s="572"/>
      <c r="J896" s="572"/>
      <c r="K896" s="572"/>
      <c r="L896" s="572"/>
      <c r="M896" s="572"/>
      <c r="N896" s="572"/>
      <c r="O896" s="572"/>
      <c r="P896" s="572"/>
      <c r="Q896" s="572"/>
      <c r="R896" s="572"/>
      <c r="S896" s="572"/>
      <c r="T896" s="572"/>
      <c r="U896" s="572"/>
      <c r="V896" s="572"/>
      <c r="W896" s="572"/>
      <c r="X896" s="572"/>
      <c r="Y896" s="572"/>
    </row>
    <row r="897" spans="1:25" ht="12.75" customHeight="1">
      <c r="A897" s="571"/>
      <c r="B897" s="572"/>
      <c r="C897" s="572"/>
      <c r="D897" s="572"/>
      <c r="E897" s="572"/>
      <c r="F897" s="572"/>
      <c r="G897" s="572"/>
      <c r="H897" s="572"/>
      <c r="I897" s="572"/>
      <c r="J897" s="572"/>
      <c r="K897" s="572"/>
      <c r="L897" s="572"/>
      <c r="M897" s="572"/>
      <c r="N897" s="572"/>
      <c r="O897" s="572"/>
      <c r="P897" s="572"/>
      <c r="Q897" s="572"/>
      <c r="R897" s="572"/>
      <c r="S897" s="572"/>
      <c r="T897" s="572"/>
      <c r="U897" s="572"/>
      <c r="V897" s="572"/>
      <c r="W897" s="572"/>
      <c r="X897" s="572"/>
      <c r="Y897" s="572"/>
    </row>
    <row r="898" spans="1:25" ht="12.75" customHeight="1">
      <c r="A898" s="571"/>
      <c r="B898" s="572"/>
      <c r="C898" s="572"/>
      <c r="D898" s="572"/>
      <c r="E898" s="572"/>
      <c r="F898" s="572"/>
      <c r="G898" s="572"/>
      <c r="H898" s="572"/>
      <c r="I898" s="572"/>
      <c r="J898" s="572"/>
      <c r="K898" s="572"/>
      <c r="L898" s="572"/>
      <c r="M898" s="572"/>
      <c r="N898" s="572"/>
      <c r="O898" s="572"/>
      <c r="P898" s="572"/>
      <c r="Q898" s="572"/>
      <c r="R898" s="572"/>
      <c r="S898" s="572"/>
      <c r="T898" s="572"/>
      <c r="U898" s="572"/>
      <c r="V898" s="572"/>
      <c r="W898" s="572"/>
      <c r="X898" s="572"/>
      <c r="Y898" s="572"/>
    </row>
    <row r="899" spans="1:25" ht="12.75" customHeight="1">
      <c r="A899" s="571"/>
      <c r="B899" s="572"/>
      <c r="C899" s="572"/>
      <c r="D899" s="572"/>
      <c r="E899" s="572"/>
      <c r="F899" s="572"/>
      <c r="G899" s="572"/>
      <c r="H899" s="572"/>
      <c r="I899" s="572"/>
      <c r="J899" s="572"/>
      <c r="K899" s="572"/>
      <c r="L899" s="572"/>
      <c r="M899" s="572"/>
      <c r="N899" s="572"/>
      <c r="O899" s="572"/>
      <c r="P899" s="572"/>
      <c r="Q899" s="572"/>
      <c r="R899" s="572"/>
      <c r="S899" s="572"/>
      <c r="T899" s="572"/>
      <c r="U899" s="572"/>
      <c r="V899" s="572"/>
      <c r="W899" s="572"/>
      <c r="X899" s="572"/>
      <c r="Y899" s="572"/>
    </row>
    <row r="900" spans="1:25" ht="12.75" customHeight="1">
      <c r="A900" s="571"/>
      <c r="B900" s="572"/>
      <c r="C900" s="572"/>
      <c r="D900" s="572"/>
      <c r="E900" s="572"/>
      <c r="F900" s="572"/>
      <c r="G900" s="572"/>
      <c r="H900" s="572"/>
      <c r="I900" s="572"/>
      <c r="J900" s="572"/>
      <c r="K900" s="572"/>
      <c r="L900" s="572"/>
      <c r="M900" s="572"/>
      <c r="N900" s="572"/>
      <c r="O900" s="572"/>
      <c r="P900" s="572"/>
      <c r="Q900" s="572"/>
      <c r="R900" s="572"/>
      <c r="S900" s="572"/>
      <c r="T900" s="572"/>
      <c r="U900" s="572"/>
      <c r="V900" s="572"/>
      <c r="W900" s="572"/>
      <c r="X900" s="572"/>
      <c r="Y900" s="572"/>
    </row>
    <row r="901" spans="1:25" ht="12.75" customHeight="1">
      <c r="A901" s="571"/>
      <c r="B901" s="572"/>
      <c r="C901" s="572"/>
      <c r="D901" s="572"/>
      <c r="E901" s="572"/>
      <c r="F901" s="572"/>
      <c r="G901" s="572"/>
      <c r="H901" s="572"/>
      <c r="I901" s="572"/>
      <c r="J901" s="572"/>
      <c r="K901" s="572"/>
      <c r="L901" s="572"/>
      <c r="M901" s="572"/>
      <c r="N901" s="572"/>
      <c r="O901" s="572"/>
      <c r="P901" s="572"/>
      <c r="Q901" s="572"/>
      <c r="R901" s="572"/>
      <c r="S901" s="572"/>
      <c r="T901" s="572"/>
      <c r="U901" s="572"/>
      <c r="V901" s="572"/>
      <c r="W901" s="572"/>
      <c r="X901" s="572"/>
      <c r="Y901" s="572"/>
    </row>
    <row r="902" spans="1:25" ht="12.75" customHeight="1">
      <c r="A902" s="571"/>
      <c r="B902" s="572"/>
      <c r="C902" s="572"/>
      <c r="D902" s="572"/>
      <c r="E902" s="572"/>
      <c r="F902" s="572"/>
      <c r="G902" s="572"/>
      <c r="H902" s="572"/>
      <c r="I902" s="572"/>
      <c r="J902" s="572"/>
      <c r="K902" s="572"/>
      <c r="L902" s="572"/>
      <c r="M902" s="572"/>
      <c r="N902" s="572"/>
      <c r="O902" s="572"/>
      <c r="P902" s="572"/>
      <c r="Q902" s="572"/>
      <c r="R902" s="572"/>
      <c r="S902" s="572"/>
      <c r="T902" s="572"/>
      <c r="U902" s="572"/>
      <c r="V902" s="572"/>
      <c r="W902" s="572"/>
      <c r="X902" s="572"/>
      <c r="Y902" s="572"/>
    </row>
    <row r="903" spans="1:25" ht="12.75" customHeight="1">
      <c r="A903" s="571"/>
      <c r="B903" s="572"/>
      <c r="C903" s="572"/>
      <c r="D903" s="572"/>
      <c r="E903" s="572"/>
      <c r="F903" s="572"/>
      <c r="G903" s="572"/>
      <c r="H903" s="572"/>
      <c r="I903" s="572"/>
      <c r="J903" s="572"/>
      <c r="K903" s="572"/>
      <c r="L903" s="572"/>
      <c r="M903" s="572"/>
      <c r="N903" s="572"/>
      <c r="O903" s="572"/>
      <c r="P903" s="572"/>
      <c r="Q903" s="572"/>
      <c r="R903" s="572"/>
      <c r="S903" s="572"/>
      <c r="T903" s="572"/>
      <c r="U903" s="572"/>
      <c r="V903" s="572"/>
      <c r="W903" s="572"/>
      <c r="X903" s="572"/>
      <c r="Y903" s="572"/>
    </row>
    <row r="904" spans="1:25" ht="12.75" customHeight="1">
      <c r="A904" s="571"/>
      <c r="B904" s="572"/>
      <c r="C904" s="572"/>
      <c r="D904" s="572"/>
      <c r="E904" s="572"/>
      <c r="F904" s="572"/>
      <c r="G904" s="572"/>
      <c r="H904" s="572"/>
      <c r="I904" s="572"/>
      <c r="J904" s="572"/>
      <c r="K904" s="572"/>
      <c r="L904" s="572"/>
      <c r="M904" s="572"/>
      <c r="N904" s="572"/>
      <c r="O904" s="572"/>
      <c r="P904" s="572"/>
      <c r="Q904" s="572"/>
      <c r="R904" s="572"/>
      <c r="S904" s="572"/>
      <c r="T904" s="572"/>
      <c r="U904" s="572"/>
      <c r="V904" s="572"/>
      <c r="W904" s="572"/>
      <c r="X904" s="572"/>
      <c r="Y904" s="572"/>
    </row>
    <row r="905" spans="1:25" ht="12.75" customHeight="1">
      <c r="A905" s="571"/>
      <c r="B905" s="572"/>
      <c r="C905" s="572"/>
      <c r="D905" s="572"/>
      <c r="E905" s="572"/>
      <c r="F905" s="572"/>
      <c r="G905" s="572"/>
      <c r="H905" s="572"/>
      <c r="I905" s="572"/>
      <c r="J905" s="572"/>
      <c r="K905" s="572"/>
      <c r="L905" s="572"/>
      <c r="M905" s="572"/>
      <c r="N905" s="572"/>
      <c r="O905" s="572"/>
      <c r="P905" s="572"/>
      <c r="Q905" s="572"/>
      <c r="R905" s="572"/>
      <c r="S905" s="572"/>
      <c r="T905" s="572"/>
      <c r="U905" s="572"/>
      <c r="V905" s="572"/>
      <c r="W905" s="572"/>
      <c r="X905" s="572"/>
      <c r="Y905" s="572"/>
    </row>
    <row r="906" spans="1:25" ht="12.75" customHeight="1">
      <c r="A906" s="571"/>
      <c r="B906" s="572"/>
      <c r="C906" s="572"/>
      <c r="D906" s="572"/>
      <c r="E906" s="572"/>
      <c r="F906" s="572"/>
      <c r="G906" s="572"/>
      <c r="H906" s="572"/>
      <c r="I906" s="572"/>
      <c r="J906" s="572"/>
      <c r="K906" s="572"/>
      <c r="L906" s="572"/>
      <c r="M906" s="572"/>
      <c r="N906" s="572"/>
      <c r="O906" s="572"/>
      <c r="P906" s="572"/>
      <c r="Q906" s="572"/>
      <c r="R906" s="572"/>
      <c r="S906" s="572"/>
      <c r="T906" s="572"/>
      <c r="U906" s="572"/>
      <c r="V906" s="572"/>
      <c r="W906" s="572"/>
      <c r="X906" s="572"/>
      <c r="Y906" s="572"/>
    </row>
    <row r="907" spans="1:25" ht="12.75" customHeight="1">
      <c r="A907" s="571"/>
      <c r="B907" s="572"/>
      <c r="C907" s="572"/>
      <c r="D907" s="572"/>
      <c r="E907" s="572"/>
      <c r="F907" s="572"/>
      <c r="G907" s="572"/>
      <c r="H907" s="572"/>
      <c r="I907" s="572"/>
      <c r="J907" s="572"/>
      <c r="K907" s="572"/>
      <c r="L907" s="572"/>
      <c r="M907" s="572"/>
      <c r="N907" s="572"/>
      <c r="O907" s="572"/>
      <c r="P907" s="572"/>
      <c r="Q907" s="572"/>
      <c r="R907" s="572"/>
      <c r="S907" s="572"/>
      <c r="T907" s="572"/>
      <c r="U907" s="572"/>
      <c r="V907" s="572"/>
      <c r="W907" s="572"/>
      <c r="X907" s="572"/>
      <c r="Y907" s="572"/>
    </row>
    <row r="908" spans="1:25" ht="12.75" customHeight="1">
      <c r="A908" s="571"/>
      <c r="B908" s="572"/>
      <c r="C908" s="572"/>
      <c r="D908" s="572"/>
      <c r="E908" s="572"/>
      <c r="F908" s="572"/>
      <c r="G908" s="572"/>
      <c r="H908" s="572"/>
      <c r="I908" s="572"/>
      <c r="J908" s="572"/>
      <c r="K908" s="572"/>
      <c r="L908" s="572"/>
      <c r="M908" s="572"/>
      <c r="N908" s="572"/>
      <c r="O908" s="572"/>
      <c r="P908" s="572"/>
      <c r="Q908" s="572"/>
      <c r="R908" s="572"/>
      <c r="S908" s="572"/>
      <c r="T908" s="572"/>
      <c r="U908" s="572"/>
      <c r="V908" s="572"/>
      <c r="W908" s="572"/>
      <c r="X908" s="572"/>
      <c r="Y908" s="572"/>
    </row>
    <row r="909" spans="1:25" ht="12.75" customHeight="1">
      <c r="A909" s="571"/>
      <c r="B909" s="572"/>
      <c r="C909" s="572"/>
      <c r="D909" s="572"/>
      <c r="E909" s="572"/>
      <c r="F909" s="572"/>
      <c r="G909" s="572"/>
      <c r="H909" s="572"/>
      <c r="I909" s="572"/>
      <c r="J909" s="572"/>
      <c r="K909" s="572"/>
      <c r="L909" s="572"/>
      <c r="M909" s="572"/>
      <c r="N909" s="572"/>
      <c r="O909" s="572"/>
      <c r="P909" s="572"/>
      <c r="Q909" s="572"/>
      <c r="R909" s="572"/>
      <c r="S909" s="572"/>
      <c r="T909" s="572"/>
      <c r="U909" s="572"/>
      <c r="V909" s="572"/>
      <c r="W909" s="572"/>
      <c r="X909" s="572"/>
      <c r="Y909" s="572"/>
    </row>
    <row r="910" spans="1:25" ht="12.75" customHeight="1">
      <c r="A910" s="571"/>
      <c r="B910" s="572"/>
      <c r="C910" s="572"/>
      <c r="D910" s="572"/>
      <c r="E910" s="572"/>
      <c r="F910" s="572"/>
      <c r="G910" s="572"/>
      <c r="H910" s="572"/>
      <c r="I910" s="572"/>
      <c r="J910" s="572"/>
      <c r="K910" s="572"/>
      <c r="L910" s="572"/>
      <c r="M910" s="572"/>
      <c r="N910" s="572"/>
      <c r="O910" s="572"/>
      <c r="P910" s="572"/>
      <c r="Q910" s="572"/>
      <c r="R910" s="572"/>
      <c r="S910" s="572"/>
      <c r="T910" s="572"/>
      <c r="U910" s="572"/>
      <c r="V910" s="572"/>
      <c r="W910" s="572"/>
      <c r="X910" s="572"/>
      <c r="Y910" s="572"/>
    </row>
    <row r="911" spans="1:25" ht="12.75" customHeight="1">
      <c r="A911" s="571"/>
      <c r="B911" s="572"/>
      <c r="C911" s="572"/>
      <c r="D911" s="572"/>
      <c r="E911" s="572"/>
      <c r="F911" s="572"/>
      <c r="G911" s="572"/>
      <c r="H911" s="572"/>
      <c r="I911" s="572"/>
      <c r="J911" s="572"/>
      <c r="K911" s="572"/>
      <c r="L911" s="572"/>
      <c r="M911" s="572"/>
      <c r="N911" s="572"/>
      <c r="O911" s="572"/>
      <c r="P911" s="572"/>
      <c r="Q911" s="572"/>
      <c r="R911" s="572"/>
      <c r="S911" s="572"/>
      <c r="T911" s="572"/>
      <c r="U911" s="572"/>
      <c r="V911" s="572"/>
      <c r="W911" s="572"/>
      <c r="X911" s="572"/>
      <c r="Y911" s="572"/>
    </row>
    <row r="912" spans="1:25" ht="12.75" customHeight="1">
      <c r="A912" s="571"/>
      <c r="B912" s="572"/>
      <c r="C912" s="572"/>
      <c r="D912" s="572"/>
      <c r="E912" s="572"/>
      <c r="F912" s="572"/>
      <c r="G912" s="572"/>
      <c r="H912" s="572"/>
      <c r="I912" s="572"/>
      <c r="J912" s="572"/>
      <c r="K912" s="572"/>
      <c r="L912" s="572"/>
      <c r="M912" s="572"/>
      <c r="N912" s="572"/>
      <c r="O912" s="572"/>
      <c r="P912" s="572"/>
      <c r="Q912" s="572"/>
      <c r="R912" s="572"/>
      <c r="S912" s="572"/>
      <c r="T912" s="572"/>
      <c r="U912" s="572"/>
      <c r="V912" s="572"/>
      <c r="W912" s="572"/>
      <c r="X912" s="572"/>
      <c r="Y912" s="572"/>
    </row>
    <row r="913" spans="1:25" ht="12.75" customHeight="1">
      <c r="A913" s="571"/>
      <c r="B913" s="572"/>
      <c r="C913" s="572"/>
      <c r="D913" s="572"/>
      <c r="E913" s="572"/>
      <c r="F913" s="572"/>
      <c r="G913" s="572"/>
      <c r="H913" s="572"/>
      <c r="I913" s="572"/>
      <c r="J913" s="572"/>
      <c r="K913" s="572"/>
      <c r="L913" s="572"/>
      <c r="M913" s="572"/>
      <c r="N913" s="572"/>
      <c r="O913" s="572"/>
      <c r="P913" s="572"/>
      <c r="Q913" s="572"/>
      <c r="R913" s="572"/>
      <c r="S913" s="572"/>
      <c r="T913" s="572"/>
      <c r="U913" s="572"/>
      <c r="V913" s="572"/>
      <c r="W913" s="572"/>
      <c r="X913" s="572"/>
      <c r="Y913" s="572"/>
    </row>
    <row r="914" spans="1:25" ht="12.75" customHeight="1">
      <c r="A914" s="571"/>
      <c r="B914" s="572"/>
      <c r="C914" s="572"/>
      <c r="D914" s="572"/>
      <c r="E914" s="572"/>
      <c r="F914" s="572"/>
      <c r="G914" s="572"/>
      <c r="H914" s="572"/>
      <c r="I914" s="572"/>
      <c r="J914" s="572"/>
      <c r="K914" s="572"/>
      <c r="L914" s="572"/>
      <c r="M914" s="572"/>
      <c r="N914" s="572"/>
      <c r="O914" s="572"/>
      <c r="P914" s="572"/>
      <c r="Q914" s="572"/>
      <c r="R914" s="572"/>
      <c r="S914" s="572"/>
      <c r="T914" s="572"/>
      <c r="U914" s="572"/>
      <c r="V914" s="572"/>
      <c r="W914" s="572"/>
      <c r="X914" s="572"/>
      <c r="Y914" s="572"/>
    </row>
    <row r="915" spans="1:25" ht="12.75" customHeight="1">
      <c r="A915" s="571"/>
      <c r="B915" s="572"/>
      <c r="C915" s="572"/>
      <c r="D915" s="572"/>
      <c r="E915" s="572"/>
      <c r="F915" s="572"/>
      <c r="G915" s="572"/>
      <c r="H915" s="572"/>
      <c r="I915" s="572"/>
      <c r="J915" s="572"/>
      <c r="K915" s="572"/>
      <c r="L915" s="572"/>
      <c r="M915" s="572"/>
      <c r="N915" s="572"/>
      <c r="O915" s="572"/>
      <c r="P915" s="572"/>
      <c r="Q915" s="572"/>
      <c r="R915" s="572"/>
      <c r="S915" s="572"/>
      <c r="T915" s="572"/>
      <c r="U915" s="572"/>
      <c r="V915" s="572"/>
      <c r="W915" s="572"/>
      <c r="X915" s="572"/>
      <c r="Y915" s="572"/>
    </row>
    <row r="916" spans="1:25" ht="12.75" customHeight="1">
      <c r="A916" s="571"/>
      <c r="B916" s="572"/>
      <c r="C916" s="572"/>
      <c r="D916" s="572"/>
      <c r="E916" s="572"/>
      <c r="F916" s="572"/>
      <c r="G916" s="572"/>
      <c r="H916" s="572"/>
      <c r="I916" s="572"/>
      <c r="J916" s="572"/>
      <c r="K916" s="572"/>
      <c r="L916" s="572"/>
      <c r="M916" s="572"/>
      <c r="N916" s="572"/>
      <c r="O916" s="572"/>
      <c r="P916" s="572"/>
      <c r="Q916" s="572"/>
      <c r="R916" s="572"/>
      <c r="S916" s="572"/>
      <c r="T916" s="572"/>
      <c r="U916" s="572"/>
      <c r="V916" s="572"/>
      <c r="W916" s="572"/>
      <c r="X916" s="572"/>
      <c r="Y916" s="572"/>
    </row>
    <row r="917" spans="1:25" ht="12.75" customHeight="1">
      <c r="A917" s="571"/>
      <c r="B917" s="572"/>
      <c r="C917" s="572"/>
      <c r="D917" s="572"/>
      <c r="E917" s="572"/>
      <c r="F917" s="572"/>
      <c r="G917" s="572"/>
      <c r="H917" s="572"/>
      <c r="I917" s="572"/>
      <c r="J917" s="572"/>
      <c r="K917" s="572"/>
      <c r="L917" s="572"/>
      <c r="M917" s="572"/>
      <c r="N917" s="572"/>
      <c r="O917" s="572"/>
      <c r="P917" s="572"/>
      <c r="Q917" s="572"/>
      <c r="R917" s="572"/>
      <c r="S917" s="572"/>
      <c r="T917" s="572"/>
      <c r="U917" s="572"/>
      <c r="V917" s="572"/>
      <c r="W917" s="572"/>
      <c r="X917" s="572"/>
      <c r="Y917" s="572"/>
    </row>
    <row r="918" spans="1:25" ht="12.75" customHeight="1">
      <c r="A918" s="571"/>
      <c r="B918" s="572"/>
      <c r="C918" s="572"/>
      <c r="D918" s="572"/>
      <c r="E918" s="572"/>
      <c r="F918" s="572"/>
      <c r="G918" s="572"/>
      <c r="H918" s="572"/>
      <c r="I918" s="572"/>
      <c r="J918" s="572"/>
      <c r="K918" s="572"/>
      <c r="L918" s="572"/>
      <c r="M918" s="572"/>
      <c r="N918" s="572"/>
      <c r="O918" s="572"/>
      <c r="P918" s="572"/>
      <c r="Q918" s="572"/>
      <c r="R918" s="572"/>
      <c r="S918" s="572"/>
      <c r="T918" s="572"/>
      <c r="U918" s="572"/>
      <c r="V918" s="572"/>
      <c r="W918" s="572"/>
      <c r="X918" s="572"/>
      <c r="Y918" s="572"/>
    </row>
    <row r="919" spans="1:25" ht="12.75" customHeight="1">
      <c r="A919" s="571"/>
      <c r="B919" s="572"/>
      <c r="C919" s="572"/>
      <c r="D919" s="572"/>
      <c r="E919" s="572"/>
      <c r="F919" s="572"/>
      <c r="G919" s="572"/>
      <c r="H919" s="572"/>
      <c r="I919" s="572"/>
      <c r="J919" s="572"/>
      <c r="K919" s="572"/>
      <c r="L919" s="572"/>
      <c r="M919" s="572"/>
      <c r="N919" s="572"/>
      <c r="O919" s="572"/>
      <c r="P919" s="572"/>
      <c r="Q919" s="572"/>
      <c r="R919" s="572"/>
      <c r="S919" s="572"/>
      <c r="T919" s="572"/>
      <c r="U919" s="572"/>
      <c r="V919" s="572"/>
      <c r="W919" s="572"/>
      <c r="X919" s="572"/>
      <c r="Y919" s="572"/>
    </row>
    <row r="920" spans="1:25" ht="12.75" customHeight="1">
      <c r="A920" s="571"/>
      <c r="B920" s="572"/>
      <c r="C920" s="572"/>
      <c r="D920" s="572"/>
      <c r="E920" s="572"/>
      <c r="F920" s="572"/>
      <c r="G920" s="572"/>
      <c r="H920" s="572"/>
      <c r="I920" s="572"/>
      <c r="J920" s="572"/>
      <c r="K920" s="572"/>
      <c r="L920" s="572"/>
      <c r="M920" s="572"/>
      <c r="N920" s="572"/>
      <c r="O920" s="572"/>
      <c r="P920" s="572"/>
      <c r="Q920" s="572"/>
      <c r="R920" s="572"/>
      <c r="S920" s="572"/>
      <c r="T920" s="572"/>
      <c r="U920" s="572"/>
      <c r="V920" s="572"/>
      <c r="W920" s="572"/>
      <c r="X920" s="572"/>
      <c r="Y920" s="572"/>
    </row>
    <row r="921" spans="1:25" ht="12.75" customHeight="1">
      <c r="A921" s="571"/>
      <c r="B921" s="572"/>
      <c r="C921" s="572"/>
      <c r="D921" s="572"/>
      <c r="E921" s="572"/>
      <c r="F921" s="572"/>
      <c r="G921" s="572"/>
      <c r="H921" s="572"/>
      <c r="I921" s="572"/>
      <c r="J921" s="572"/>
      <c r="K921" s="572"/>
      <c r="L921" s="572"/>
      <c r="M921" s="572"/>
      <c r="N921" s="572"/>
      <c r="O921" s="572"/>
      <c r="P921" s="572"/>
      <c r="Q921" s="572"/>
      <c r="R921" s="572"/>
      <c r="S921" s="572"/>
      <c r="T921" s="572"/>
      <c r="U921" s="572"/>
      <c r="V921" s="572"/>
      <c r="W921" s="572"/>
      <c r="X921" s="572"/>
      <c r="Y921" s="572"/>
    </row>
    <row r="922" spans="1:25" ht="12.75" customHeight="1">
      <c r="A922" s="571"/>
      <c r="B922" s="572"/>
      <c r="C922" s="572"/>
      <c r="D922" s="572"/>
      <c r="E922" s="572"/>
      <c r="F922" s="572"/>
      <c r="G922" s="572"/>
      <c r="H922" s="572"/>
      <c r="I922" s="572"/>
      <c r="J922" s="572"/>
      <c r="K922" s="572"/>
      <c r="L922" s="572"/>
      <c r="M922" s="572"/>
      <c r="N922" s="572"/>
      <c r="O922" s="572"/>
      <c r="P922" s="572"/>
      <c r="Q922" s="572"/>
      <c r="R922" s="572"/>
      <c r="S922" s="572"/>
      <c r="T922" s="572"/>
      <c r="U922" s="572"/>
      <c r="V922" s="572"/>
      <c r="W922" s="572"/>
      <c r="X922" s="572"/>
      <c r="Y922" s="572"/>
    </row>
    <row r="923" spans="1:25" ht="12.75" customHeight="1">
      <c r="A923" s="571"/>
      <c r="B923" s="572"/>
      <c r="C923" s="572"/>
      <c r="D923" s="572"/>
      <c r="E923" s="572"/>
      <c r="F923" s="572"/>
      <c r="G923" s="572"/>
      <c r="H923" s="572"/>
      <c r="I923" s="572"/>
      <c r="J923" s="572"/>
      <c r="K923" s="572"/>
      <c r="L923" s="572"/>
      <c r="M923" s="572"/>
      <c r="N923" s="572"/>
      <c r="O923" s="572"/>
      <c r="P923" s="572"/>
      <c r="Q923" s="572"/>
      <c r="R923" s="572"/>
      <c r="S923" s="572"/>
      <c r="T923" s="572"/>
      <c r="U923" s="572"/>
      <c r="V923" s="572"/>
      <c r="W923" s="572"/>
      <c r="X923" s="572"/>
      <c r="Y923" s="572"/>
    </row>
    <row r="924" spans="1:25" ht="12.75" customHeight="1">
      <c r="A924" s="571"/>
      <c r="B924" s="572"/>
      <c r="C924" s="572"/>
      <c r="D924" s="572"/>
      <c r="E924" s="572"/>
      <c r="F924" s="572"/>
      <c r="G924" s="572"/>
      <c r="H924" s="572"/>
      <c r="I924" s="572"/>
      <c r="J924" s="572"/>
      <c r="K924" s="572"/>
      <c r="L924" s="572"/>
      <c r="M924" s="572"/>
      <c r="N924" s="572"/>
      <c r="O924" s="572"/>
      <c r="P924" s="572"/>
      <c r="Q924" s="572"/>
      <c r="R924" s="572"/>
      <c r="S924" s="572"/>
      <c r="T924" s="572"/>
      <c r="U924" s="572"/>
      <c r="V924" s="572"/>
      <c r="W924" s="572"/>
      <c r="X924" s="572"/>
      <c r="Y924" s="572"/>
    </row>
    <row r="925" spans="1:25" ht="12.75" customHeight="1">
      <c r="A925" s="571"/>
      <c r="B925" s="572"/>
      <c r="C925" s="572"/>
      <c r="D925" s="572"/>
      <c r="E925" s="572"/>
      <c r="F925" s="572"/>
      <c r="G925" s="572"/>
      <c r="H925" s="572"/>
      <c r="I925" s="572"/>
      <c r="J925" s="572"/>
      <c r="K925" s="572"/>
      <c r="L925" s="572"/>
      <c r="M925" s="572"/>
      <c r="N925" s="572"/>
      <c r="O925" s="572"/>
      <c r="P925" s="572"/>
      <c r="Q925" s="572"/>
      <c r="R925" s="572"/>
      <c r="S925" s="572"/>
      <c r="T925" s="572"/>
      <c r="U925" s="572"/>
      <c r="V925" s="572"/>
      <c r="W925" s="572"/>
      <c r="X925" s="572"/>
      <c r="Y925" s="572"/>
    </row>
    <row r="926" spans="1:25" ht="12.75" customHeight="1">
      <c r="A926" s="571"/>
      <c r="B926" s="572"/>
      <c r="C926" s="572"/>
      <c r="D926" s="572"/>
      <c r="E926" s="572"/>
      <c r="F926" s="572"/>
      <c r="G926" s="572"/>
      <c r="H926" s="572"/>
      <c r="I926" s="572"/>
      <c r="J926" s="572"/>
      <c r="K926" s="572"/>
      <c r="L926" s="572"/>
      <c r="M926" s="572"/>
      <c r="N926" s="572"/>
      <c r="O926" s="572"/>
      <c r="P926" s="572"/>
      <c r="Q926" s="572"/>
      <c r="R926" s="572"/>
      <c r="S926" s="572"/>
      <c r="T926" s="572"/>
      <c r="U926" s="572"/>
      <c r="V926" s="572"/>
      <c r="W926" s="572"/>
      <c r="X926" s="572"/>
      <c r="Y926" s="572"/>
    </row>
    <row r="927" spans="1:25" ht="12.75" customHeight="1">
      <c r="A927" s="571"/>
      <c r="B927" s="572"/>
      <c r="C927" s="572"/>
      <c r="D927" s="572"/>
      <c r="E927" s="572"/>
      <c r="F927" s="572"/>
      <c r="G927" s="572"/>
      <c r="H927" s="572"/>
      <c r="I927" s="572"/>
      <c r="J927" s="572"/>
      <c r="K927" s="572"/>
      <c r="L927" s="572"/>
      <c r="M927" s="572"/>
      <c r="N927" s="572"/>
      <c r="O927" s="572"/>
      <c r="P927" s="572"/>
      <c r="Q927" s="572"/>
      <c r="R927" s="572"/>
      <c r="S927" s="572"/>
      <c r="T927" s="572"/>
      <c r="U927" s="572"/>
      <c r="V927" s="572"/>
      <c r="W927" s="572"/>
      <c r="X927" s="572"/>
      <c r="Y927" s="572"/>
    </row>
    <row r="928" spans="1:25" ht="12.75" customHeight="1">
      <c r="A928" s="571"/>
      <c r="B928" s="572"/>
      <c r="C928" s="572"/>
      <c r="D928" s="572"/>
      <c r="E928" s="572"/>
      <c r="F928" s="572"/>
      <c r="G928" s="572"/>
      <c r="H928" s="572"/>
      <c r="I928" s="572"/>
      <c r="J928" s="572"/>
      <c r="K928" s="572"/>
      <c r="L928" s="572"/>
      <c r="M928" s="572"/>
      <c r="N928" s="572"/>
      <c r="O928" s="572"/>
      <c r="P928" s="572"/>
      <c r="Q928" s="572"/>
      <c r="R928" s="572"/>
      <c r="S928" s="572"/>
      <c r="T928" s="572"/>
      <c r="U928" s="572"/>
      <c r="V928" s="572"/>
      <c r="W928" s="572"/>
      <c r="X928" s="572"/>
      <c r="Y928" s="572"/>
    </row>
    <row r="929" spans="1:25" ht="12.75" customHeight="1">
      <c r="A929" s="571"/>
      <c r="B929" s="572"/>
      <c r="C929" s="572"/>
      <c r="D929" s="572"/>
      <c r="E929" s="572"/>
      <c r="F929" s="572"/>
      <c r="G929" s="572"/>
      <c r="H929" s="572"/>
      <c r="I929" s="572"/>
      <c r="J929" s="572"/>
      <c r="K929" s="572"/>
      <c r="L929" s="572"/>
      <c r="M929" s="572"/>
      <c r="N929" s="572"/>
      <c r="O929" s="572"/>
      <c r="P929" s="572"/>
      <c r="Q929" s="572"/>
      <c r="R929" s="572"/>
      <c r="S929" s="572"/>
      <c r="T929" s="572"/>
      <c r="U929" s="572"/>
      <c r="V929" s="572"/>
      <c r="W929" s="572"/>
      <c r="X929" s="572"/>
      <c r="Y929" s="572"/>
    </row>
    <row r="930" spans="1:25" ht="12.75" customHeight="1">
      <c r="A930" s="571"/>
      <c r="B930" s="572"/>
      <c r="C930" s="572"/>
      <c r="D930" s="572"/>
      <c r="E930" s="572"/>
      <c r="F930" s="572"/>
      <c r="G930" s="572"/>
      <c r="H930" s="572"/>
      <c r="I930" s="572"/>
      <c r="J930" s="572"/>
      <c r="K930" s="572"/>
      <c r="L930" s="572"/>
      <c r="M930" s="572"/>
      <c r="N930" s="572"/>
      <c r="O930" s="572"/>
      <c r="P930" s="572"/>
      <c r="Q930" s="572"/>
      <c r="R930" s="572"/>
      <c r="S930" s="572"/>
      <c r="T930" s="572"/>
      <c r="U930" s="572"/>
      <c r="V930" s="572"/>
      <c r="W930" s="572"/>
      <c r="X930" s="572"/>
      <c r="Y930" s="572"/>
    </row>
    <row r="931" spans="1:25" ht="12.75" customHeight="1">
      <c r="A931" s="571"/>
      <c r="B931" s="572"/>
      <c r="C931" s="572"/>
      <c r="D931" s="572"/>
      <c r="E931" s="572"/>
      <c r="F931" s="572"/>
      <c r="G931" s="572"/>
      <c r="H931" s="572"/>
      <c r="I931" s="572"/>
      <c r="J931" s="572"/>
      <c r="K931" s="572"/>
      <c r="L931" s="572"/>
      <c r="M931" s="572"/>
      <c r="N931" s="572"/>
      <c r="O931" s="572"/>
      <c r="P931" s="572"/>
      <c r="Q931" s="572"/>
      <c r="R931" s="572"/>
      <c r="S931" s="572"/>
      <c r="T931" s="572"/>
      <c r="U931" s="572"/>
      <c r="V931" s="572"/>
      <c r="W931" s="572"/>
      <c r="X931" s="572"/>
      <c r="Y931" s="572"/>
    </row>
    <row r="932" spans="1:25" ht="12.75" customHeight="1">
      <c r="A932" s="571"/>
      <c r="B932" s="572"/>
      <c r="C932" s="572"/>
      <c r="D932" s="572"/>
      <c r="E932" s="572"/>
      <c r="F932" s="572"/>
      <c r="G932" s="572"/>
      <c r="H932" s="572"/>
      <c r="I932" s="572"/>
      <c r="J932" s="572"/>
      <c r="K932" s="572"/>
      <c r="L932" s="572"/>
      <c r="M932" s="572"/>
      <c r="N932" s="572"/>
      <c r="O932" s="572"/>
      <c r="P932" s="572"/>
      <c r="Q932" s="572"/>
      <c r="R932" s="572"/>
      <c r="S932" s="572"/>
      <c r="T932" s="572"/>
      <c r="U932" s="572"/>
      <c r="V932" s="572"/>
      <c r="W932" s="572"/>
      <c r="X932" s="572"/>
      <c r="Y932" s="572"/>
    </row>
    <row r="933" spans="1:25" ht="12.75" customHeight="1">
      <c r="A933" s="571"/>
      <c r="B933" s="572"/>
      <c r="C933" s="572"/>
      <c r="D933" s="572"/>
      <c r="E933" s="572"/>
      <c r="F933" s="572"/>
      <c r="G933" s="572"/>
      <c r="H933" s="572"/>
      <c r="I933" s="572"/>
      <c r="J933" s="572"/>
      <c r="K933" s="572"/>
      <c r="L933" s="572"/>
      <c r="M933" s="572"/>
      <c r="N933" s="572"/>
      <c r="O933" s="572"/>
      <c r="P933" s="572"/>
      <c r="Q933" s="572"/>
      <c r="R933" s="572"/>
      <c r="S933" s="572"/>
      <c r="T933" s="572"/>
      <c r="U933" s="572"/>
      <c r="V933" s="572"/>
      <c r="W933" s="572"/>
      <c r="X933" s="572"/>
      <c r="Y933" s="572"/>
    </row>
    <row r="934" spans="1:25" ht="12.75" customHeight="1">
      <c r="A934" s="571"/>
      <c r="B934" s="572"/>
      <c r="C934" s="572"/>
      <c r="D934" s="572"/>
      <c r="E934" s="572"/>
      <c r="F934" s="572"/>
      <c r="G934" s="572"/>
      <c r="H934" s="572"/>
      <c r="I934" s="572"/>
      <c r="J934" s="572"/>
      <c r="K934" s="572"/>
      <c r="L934" s="572"/>
      <c r="M934" s="572"/>
      <c r="N934" s="572"/>
      <c r="O934" s="572"/>
      <c r="P934" s="572"/>
      <c r="Q934" s="572"/>
      <c r="R934" s="572"/>
      <c r="S934" s="572"/>
      <c r="T934" s="572"/>
      <c r="U934" s="572"/>
      <c r="V934" s="572"/>
      <c r="W934" s="572"/>
      <c r="X934" s="572"/>
      <c r="Y934" s="572"/>
    </row>
    <row r="935" spans="1:25" ht="12.75" customHeight="1">
      <c r="A935" s="571"/>
      <c r="B935" s="572"/>
      <c r="C935" s="572"/>
      <c r="D935" s="572"/>
      <c r="E935" s="572"/>
      <c r="F935" s="572"/>
      <c r="G935" s="572"/>
      <c r="H935" s="572"/>
      <c r="I935" s="572"/>
      <c r="J935" s="572"/>
      <c r="K935" s="572"/>
      <c r="L935" s="572"/>
      <c r="M935" s="572"/>
      <c r="N935" s="572"/>
      <c r="O935" s="572"/>
      <c r="P935" s="572"/>
      <c r="Q935" s="572"/>
      <c r="R935" s="572"/>
      <c r="S935" s="572"/>
      <c r="T935" s="572"/>
      <c r="U935" s="572"/>
      <c r="V935" s="572"/>
      <c r="W935" s="572"/>
      <c r="X935" s="572"/>
      <c r="Y935" s="572"/>
    </row>
    <row r="936" spans="1:25" ht="12.75" customHeight="1">
      <c r="A936" s="571"/>
      <c r="B936" s="572"/>
      <c r="C936" s="572"/>
      <c r="D936" s="572"/>
      <c r="E936" s="572"/>
      <c r="F936" s="572"/>
      <c r="G936" s="572"/>
      <c r="H936" s="572"/>
      <c r="I936" s="572"/>
      <c r="J936" s="572"/>
      <c r="K936" s="572"/>
      <c r="L936" s="572"/>
      <c r="M936" s="572"/>
      <c r="N936" s="572"/>
      <c r="O936" s="572"/>
      <c r="P936" s="572"/>
      <c r="Q936" s="572"/>
      <c r="R936" s="572"/>
      <c r="S936" s="572"/>
      <c r="T936" s="572"/>
      <c r="U936" s="572"/>
      <c r="V936" s="572"/>
      <c r="W936" s="572"/>
      <c r="X936" s="572"/>
      <c r="Y936" s="572"/>
    </row>
    <row r="937" spans="1:25" ht="12.75" customHeight="1">
      <c r="A937" s="571"/>
      <c r="B937" s="572"/>
      <c r="C937" s="572"/>
      <c r="D937" s="572"/>
      <c r="E937" s="572"/>
      <c r="F937" s="572"/>
      <c r="G937" s="572"/>
      <c r="H937" s="572"/>
      <c r="I937" s="572"/>
      <c r="J937" s="572"/>
      <c r="K937" s="572"/>
      <c r="L937" s="572"/>
      <c r="M937" s="572"/>
      <c r="N937" s="572"/>
      <c r="O937" s="572"/>
      <c r="P937" s="572"/>
      <c r="Q937" s="572"/>
      <c r="R937" s="572"/>
      <c r="S937" s="572"/>
      <c r="T937" s="572"/>
      <c r="U937" s="572"/>
      <c r="V937" s="572"/>
      <c r="W937" s="572"/>
      <c r="X937" s="572"/>
      <c r="Y937" s="572"/>
    </row>
    <row r="938" spans="1:25" ht="12.75" customHeight="1">
      <c r="A938" s="571"/>
      <c r="B938" s="572"/>
      <c r="C938" s="572"/>
      <c r="D938" s="572"/>
      <c r="E938" s="572"/>
      <c r="F938" s="572"/>
      <c r="G938" s="572"/>
      <c r="H938" s="572"/>
      <c r="I938" s="572"/>
      <c r="J938" s="572"/>
      <c r="K938" s="572"/>
      <c r="L938" s="572"/>
      <c r="M938" s="572"/>
      <c r="N938" s="572"/>
      <c r="O938" s="572"/>
      <c r="P938" s="572"/>
      <c r="Q938" s="572"/>
      <c r="R938" s="572"/>
      <c r="S938" s="572"/>
      <c r="T938" s="572"/>
      <c r="U938" s="572"/>
      <c r="V938" s="572"/>
      <c r="W938" s="572"/>
      <c r="X938" s="572"/>
      <c r="Y938" s="572"/>
    </row>
    <row r="939" spans="1:25" ht="12.75" customHeight="1">
      <c r="A939" s="571"/>
      <c r="B939" s="572"/>
      <c r="C939" s="572"/>
      <c r="D939" s="572"/>
      <c r="E939" s="572"/>
      <c r="F939" s="572"/>
      <c r="G939" s="572"/>
      <c r="H939" s="572"/>
      <c r="I939" s="572"/>
      <c r="J939" s="572"/>
      <c r="K939" s="572"/>
      <c r="L939" s="572"/>
      <c r="M939" s="572"/>
      <c r="N939" s="572"/>
      <c r="O939" s="572"/>
      <c r="P939" s="572"/>
      <c r="Q939" s="572"/>
      <c r="R939" s="572"/>
      <c r="S939" s="572"/>
      <c r="T939" s="572"/>
      <c r="U939" s="572"/>
      <c r="V939" s="572"/>
      <c r="W939" s="572"/>
      <c r="X939" s="572"/>
      <c r="Y939" s="572"/>
    </row>
    <row r="940" spans="1:25" ht="12.75" customHeight="1">
      <c r="A940" s="571"/>
      <c r="B940" s="572"/>
      <c r="C940" s="572"/>
      <c r="D940" s="572"/>
      <c r="E940" s="572"/>
      <c r="F940" s="572"/>
      <c r="G940" s="572"/>
      <c r="H940" s="572"/>
      <c r="I940" s="572"/>
      <c r="J940" s="572"/>
      <c r="K940" s="572"/>
      <c r="L940" s="572"/>
      <c r="M940" s="572"/>
      <c r="N940" s="572"/>
      <c r="O940" s="572"/>
      <c r="P940" s="572"/>
      <c r="Q940" s="572"/>
      <c r="R940" s="572"/>
      <c r="S940" s="572"/>
      <c r="T940" s="572"/>
      <c r="U940" s="572"/>
      <c r="V940" s="572"/>
      <c r="W940" s="572"/>
      <c r="X940" s="572"/>
      <c r="Y940" s="572"/>
    </row>
    <row r="941" spans="1:25" ht="12.75" customHeight="1">
      <c r="A941" s="571"/>
      <c r="B941" s="572"/>
      <c r="C941" s="572"/>
      <c r="D941" s="572"/>
      <c r="E941" s="572"/>
      <c r="F941" s="572"/>
      <c r="G941" s="572"/>
      <c r="H941" s="572"/>
      <c r="I941" s="572"/>
      <c r="J941" s="572"/>
      <c r="K941" s="572"/>
      <c r="L941" s="572"/>
      <c r="M941" s="572"/>
      <c r="N941" s="572"/>
      <c r="O941" s="572"/>
      <c r="P941" s="572"/>
      <c r="Q941" s="572"/>
      <c r="R941" s="572"/>
      <c r="S941" s="572"/>
      <c r="T941" s="572"/>
      <c r="U941" s="572"/>
      <c r="V941" s="572"/>
      <c r="W941" s="572"/>
      <c r="X941" s="572"/>
      <c r="Y941" s="572"/>
    </row>
    <row r="942" spans="1:25" ht="12.75" customHeight="1">
      <c r="A942" s="571"/>
      <c r="B942" s="572"/>
      <c r="C942" s="572"/>
      <c r="D942" s="572"/>
      <c r="E942" s="572"/>
      <c r="F942" s="572"/>
      <c r="G942" s="572"/>
      <c r="H942" s="572"/>
      <c r="I942" s="572"/>
      <c r="J942" s="572"/>
      <c r="K942" s="572"/>
      <c r="L942" s="572"/>
      <c r="M942" s="572"/>
      <c r="N942" s="572"/>
      <c r="O942" s="572"/>
      <c r="P942" s="572"/>
      <c r="Q942" s="572"/>
      <c r="R942" s="572"/>
      <c r="S942" s="572"/>
      <c r="T942" s="572"/>
      <c r="U942" s="572"/>
      <c r="V942" s="572"/>
      <c r="W942" s="572"/>
      <c r="X942" s="572"/>
      <c r="Y942" s="572"/>
    </row>
    <row r="943" spans="1:25" ht="12.75" customHeight="1">
      <c r="A943" s="571"/>
      <c r="B943" s="572"/>
      <c r="C943" s="572"/>
      <c r="D943" s="572"/>
      <c r="E943" s="572"/>
      <c r="F943" s="572"/>
      <c r="G943" s="572"/>
      <c r="H943" s="572"/>
      <c r="I943" s="572"/>
      <c r="J943" s="572"/>
      <c r="K943" s="572"/>
      <c r="L943" s="572"/>
      <c r="M943" s="572"/>
      <c r="N943" s="572"/>
      <c r="O943" s="572"/>
      <c r="P943" s="572"/>
      <c r="Q943" s="572"/>
      <c r="R943" s="572"/>
      <c r="S943" s="572"/>
      <c r="T943" s="572"/>
      <c r="U943" s="572"/>
      <c r="V943" s="572"/>
      <c r="W943" s="572"/>
      <c r="X943" s="572"/>
      <c r="Y943" s="572"/>
    </row>
    <row r="944" spans="1:25" ht="12.75" customHeight="1">
      <c r="A944" s="571"/>
      <c r="B944" s="572"/>
      <c r="C944" s="572"/>
      <c r="D944" s="572"/>
      <c r="E944" s="572"/>
      <c r="F944" s="572"/>
      <c r="G944" s="572"/>
      <c r="H944" s="572"/>
      <c r="I944" s="572"/>
      <c r="J944" s="572"/>
      <c r="K944" s="572"/>
      <c r="L944" s="572"/>
      <c r="M944" s="572"/>
      <c r="N944" s="572"/>
      <c r="O944" s="572"/>
      <c r="P944" s="572"/>
      <c r="Q944" s="572"/>
      <c r="R944" s="572"/>
      <c r="S944" s="572"/>
      <c r="T944" s="572"/>
      <c r="U944" s="572"/>
      <c r="V944" s="572"/>
      <c r="W944" s="572"/>
      <c r="X944" s="572"/>
      <c r="Y944" s="572"/>
    </row>
    <row r="945" spans="1:25" ht="12.75" customHeight="1">
      <c r="A945" s="571"/>
      <c r="B945" s="572"/>
      <c r="C945" s="572"/>
      <c r="D945" s="572"/>
      <c r="E945" s="572"/>
      <c r="F945" s="572"/>
      <c r="G945" s="572"/>
      <c r="H945" s="572"/>
      <c r="I945" s="572"/>
      <c r="J945" s="572"/>
      <c r="K945" s="572"/>
      <c r="L945" s="572"/>
      <c r="M945" s="572"/>
      <c r="N945" s="572"/>
      <c r="O945" s="572"/>
      <c r="P945" s="572"/>
      <c r="Q945" s="572"/>
      <c r="R945" s="572"/>
      <c r="S945" s="572"/>
      <c r="T945" s="572"/>
      <c r="U945" s="572"/>
      <c r="V945" s="572"/>
      <c r="W945" s="572"/>
      <c r="X945" s="572"/>
      <c r="Y945" s="572"/>
    </row>
    <row r="946" spans="1:25" ht="12.75" customHeight="1">
      <c r="A946" s="571"/>
      <c r="B946" s="572"/>
      <c r="C946" s="572"/>
      <c r="D946" s="572"/>
      <c r="E946" s="572"/>
      <c r="F946" s="572"/>
      <c r="G946" s="572"/>
      <c r="H946" s="572"/>
      <c r="I946" s="572"/>
      <c r="J946" s="572"/>
      <c r="K946" s="572"/>
      <c r="L946" s="572"/>
      <c r="M946" s="572"/>
      <c r="N946" s="572"/>
      <c r="O946" s="572"/>
      <c r="P946" s="572"/>
      <c r="Q946" s="572"/>
      <c r="R946" s="572"/>
      <c r="S946" s="572"/>
      <c r="T946" s="572"/>
      <c r="U946" s="572"/>
      <c r="V946" s="572"/>
      <c r="W946" s="572"/>
      <c r="X946" s="572"/>
      <c r="Y946" s="572"/>
    </row>
    <row r="947" spans="1:25" ht="12.75" customHeight="1">
      <c r="A947" s="571"/>
      <c r="B947" s="572"/>
      <c r="C947" s="572"/>
      <c r="D947" s="572"/>
      <c r="E947" s="572"/>
      <c r="F947" s="572"/>
      <c r="G947" s="572"/>
      <c r="H947" s="572"/>
      <c r="I947" s="572"/>
      <c r="J947" s="572"/>
      <c r="K947" s="572"/>
      <c r="L947" s="572"/>
      <c r="M947" s="572"/>
      <c r="N947" s="572"/>
      <c r="O947" s="572"/>
      <c r="P947" s="572"/>
      <c r="Q947" s="572"/>
      <c r="R947" s="572"/>
      <c r="S947" s="572"/>
      <c r="T947" s="572"/>
      <c r="U947" s="572"/>
      <c r="V947" s="572"/>
      <c r="W947" s="572"/>
      <c r="X947" s="572"/>
      <c r="Y947" s="572"/>
    </row>
    <row r="948" spans="1:25" ht="12.75" customHeight="1">
      <c r="A948" s="571"/>
      <c r="B948" s="572"/>
      <c r="C948" s="572"/>
      <c r="D948" s="572"/>
      <c r="E948" s="572"/>
      <c r="F948" s="572"/>
      <c r="G948" s="572"/>
      <c r="H948" s="572"/>
      <c r="I948" s="572"/>
      <c r="J948" s="572"/>
      <c r="K948" s="572"/>
      <c r="L948" s="572"/>
      <c r="M948" s="572"/>
      <c r="N948" s="572"/>
      <c r="O948" s="572"/>
      <c r="P948" s="572"/>
      <c r="Q948" s="572"/>
      <c r="R948" s="572"/>
      <c r="S948" s="572"/>
      <c r="T948" s="572"/>
      <c r="U948" s="572"/>
      <c r="V948" s="572"/>
      <c r="W948" s="572"/>
      <c r="X948" s="572"/>
      <c r="Y948" s="572"/>
    </row>
    <row r="949" spans="1:25" ht="12.75" customHeight="1">
      <c r="A949" s="571"/>
      <c r="B949" s="572"/>
      <c r="C949" s="572"/>
      <c r="D949" s="572"/>
      <c r="E949" s="572"/>
      <c r="F949" s="572"/>
      <c r="G949" s="572"/>
      <c r="H949" s="572"/>
      <c r="I949" s="572"/>
      <c r="J949" s="572"/>
      <c r="K949" s="572"/>
      <c r="L949" s="572"/>
      <c r="M949" s="572"/>
      <c r="N949" s="572"/>
      <c r="O949" s="572"/>
      <c r="P949" s="572"/>
      <c r="Q949" s="572"/>
      <c r="R949" s="572"/>
      <c r="S949" s="572"/>
      <c r="T949" s="572"/>
      <c r="U949" s="572"/>
      <c r="V949" s="572"/>
      <c r="W949" s="572"/>
      <c r="X949" s="572"/>
      <c r="Y949" s="572"/>
    </row>
    <row r="950" spans="1:25" ht="12.75" customHeight="1">
      <c r="A950" s="571"/>
      <c r="B950" s="572"/>
      <c r="C950" s="572"/>
      <c r="D950" s="572"/>
      <c r="E950" s="572"/>
      <c r="F950" s="572"/>
      <c r="G950" s="572"/>
      <c r="H950" s="572"/>
      <c r="I950" s="572"/>
      <c r="J950" s="572"/>
      <c r="K950" s="572"/>
      <c r="L950" s="572"/>
      <c r="M950" s="572"/>
      <c r="N950" s="572"/>
      <c r="O950" s="572"/>
      <c r="P950" s="572"/>
      <c r="Q950" s="572"/>
      <c r="R950" s="572"/>
      <c r="S950" s="572"/>
      <c r="T950" s="572"/>
      <c r="U950" s="572"/>
      <c r="V950" s="572"/>
      <c r="W950" s="572"/>
      <c r="X950" s="572"/>
      <c r="Y950" s="572"/>
    </row>
    <row r="951" spans="1:25" ht="12.75" customHeight="1">
      <c r="A951" s="571"/>
      <c r="B951" s="572"/>
      <c r="C951" s="572"/>
      <c r="D951" s="572"/>
      <c r="E951" s="572"/>
      <c r="F951" s="572"/>
      <c r="G951" s="572"/>
      <c r="H951" s="572"/>
      <c r="I951" s="572"/>
      <c r="J951" s="572"/>
      <c r="K951" s="572"/>
      <c r="L951" s="572"/>
      <c r="M951" s="572"/>
      <c r="N951" s="572"/>
      <c r="O951" s="572"/>
      <c r="P951" s="572"/>
      <c r="Q951" s="572"/>
      <c r="R951" s="572"/>
      <c r="S951" s="572"/>
      <c r="T951" s="572"/>
      <c r="U951" s="572"/>
      <c r="V951" s="572"/>
      <c r="W951" s="572"/>
      <c r="X951" s="572"/>
      <c r="Y951" s="572"/>
    </row>
    <row r="952" spans="1:25" ht="12.75" customHeight="1">
      <c r="A952" s="571"/>
      <c r="B952" s="572"/>
      <c r="C952" s="572"/>
      <c r="D952" s="572"/>
      <c r="E952" s="572"/>
      <c r="F952" s="572"/>
      <c r="G952" s="572"/>
      <c r="H952" s="572"/>
      <c r="I952" s="572"/>
      <c r="J952" s="572"/>
      <c r="K952" s="572"/>
      <c r="L952" s="572"/>
      <c r="M952" s="572"/>
      <c r="N952" s="572"/>
      <c r="O952" s="572"/>
      <c r="P952" s="572"/>
      <c r="Q952" s="572"/>
      <c r="R952" s="572"/>
      <c r="S952" s="572"/>
      <c r="T952" s="572"/>
      <c r="U952" s="572"/>
      <c r="V952" s="572"/>
      <c r="W952" s="572"/>
      <c r="X952" s="572"/>
      <c r="Y952" s="572"/>
    </row>
    <row r="953" spans="1:25" ht="12.75" customHeight="1">
      <c r="A953" s="571"/>
      <c r="B953" s="572"/>
      <c r="C953" s="572"/>
      <c r="D953" s="572"/>
      <c r="E953" s="572"/>
      <c r="F953" s="572"/>
      <c r="G953" s="572"/>
      <c r="H953" s="572"/>
      <c r="I953" s="572"/>
      <c r="J953" s="572"/>
      <c r="K953" s="572"/>
      <c r="L953" s="572"/>
      <c r="M953" s="572"/>
      <c r="N953" s="572"/>
      <c r="O953" s="572"/>
      <c r="P953" s="572"/>
      <c r="Q953" s="572"/>
      <c r="R953" s="572"/>
      <c r="S953" s="572"/>
      <c r="T953" s="572"/>
      <c r="U953" s="572"/>
      <c r="V953" s="572"/>
      <c r="W953" s="572"/>
      <c r="X953" s="572"/>
      <c r="Y953" s="572"/>
    </row>
    <row r="954" spans="1:25" ht="12.75" customHeight="1">
      <c r="A954" s="571"/>
      <c r="B954" s="572"/>
      <c r="C954" s="572"/>
      <c r="D954" s="572"/>
      <c r="E954" s="572"/>
      <c r="F954" s="572"/>
      <c r="G954" s="572"/>
      <c r="H954" s="572"/>
      <c r="I954" s="572"/>
      <c r="J954" s="572"/>
      <c r="K954" s="572"/>
      <c r="L954" s="572"/>
      <c r="M954" s="572"/>
      <c r="N954" s="572"/>
      <c r="O954" s="572"/>
      <c r="P954" s="572"/>
      <c r="Q954" s="572"/>
      <c r="R954" s="572"/>
      <c r="S954" s="572"/>
      <c r="T954" s="572"/>
      <c r="U954" s="572"/>
      <c r="V954" s="572"/>
      <c r="W954" s="572"/>
      <c r="X954" s="572"/>
      <c r="Y954" s="572"/>
    </row>
    <row r="955" spans="1:25" ht="12.75" customHeight="1">
      <c r="A955" s="571"/>
      <c r="B955" s="572"/>
      <c r="C955" s="572"/>
      <c r="D955" s="572"/>
      <c r="E955" s="572"/>
      <c r="F955" s="572"/>
      <c r="G955" s="572"/>
      <c r="H955" s="572"/>
      <c r="I955" s="572"/>
      <c r="J955" s="572"/>
      <c r="K955" s="572"/>
      <c r="L955" s="572"/>
      <c r="M955" s="572"/>
      <c r="N955" s="572"/>
      <c r="O955" s="572"/>
      <c r="P955" s="572"/>
      <c r="Q955" s="572"/>
      <c r="R955" s="572"/>
      <c r="S955" s="572"/>
      <c r="T955" s="572"/>
      <c r="U955" s="572"/>
      <c r="V955" s="572"/>
      <c r="W955" s="572"/>
      <c r="X955" s="572"/>
      <c r="Y955" s="572"/>
    </row>
    <row r="956" spans="1:25" ht="12.75" customHeight="1">
      <c r="A956" s="571"/>
      <c r="B956" s="572"/>
      <c r="C956" s="572"/>
      <c r="D956" s="572"/>
      <c r="E956" s="572"/>
      <c r="F956" s="572"/>
      <c r="G956" s="572"/>
      <c r="H956" s="572"/>
      <c r="I956" s="572"/>
      <c r="J956" s="572"/>
      <c r="K956" s="572"/>
      <c r="L956" s="572"/>
      <c r="M956" s="572"/>
      <c r="N956" s="572"/>
      <c r="O956" s="572"/>
      <c r="P956" s="572"/>
      <c r="Q956" s="572"/>
      <c r="R956" s="572"/>
      <c r="S956" s="572"/>
      <c r="T956" s="572"/>
      <c r="U956" s="572"/>
      <c r="V956" s="572"/>
      <c r="W956" s="572"/>
      <c r="X956" s="572"/>
      <c r="Y956" s="572"/>
    </row>
    <row r="957" spans="1:25" ht="12.75" customHeight="1">
      <c r="A957" s="571"/>
      <c r="B957" s="572"/>
      <c r="C957" s="572"/>
      <c r="D957" s="572"/>
      <c r="E957" s="572"/>
      <c r="F957" s="572"/>
      <c r="G957" s="572"/>
      <c r="H957" s="572"/>
      <c r="I957" s="572"/>
      <c r="J957" s="572"/>
      <c r="K957" s="572"/>
      <c r="L957" s="572"/>
      <c r="M957" s="572"/>
      <c r="N957" s="572"/>
      <c r="O957" s="572"/>
      <c r="P957" s="572"/>
      <c r="Q957" s="572"/>
      <c r="R957" s="572"/>
      <c r="S957" s="572"/>
      <c r="T957" s="572"/>
      <c r="U957" s="572"/>
      <c r="V957" s="572"/>
      <c r="W957" s="572"/>
      <c r="X957" s="572"/>
      <c r="Y957" s="572"/>
    </row>
    <row r="958" spans="1:25" ht="12.75" customHeight="1">
      <c r="A958" s="571"/>
      <c r="B958" s="572"/>
      <c r="C958" s="572"/>
      <c r="D958" s="572"/>
      <c r="E958" s="572"/>
      <c r="F958" s="572"/>
      <c r="G958" s="572"/>
      <c r="H958" s="572"/>
      <c r="I958" s="572"/>
      <c r="J958" s="572"/>
      <c r="K958" s="572"/>
      <c r="L958" s="572"/>
      <c r="M958" s="572"/>
      <c r="N958" s="572"/>
      <c r="O958" s="572"/>
      <c r="P958" s="572"/>
      <c r="Q958" s="572"/>
      <c r="R958" s="572"/>
      <c r="S958" s="572"/>
      <c r="T958" s="572"/>
      <c r="U958" s="572"/>
      <c r="V958" s="572"/>
      <c r="W958" s="572"/>
      <c r="X958" s="572"/>
      <c r="Y958" s="572"/>
    </row>
    <row r="959" spans="1:25" ht="12.75" customHeight="1">
      <c r="A959" s="571"/>
      <c r="B959" s="572"/>
      <c r="C959" s="572"/>
      <c r="D959" s="572"/>
      <c r="E959" s="572"/>
      <c r="F959" s="572"/>
      <c r="G959" s="572"/>
      <c r="H959" s="572"/>
      <c r="I959" s="572"/>
      <c r="J959" s="572"/>
      <c r="K959" s="572"/>
      <c r="L959" s="572"/>
      <c r="M959" s="572"/>
      <c r="N959" s="572"/>
      <c r="O959" s="572"/>
      <c r="P959" s="572"/>
      <c r="Q959" s="572"/>
      <c r="R959" s="572"/>
      <c r="S959" s="572"/>
      <c r="T959" s="572"/>
      <c r="U959" s="572"/>
      <c r="V959" s="572"/>
      <c r="W959" s="572"/>
      <c r="X959" s="572"/>
      <c r="Y959" s="572"/>
    </row>
    <row r="960" spans="1:25" ht="12.75" customHeight="1">
      <c r="A960" s="571"/>
      <c r="B960" s="572"/>
      <c r="C960" s="572"/>
      <c r="D960" s="572"/>
      <c r="E960" s="572"/>
      <c r="F960" s="572"/>
      <c r="G960" s="572"/>
      <c r="H960" s="572"/>
      <c r="I960" s="572"/>
      <c r="J960" s="572"/>
      <c r="K960" s="572"/>
      <c r="L960" s="572"/>
      <c r="M960" s="572"/>
      <c r="N960" s="572"/>
      <c r="O960" s="572"/>
      <c r="P960" s="572"/>
      <c r="Q960" s="572"/>
      <c r="R960" s="572"/>
      <c r="S960" s="572"/>
      <c r="T960" s="572"/>
      <c r="U960" s="572"/>
      <c r="V960" s="572"/>
      <c r="W960" s="572"/>
      <c r="X960" s="572"/>
      <c r="Y960" s="572"/>
    </row>
    <row r="961" spans="1:25" ht="12.75" customHeight="1">
      <c r="A961" s="571"/>
      <c r="B961" s="572"/>
      <c r="C961" s="572"/>
      <c r="D961" s="572"/>
      <c r="E961" s="572"/>
      <c r="F961" s="572"/>
      <c r="G961" s="572"/>
      <c r="H961" s="572"/>
      <c r="I961" s="572"/>
      <c r="J961" s="572"/>
      <c r="K961" s="572"/>
      <c r="L961" s="572"/>
      <c r="M961" s="572"/>
      <c r="N961" s="572"/>
      <c r="O961" s="572"/>
      <c r="P961" s="572"/>
      <c r="Q961" s="572"/>
      <c r="R961" s="572"/>
      <c r="S961" s="572"/>
      <c r="T961" s="572"/>
      <c r="U961" s="572"/>
      <c r="V961" s="572"/>
      <c r="W961" s="572"/>
      <c r="X961" s="572"/>
      <c r="Y961" s="572"/>
    </row>
    <row r="962" spans="1:25" ht="12.75" customHeight="1">
      <c r="A962" s="571"/>
      <c r="B962" s="572"/>
      <c r="C962" s="572"/>
      <c r="D962" s="572"/>
      <c r="E962" s="572"/>
      <c r="F962" s="572"/>
      <c r="G962" s="572"/>
      <c r="H962" s="572"/>
      <c r="I962" s="572"/>
      <c r="J962" s="572"/>
      <c r="K962" s="572"/>
      <c r="L962" s="572"/>
      <c r="M962" s="572"/>
      <c r="N962" s="572"/>
      <c r="O962" s="572"/>
      <c r="P962" s="572"/>
      <c r="Q962" s="572"/>
      <c r="R962" s="572"/>
      <c r="S962" s="572"/>
      <c r="T962" s="572"/>
      <c r="U962" s="572"/>
      <c r="V962" s="572"/>
      <c r="W962" s="572"/>
      <c r="X962" s="572"/>
      <c r="Y962" s="572"/>
    </row>
    <row r="963" spans="1:25" ht="12.75" customHeight="1">
      <c r="A963" s="571"/>
      <c r="B963" s="572"/>
      <c r="C963" s="572"/>
      <c r="D963" s="572"/>
      <c r="E963" s="572"/>
      <c r="F963" s="572"/>
      <c r="G963" s="572"/>
      <c r="H963" s="572"/>
      <c r="I963" s="572"/>
      <c r="J963" s="572"/>
      <c r="K963" s="572"/>
      <c r="L963" s="572"/>
      <c r="M963" s="572"/>
      <c r="N963" s="572"/>
      <c r="O963" s="572"/>
      <c r="P963" s="572"/>
      <c r="Q963" s="572"/>
      <c r="R963" s="572"/>
      <c r="S963" s="572"/>
      <c r="T963" s="572"/>
      <c r="U963" s="572"/>
      <c r="V963" s="572"/>
      <c r="W963" s="572"/>
      <c r="X963" s="572"/>
      <c r="Y963" s="572"/>
    </row>
    <row r="964" spans="1:25" ht="12.75" customHeight="1">
      <c r="A964" s="571"/>
      <c r="B964" s="572"/>
      <c r="C964" s="572"/>
      <c r="D964" s="572"/>
      <c r="E964" s="572"/>
      <c r="F964" s="572"/>
      <c r="G964" s="572"/>
      <c r="H964" s="572"/>
      <c r="I964" s="572"/>
      <c r="J964" s="572"/>
      <c r="K964" s="572"/>
      <c r="L964" s="572"/>
      <c r="M964" s="572"/>
      <c r="N964" s="572"/>
      <c r="O964" s="572"/>
      <c r="P964" s="572"/>
      <c r="Q964" s="572"/>
      <c r="R964" s="572"/>
      <c r="S964" s="572"/>
      <c r="T964" s="572"/>
      <c r="U964" s="572"/>
      <c r="V964" s="572"/>
      <c r="W964" s="572"/>
      <c r="X964" s="572"/>
      <c r="Y964" s="572"/>
    </row>
    <row r="965" spans="1:25" ht="12.75" customHeight="1">
      <c r="A965" s="571"/>
      <c r="B965" s="572"/>
      <c r="C965" s="572"/>
      <c r="D965" s="572"/>
      <c r="E965" s="572"/>
      <c r="F965" s="572"/>
      <c r="G965" s="572"/>
      <c r="H965" s="572"/>
      <c r="I965" s="572"/>
      <c r="J965" s="572"/>
      <c r="K965" s="572"/>
      <c r="L965" s="572"/>
      <c r="M965" s="572"/>
      <c r="N965" s="572"/>
      <c r="O965" s="572"/>
      <c r="P965" s="572"/>
      <c r="Q965" s="572"/>
      <c r="R965" s="572"/>
      <c r="S965" s="572"/>
      <c r="T965" s="572"/>
      <c r="U965" s="572"/>
      <c r="V965" s="572"/>
      <c r="W965" s="572"/>
      <c r="X965" s="572"/>
      <c r="Y965" s="572"/>
    </row>
    <row r="966" spans="1:25" ht="12.75" customHeight="1">
      <c r="A966" s="571"/>
      <c r="B966" s="572"/>
      <c r="C966" s="572"/>
      <c r="D966" s="572"/>
      <c r="E966" s="572"/>
      <c r="F966" s="572"/>
      <c r="G966" s="572"/>
      <c r="H966" s="572"/>
      <c r="I966" s="572"/>
      <c r="J966" s="572"/>
      <c r="K966" s="572"/>
      <c r="L966" s="572"/>
      <c r="M966" s="572"/>
      <c r="N966" s="572"/>
      <c r="O966" s="572"/>
      <c r="P966" s="572"/>
      <c r="Q966" s="572"/>
      <c r="R966" s="572"/>
      <c r="S966" s="572"/>
      <c r="T966" s="572"/>
      <c r="U966" s="572"/>
      <c r="V966" s="572"/>
      <c r="W966" s="572"/>
      <c r="X966" s="572"/>
      <c r="Y966" s="572"/>
    </row>
    <row r="967" spans="1:25" ht="12.75" customHeight="1">
      <c r="A967" s="571"/>
      <c r="B967" s="572"/>
      <c r="C967" s="572"/>
      <c r="D967" s="572"/>
      <c r="E967" s="572"/>
      <c r="F967" s="572"/>
      <c r="G967" s="572"/>
      <c r="H967" s="572"/>
      <c r="I967" s="572"/>
      <c r="J967" s="572"/>
      <c r="K967" s="572"/>
      <c r="L967" s="572"/>
      <c r="M967" s="572"/>
      <c r="N967" s="572"/>
      <c r="O967" s="572"/>
      <c r="P967" s="572"/>
      <c r="Q967" s="572"/>
      <c r="R967" s="572"/>
      <c r="S967" s="572"/>
      <c r="T967" s="572"/>
      <c r="U967" s="572"/>
      <c r="V967" s="572"/>
      <c r="W967" s="572"/>
      <c r="X967" s="572"/>
      <c r="Y967" s="572"/>
    </row>
    <row r="968" spans="1:25" ht="12.75" customHeight="1">
      <c r="A968" s="571"/>
      <c r="B968" s="572"/>
      <c r="C968" s="572"/>
      <c r="D968" s="572"/>
      <c r="E968" s="572"/>
      <c r="F968" s="572"/>
      <c r="G968" s="572"/>
      <c r="H968" s="572"/>
      <c r="I968" s="572"/>
      <c r="J968" s="572"/>
      <c r="K968" s="572"/>
      <c r="L968" s="572"/>
      <c r="M968" s="572"/>
      <c r="N968" s="572"/>
      <c r="O968" s="572"/>
      <c r="P968" s="572"/>
      <c r="Q968" s="572"/>
      <c r="R968" s="572"/>
      <c r="S968" s="572"/>
      <c r="T968" s="572"/>
      <c r="U968" s="572"/>
      <c r="V968" s="572"/>
      <c r="W968" s="572"/>
      <c r="X968" s="572"/>
      <c r="Y968" s="572"/>
    </row>
    <row r="969" spans="1:25" ht="12.75" customHeight="1">
      <c r="A969" s="571"/>
      <c r="B969" s="572"/>
      <c r="C969" s="572"/>
      <c r="D969" s="572"/>
      <c r="E969" s="572"/>
      <c r="F969" s="572"/>
      <c r="G969" s="572"/>
      <c r="H969" s="572"/>
      <c r="I969" s="572"/>
      <c r="J969" s="572"/>
      <c r="K969" s="572"/>
      <c r="L969" s="572"/>
      <c r="M969" s="572"/>
      <c r="N969" s="572"/>
      <c r="O969" s="572"/>
      <c r="P969" s="572"/>
      <c r="Q969" s="572"/>
      <c r="R969" s="572"/>
      <c r="S969" s="572"/>
      <c r="T969" s="572"/>
      <c r="U969" s="572"/>
      <c r="V969" s="572"/>
      <c r="W969" s="572"/>
      <c r="X969" s="572"/>
      <c r="Y969" s="572"/>
    </row>
    <row r="970" spans="1:25" ht="12.75" customHeight="1">
      <c r="A970" s="571"/>
      <c r="B970" s="572"/>
      <c r="C970" s="572"/>
      <c r="D970" s="572"/>
      <c r="E970" s="572"/>
      <c r="F970" s="572"/>
      <c r="G970" s="572"/>
      <c r="H970" s="572"/>
      <c r="I970" s="572"/>
      <c r="J970" s="572"/>
      <c r="K970" s="572"/>
      <c r="L970" s="572"/>
      <c r="M970" s="572"/>
      <c r="N970" s="572"/>
      <c r="O970" s="572"/>
      <c r="P970" s="572"/>
      <c r="Q970" s="572"/>
      <c r="R970" s="572"/>
      <c r="S970" s="572"/>
      <c r="T970" s="572"/>
      <c r="U970" s="572"/>
      <c r="V970" s="572"/>
      <c r="W970" s="572"/>
      <c r="X970" s="572"/>
      <c r="Y970" s="572"/>
    </row>
    <row r="971" spans="1:25" ht="12.75" customHeight="1">
      <c r="A971" s="571"/>
      <c r="B971" s="572"/>
      <c r="C971" s="572"/>
      <c r="D971" s="572"/>
      <c r="E971" s="572"/>
      <c r="F971" s="572"/>
      <c r="G971" s="572"/>
      <c r="H971" s="572"/>
      <c r="I971" s="572"/>
      <c r="J971" s="572"/>
      <c r="K971" s="572"/>
      <c r="L971" s="572"/>
      <c r="M971" s="572"/>
      <c r="N971" s="572"/>
      <c r="O971" s="572"/>
      <c r="P971" s="572"/>
      <c r="Q971" s="572"/>
      <c r="R971" s="572"/>
      <c r="S971" s="572"/>
      <c r="T971" s="572"/>
      <c r="U971" s="572"/>
      <c r="V971" s="572"/>
      <c r="W971" s="572"/>
      <c r="X971" s="572"/>
      <c r="Y971" s="572"/>
    </row>
    <row r="972" spans="1:25" ht="12.75" customHeight="1">
      <c r="A972" s="571"/>
      <c r="B972" s="572"/>
      <c r="C972" s="572"/>
      <c r="D972" s="572"/>
      <c r="E972" s="572"/>
      <c r="F972" s="572"/>
      <c r="G972" s="572"/>
      <c r="H972" s="572"/>
      <c r="I972" s="572"/>
      <c r="J972" s="572"/>
      <c r="K972" s="572"/>
      <c r="L972" s="572"/>
      <c r="M972" s="572"/>
      <c r="N972" s="572"/>
      <c r="O972" s="572"/>
      <c r="P972" s="572"/>
      <c r="Q972" s="572"/>
      <c r="R972" s="572"/>
      <c r="S972" s="572"/>
      <c r="T972" s="572"/>
      <c r="U972" s="572"/>
      <c r="V972" s="572"/>
      <c r="W972" s="572"/>
      <c r="X972" s="572"/>
      <c r="Y972" s="572"/>
    </row>
    <row r="973" spans="1:25" ht="12.75" customHeight="1">
      <c r="A973" s="571"/>
      <c r="B973" s="572"/>
      <c r="C973" s="572"/>
      <c r="D973" s="572"/>
      <c r="E973" s="572"/>
      <c r="F973" s="572"/>
      <c r="G973" s="572"/>
      <c r="H973" s="572"/>
      <c r="I973" s="572"/>
      <c r="J973" s="572"/>
      <c r="K973" s="572"/>
      <c r="L973" s="572"/>
      <c r="M973" s="572"/>
      <c r="N973" s="572"/>
      <c r="O973" s="572"/>
      <c r="P973" s="572"/>
      <c r="Q973" s="572"/>
      <c r="R973" s="572"/>
      <c r="S973" s="572"/>
      <c r="T973" s="572"/>
      <c r="U973" s="572"/>
      <c r="V973" s="572"/>
      <c r="W973" s="572"/>
      <c r="X973" s="572"/>
      <c r="Y973" s="572"/>
    </row>
    <row r="974" spans="1:25" ht="12.75" customHeight="1">
      <c r="A974" s="571"/>
      <c r="B974" s="572"/>
      <c r="C974" s="572"/>
      <c r="D974" s="572"/>
      <c r="E974" s="572"/>
      <c r="F974" s="572"/>
      <c r="G974" s="572"/>
      <c r="H974" s="572"/>
      <c r="I974" s="572"/>
      <c r="J974" s="572"/>
      <c r="K974" s="572"/>
      <c r="L974" s="572"/>
      <c r="M974" s="572"/>
      <c r="N974" s="572"/>
      <c r="O974" s="572"/>
      <c r="P974" s="572"/>
      <c r="Q974" s="572"/>
      <c r="R974" s="572"/>
      <c r="S974" s="572"/>
      <c r="T974" s="572"/>
      <c r="U974" s="572"/>
      <c r="V974" s="572"/>
      <c r="W974" s="572"/>
      <c r="X974" s="572"/>
      <c r="Y974" s="572"/>
    </row>
    <row r="975" spans="1:25" ht="12.75" customHeight="1">
      <c r="A975" s="571"/>
      <c r="B975" s="572"/>
      <c r="C975" s="572"/>
      <c r="D975" s="572"/>
      <c r="E975" s="572"/>
      <c r="F975" s="572"/>
      <c r="G975" s="572"/>
      <c r="H975" s="572"/>
      <c r="I975" s="572"/>
      <c r="J975" s="572"/>
      <c r="K975" s="572"/>
      <c r="L975" s="572"/>
      <c r="M975" s="572"/>
      <c r="N975" s="572"/>
      <c r="O975" s="572"/>
      <c r="P975" s="572"/>
      <c r="Q975" s="572"/>
      <c r="R975" s="572"/>
      <c r="S975" s="572"/>
      <c r="T975" s="572"/>
      <c r="U975" s="572"/>
      <c r="V975" s="572"/>
      <c r="W975" s="572"/>
      <c r="X975" s="572"/>
      <c r="Y975" s="572"/>
    </row>
    <row r="976" spans="1:25" ht="12.75" customHeight="1">
      <c r="A976" s="571"/>
      <c r="B976" s="572"/>
      <c r="C976" s="572"/>
      <c r="D976" s="572"/>
      <c r="E976" s="572"/>
      <c r="F976" s="572"/>
      <c r="G976" s="572"/>
      <c r="H976" s="572"/>
      <c r="I976" s="572"/>
      <c r="J976" s="572"/>
      <c r="K976" s="572"/>
      <c r="L976" s="572"/>
      <c r="M976" s="572"/>
      <c r="N976" s="572"/>
      <c r="O976" s="572"/>
      <c r="P976" s="572"/>
      <c r="Q976" s="572"/>
      <c r="R976" s="572"/>
      <c r="S976" s="572"/>
      <c r="T976" s="572"/>
      <c r="U976" s="572"/>
      <c r="V976" s="572"/>
      <c r="W976" s="572"/>
      <c r="X976" s="572"/>
      <c r="Y976" s="572"/>
    </row>
    <row r="977" spans="1:25" ht="12.75" customHeight="1">
      <c r="A977" s="571"/>
      <c r="B977" s="572"/>
      <c r="C977" s="572"/>
      <c r="D977" s="572"/>
      <c r="E977" s="572"/>
      <c r="F977" s="572"/>
      <c r="G977" s="572"/>
      <c r="H977" s="572"/>
      <c r="I977" s="572"/>
      <c r="J977" s="572"/>
      <c r="K977" s="572"/>
      <c r="L977" s="572"/>
      <c r="M977" s="572"/>
      <c r="N977" s="572"/>
      <c r="O977" s="572"/>
      <c r="P977" s="572"/>
      <c r="Q977" s="572"/>
      <c r="R977" s="572"/>
      <c r="S977" s="572"/>
      <c r="T977" s="572"/>
      <c r="U977" s="572"/>
      <c r="V977" s="572"/>
      <c r="W977" s="572"/>
      <c r="X977" s="572"/>
      <c r="Y977" s="572"/>
    </row>
    <row r="978" spans="1:25" ht="12.75" customHeight="1">
      <c r="A978" s="571"/>
      <c r="B978" s="572"/>
      <c r="C978" s="572"/>
      <c r="D978" s="572"/>
      <c r="E978" s="572"/>
      <c r="F978" s="572"/>
      <c r="G978" s="572"/>
      <c r="H978" s="572"/>
      <c r="I978" s="572"/>
      <c r="J978" s="572"/>
      <c r="K978" s="572"/>
      <c r="L978" s="572"/>
      <c r="M978" s="572"/>
      <c r="N978" s="572"/>
      <c r="O978" s="572"/>
      <c r="P978" s="572"/>
      <c r="Q978" s="572"/>
      <c r="R978" s="572"/>
      <c r="S978" s="572"/>
      <c r="T978" s="572"/>
      <c r="U978" s="572"/>
      <c r="V978" s="572"/>
      <c r="W978" s="572"/>
      <c r="X978" s="572"/>
      <c r="Y978" s="572"/>
    </row>
    <row r="979" spans="1:25" ht="12.75" customHeight="1">
      <c r="A979" s="571"/>
      <c r="B979" s="572"/>
      <c r="C979" s="572"/>
      <c r="D979" s="572"/>
      <c r="E979" s="572"/>
      <c r="F979" s="572"/>
      <c r="G979" s="572"/>
      <c r="H979" s="572"/>
      <c r="I979" s="572"/>
      <c r="J979" s="572"/>
      <c r="K979" s="572"/>
      <c r="L979" s="572"/>
      <c r="M979" s="572"/>
      <c r="N979" s="572"/>
      <c r="O979" s="572"/>
      <c r="P979" s="572"/>
      <c r="Q979" s="572"/>
      <c r="R979" s="572"/>
      <c r="S979" s="572"/>
      <c r="T979" s="572"/>
      <c r="U979" s="572"/>
      <c r="V979" s="572"/>
      <c r="W979" s="572"/>
      <c r="X979" s="572"/>
      <c r="Y979" s="572"/>
    </row>
    <row r="980" spans="1:25" ht="12.75" customHeight="1">
      <c r="A980" s="571"/>
      <c r="B980" s="572"/>
      <c r="C980" s="572"/>
      <c r="D980" s="572"/>
      <c r="E980" s="572"/>
      <c r="F980" s="572"/>
      <c r="G980" s="572"/>
      <c r="H980" s="572"/>
      <c r="I980" s="572"/>
      <c r="J980" s="572"/>
      <c r="K980" s="572"/>
      <c r="L980" s="572"/>
      <c r="M980" s="572"/>
      <c r="N980" s="572"/>
      <c r="O980" s="572"/>
      <c r="P980" s="572"/>
      <c r="Q980" s="572"/>
      <c r="R980" s="572"/>
      <c r="S980" s="572"/>
      <c r="T980" s="572"/>
      <c r="U980" s="572"/>
      <c r="V980" s="572"/>
      <c r="W980" s="572"/>
      <c r="X980" s="572"/>
      <c r="Y980" s="572"/>
    </row>
    <row r="981" spans="1:25" ht="12.75" customHeight="1">
      <c r="A981" s="571"/>
      <c r="B981" s="572"/>
      <c r="C981" s="572"/>
      <c r="D981" s="572"/>
      <c r="E981" s="572"/>
      <c r="F981" s="572"/>
      <c r="G981" s="572"/>
      <c r="H981" s="572"/>
      <c r="I981" s="572"/>
      <c r="J981" s="572"/>
      <c r="K981" s="572"/>
      <c r="L981" s="572"/>
      <c r="M981" s="572"/>
      <c r="N981" s="572"/>
      <c r="O981" s="572"/>
      <c r="P981" s="572"/>
      <c r="Q981" s="572"/>
      <c r="R981" s="572"/>
      <c r="S981" s="572"/>
      <c r="T981" s="572"/>
      <c r="U981" s="572"/>
      <c r="V981" s="572"/>
      <c r="W981" s="572"/>
      <c r="X981" s="572"/>
      <c r="Y981" s="572"/>
    </row>
    <row r="982" spans="1:25" ht="12.75" customHeight="1">
      <c r="A982" s="571"/>
      <c r="B982" s="572"/>
      <c r="C982" s="572"/>
      <c r="D982" s="572"/>
      <c r="E982" s="572"/>
      <c r="F982" s="572"/>
      <c r="G982" s="572"/>
      <c r="H982" s="572"/>
      <c r="I982" s="572"/>
      <c r="J982" s="572"/>
      <c r="K982" s="572"/>
      <c r="L982" s="572"/>
      <c r="M982" s="572"/>
      <c r="N982" s="572"/>
      <c r="O982" s="572"/>
      <c r="P982" s="572"/>
      <c r="Q982" s="572"/>
      <c r="R982" s="572"/>
      <c r="S982" s="572"/>
      <c r="T982" s="572"/>
      <c r="U982" s="572"/>
      <c r="V982" s="572"/>
      <c r="W982" s="572"/>
      <c r="X982" s="572"/>
      <c r="Y982" s="572"/>
    </row>
    <row r="983" spans="1:25" ht="12.75" customHeight="1">
      <c r="A983" s="571"/>
      <c r="B983" s="572"/>
      <c r="C983" s="572"/>
      <c r="D983" s="572"/>
      <c r="E983" s="572"/>
      <c r="F983" s="572"/>
      <c r="G983" s="572"/>
      <c r="H983" s="572"/>
      <c r="I983" s="572"/>
      <c r="J983" s="572"/>
      <c r="K983" s="572"/>
      <c r="L983" s="572"/>
      <c r="M983" s="572"/>
      <c r="N983" s="572"/>
      <c r="O983" s="572"/>
      <c r="P983" s="572"/>
      <c r="Q983" s="572"/>
      <c r="R983" s="572"/>
      <c r="S983" s="572"/>
      <c r="T983" s="572"/>
      <c r="U983" s="572"/>
      <c r="V983" s="572"/>
      <c r="W983" s="572"/>
      <c r="X983" s="572"/>
      <c r="Y983" s="572"/>
    </row>
    <row r="984" spans="1:25" ht="12.75" customHeight="1">
      <c r="A984" s="571"/>
      <c r="B984" s="572"/>
      <c r="C984" s="572"/>
      <c r="D984" s="572"/>
      <c r="E984" s="572"/>
      <c r="F984" s="572"/>
      <c r="G984" s="572"/>
      <c r="H984" s="572"/>
      <c r="I984" s="572"/>
      <c r="J984" s="572"/>
      <c r="K984" s="572"/>
      <c r="L984" s="572"/>
      <c r="M984" s="572"/>
      <c r="N984" s="572"/>
      <c r="O984" s="572"/>
      <c r="P984" s="572"/>
      <c r="Q984" s="572"/>
      <c r="R984" s="572"/>
      <c r="S984" s="572"/>
      <c r="T984" s="572"/>
      <c r="U984" s="572"/>
      <c r="V984" s="572"/>
      <c r="W984" s="572"/>
      <c r="X984" s="572"/>
      <c r="Y984" s="572"/>
    </row>
    <row r="985" spans="1:25" ht="12.75" customHeight="1">
      <c r="A985" s="571"/>
      <c r="B985" s="572"/>
      <c r="C985" s="572"/>
      <c r="D985" s="572"/>
      <c r="E985" s="572"/>
      <c r="F985" s="572"/>
      <c r="G985" s="572"/>
      <c r="H985" s="572"/>
      <c r="I985" s="572"/>
      <c r="J985" s="572"/>
      <c r="K985" s="572"/>
      <c r="L985" s="572"/>
      <c r="M985" s="572"/>
      <c r="N985" s="572"/>
      <c r="O985" s="572"/>
      <c r="P985" s="572"/>
      <c r="Q985" s="572"/>
      <c r="R985" s="572"/>
      <c r="S985" s="572"/>
      <c r="T985" s="572"/>
      <c r="U985" s="572"/>
      <c r="V985" s="572"/>
      <c r="W985" s="572"/>
      <c r="X985" s="572"/>
      <c r="Y985" s="572"/>
    </row>
    <row r="986" spans="1:25" ht="12.75" customHeight="1">
      <c r="A986" s="571"/>
      <c r="B986" s="572"/>
      <c r="C986" s="572"/>
      <c r="D986" s="572"/>
      <c r="E986" s="572"/>
      <c r="F986" s="572"/>
      <c r="G986" s="572"/>
      <c r="H986" s="572"/>
      <c r="I986" s="572"/>
      <c r="J986" s="572"/>
      <c r="K986" s="572"/>
      <c r="L986" s="572"/>
      <c r="M986" s="572"/>
      <c r="N986" s="572"/>
      <c r="O986" s="572"/>
      <c r="P986" s="572"/>
      <c r="Q986" s="572"/>
      <c r="R986" s="572"/>
      <c r="S986" s="572"/>
      <c r="T986" s="572"/>
      <c r="U986" s="572"/>
      <c r="V986" s="572"/>
      <c r="W986" s="572"/>
      <c r="X986" s="572"/>
      <c r="Y986" s="572"/>
    </row>
    <row r="987" spans="1:25" ht="12.75" customHeight="1">
      <c r="A987" s="571"/>
      <c r="B987" s="572"/>
      <c r="C987" s="572"/>
      <c r="D987" s="572"/>
      <c r="E987" s="572"/>
      <c r="F987" s="572"/>
      <c r="G987" s="572"/>
      <c r="H987" s="572"/>
      <c r="I987" s="572"/>
      <c r="J987" s="572"/>
      <c r="K987" s="572"/>
      <c r="L987" s="572"/>
      <c r="M987" s="572"/>
      <c r="N987" s="572"/>
      <c r="O987" s="572"/>
      <c r="P987" s="572"/>
      <c r="Q987" s="572"/>
      <c r="R987" s="572"/>
      <c r="S987" s="572"/>
      <c r="T987" s="572"/>
      <c r="U987" s="572"/>
      <c r="V987" s="572"/>
      <c r="W987" s="572"/>
      <c r="X987" s="572"/>
      <c r="Y987" s="572"/>
    </row>
    <row r="988" spans="1:25" ht="12.75" customHeight="1">
      <c r="A988" s="571"/>
      <c r="B988" s="572"/>
      <c r="C988" s="572"/>
      <c r="D988" s="572"/>
      <c r="E988" s="572"/>
      <c r="F988" s="572"/>
      <c r="G988" s="572"/>
      <c r="H988" s="572"/>
      <c r="I988" s="572"/>
      <c r="J988" s="572"/>
      <c r="K988" s="572"/>
      <c r="L988" s="572"/>
      <c r="M988" s="572"/>
      <c r="N988" s="572"/>
      <c r="O988" s="572"/>
      <c r="P988" s="572"/>
      <c r="Q988" s="572"/>
      <c r="R988" s="572"/>
      <c r="S988" s="572"/>
      <c r="T988" s="572"/>
      <c r="U988" s="572"/>
      <c r="V988" s="572"/>
      <c r="W988" s="572"/>
      <c r="X988" s="572"/>
      <c r="Y988" s="572"/>
    </row>
    <row r="989" spans="1:25" ht="12.75" customHeight="1">
      <c r="A989" s="571"/>
      <c r="B989" s="572"/>
      <c r="C989" s="572"/>
      <c r="D989" s="572"/>
      <c r="E989" s="572"/>
      <c r="F989" s="572"/>
      <c r="G989" s="572"/>
      <c r="H989" s="572"/>
      <c r="I989" s="572"/>
      <c r="J989" s="572"/>
      <c r="K989" s="572"/>
      <c r="L989" s="572"/>
      <c r="M989" s="572"/>
      <c r="N989" s="572"/>
      <c r="O989" s="572"/>
      <c r="P989" s="572"/>
      <c r="Q989" s="572"/>
      <c r="R989" s="572"/>
      <c r="S989" s="572"/>
      <c r="T989" s="572"/>
      <c r="U989" s="572"/>
      <c r="V989" s="572"/>
      <c r="W989" s="572"/>
      <c r="X989" s="572"/>
      <c r="Y989" s="572"/>
    </row>
    <row r="990" spans="1:25" ht="12.75" customHeight="1">
      <c r="A990" s="571"/>
      <c r="B990" s="572"/>
      <c r="C990" s="572"/>
      <c r="D990" s="572"/>
      <c r="E990" s="572"/>
      <c r="F990" s="572"/>
      <c r="G990" s="572"/>
      <c r="H990" s="572"/>
      <c r="I990" s="572"/>
      <c r="J990" s="572"/>
      <c r="K990" s="572"/>
      <c r="L990" s="572"/>
      <c r="M990" s="572"/>
      <c r="N990" s="572"/>
      <c r="O990" s="572"/>
      <c r="P990" s="572"/>
      <c r="Q990" s="572"/>
      <c r="R990" s="572"/>
      <c r="S990" s="572"/>
      <c r="T990" s="572"/>
      <c r="U990" s="572"/>
      <c r="V990" s="572"/>
      <c r="W990" s="572"/>
      <c r="X990" s="572"/>
      <c r="Y990" s="572"/>
    </row>
    <row r="991" spans="1:25" ht="12.75" customHeight="1">
      <c r="A991" s="571"/>
      <c r="B991" s="572"/>
      <c r="C991" s="572"/>
      <c r="D991" s="572"/>
      <c r="E991" s="572"/>
      <c r="F991" s="572"/>
      <c r="G991" s="572"/>
      <c r="H991" s="572"/>
      <c r="I991" s="572"/>
      <c r="J991" s="572"/>
      <c r="K991" s="572"/>
      <c r="L991" s="572"/>
      <c r="M991" s="572"/>
      <c r="N991" s="572"/>
      <c r="O991" s="572"/>
      <c r="P991" s="572"/>
      <c r="Q991" s="572"/>
      <c r="R991" s="572"/>
      <c r="S991" s="572"/>
      <c r="T991" s="572"/>
      <c r="U991" s="572"/>
      <c r="V991" s="572"/>
      <c r="W991" s="572"/>
      <c r="X991" s="572"/>
      <c r="Y991" s="572"/>
    </row>
    <row r="992" spans="1:25" ht="12.75" customHeight="1">
      <c r="A992" s="571"/>
      <c r="B992" s="572"/>
      <c r="C992" s="572"/>
      <c r="D992" s="572"/>
      <c r="E992" s="572"/>
      <c r="F992" s="572"/>
      <c r="G992" s="572"/>
      <c r="H992" s="572"/>
      <c r="I992" s="572"/>
      <c r="J992" s="572"/>
      <c r="K992" s="572"/>
      <c r="L992" s="572"/>
      <c r="M992" s="572"/>
      <c r="N992" s="572"/>
      <c r="O992" s="572"/>
      <c r="P992" s="572"/>
      <c r="Q992" s="572"/>
      <c r="R992" s="572"/>
      <c r="S992" s="572"/>
      <c r="T992" s="572"/>
      <c r="U992" s="572"/>
      <c r="V992" s="572"/>
      <c r="W992" s="572"/>
      <c r="X992" s="572"/>
      <c r="Y992" s="572"/>
    </row>
    <row r="993" spans="1:25" ht="12.75" customHeight="1">
      <c r="A993" s="571"/>
      <c r="B993" s="572"/>
      <c r="C993" s="572"/>
      <c r="D993" s="572"/>
      <c r="E993" s="572"/>
      <c r="F993" s="572"/>
      <c r="G993" s="572"/>
      <c r="H993" s="572"/>
      <c r="I993" s="572"/>
      <c r="J993" s="572"/>
      <c r="K993" s="572"/>
      <c r="L993" s="572"/>
      <c r="M993" s="572"/>
      <c r="N993" s="572"/>
      <c r="O993" s="572"/>
      <c r="P993" s="572"/>
      <c r="Q993" s="572"/>
      <c r="R993" s="572"/>
      <c r="S993" s="572"/>
      <c r="T993" s="572"/>
      <c r="U993" s="572"/>
      <c r="V993" s="572"/>
      <c r="W993" s="572"/>
      <c r="X993" s="572"/>
      <c r="Y993" s="572"/>
    </row>
    <row r="994" spans="1:25" ht="12.75" customHeight="1">
      <c r="A994" s="571"/>
      <c r="B994" s="572"/>
      <c r="C994" s="572"/>
      <c r="D994" s="572"/>
      <c r="E994" s="572"/>
      <c r="F994" s="572"/>
      <c r="G994" s="572"/>
      <c r="H994" s="572"/>
      <c r="I994" s="572"/>
      <c r="J994" s="572"/>
      <c r="K994" s="572"/>
      <c r="L994" s="572"/>
      <c r="M994" s="572"/>
      <c r="N994" s="572"/>
      <c r="O994" s="572"/>
      <c r="P994" s="572"/>
      <c r="Q994" s="572"/>
      <c r="R994" s="572"/>
      <c r="S994" s="572"/>
      <c r="T994" s="572"/>
      <c r="U994" s="572"/>
      <c r="V994" s="572"/>
      <c r="W994" s="572"/>
      <c r="X994" s="572"/>
      <c r="Y994" s="572"/>
    </row>
    <row r="995" spans="1:25" ht="12.75" customHeight="1">
      <c r="A995" s="571"/>
      <c r="B995" s="572"/>
      <c r="C995" s="572"/>
      <c r="D995" s="572"/>
      <c r="E995" s="572"/>
      <c r="F995" s="572"/>
      <c r="G995" s="572"/>
      <c r="H995" s="572"/>
      <c r="I995" s="572"/>
      <c r="J995" s="572"/>
      <c r="K995" s="572"/>
      <c r="L995" s="572"/>
      <c r="M995" s="572"/>
      <c r="N995" s="572"/>
      <c r="O995" s="572"/>
      <c r="P995" s="572"/>
      <c r="Q995" s="572"/>
      <c r="R995" s="572"/>
      <c r="S995" s="572"/>
      <c r="T995" s="572"/>
      <c r="U995" s="572"/>
      <c r="V995" s="572"/>
      <c r="W995" s="572"/>
      <c r="X995" s="572"/>
      <c r="Y995" s="572"/>
    </row>
    <row r="996" spans="1:25" ht="12.75" customHeight="1">
      <c r="A996" s="571"/>
      <c r="B996" s="572"/>
      <c r="C996" s="572"/>
      <c r="D996" s="572"/>
      <c r="E996" s="572"/>
      <c r="F996" s="572"/>
      <c r="G996" s="572"/>
      <c r="H996" s="572"/>
      <c r="I996" s="572"/>
      <c r="J996" s="572"/>
      <c r="K996" s="572"/>
      <c r="L996" s="572"/>
      <c r="M996" s="572"/>
      <c r="N996" s="572"/>
      <c r="O996" s="572"/>
      <c r="P996" s="572"/>
      <c r="Q996" s="572"/>
      <c r="R996" s="572"/>
      <c r="S996" s="572"/>
      <c r="T996" s="572"/>
      <c r="U996" s="572"/>
      <c r="V996" s="572"/>
      <c r="W996" s="572"/>
      <c r="X996" s="572"/>
      <c r="Y996" s="572"/>
    </row>
    <row r="997" spans="1:25" ht="12.75" customHeight="1">
      <c r="A997" s="571"/>
      <c r="B997" s="572"/>
      <c r="C997" s="572"/>
      <c r="D997" s="572"/>
      <c r="E997" s="572"/>
      <c r="F997" s="572"/>
      <c r="G997" s="572"/>
      <c r="H997" s="572"/>
      <c r="I997" s="572"/>
      <c r="J997" s="572"/>
      <c r="K997" s="572"/>
      <c r="L997" s="572"/>
      <c r="M997" s="572"/>
      <c r="N997" s="572"/>
      <c r="O997" s="572"/>
      <c r="P997" s="572"/>
      <c r="Q997" s="572"/>
      <c r="R997" s="572"/>
      <c r="S997" s="572"/>
      <c r="T997" s="572"/>
      <c r="U997" s="572"/>
      <c r="V997" s="572"/>
      <c r="W997" s="572"/>
      <c r="X997" s="572"/>
      <c r="Y997" s="572"/>
    </row>
    <row r="998" spans="1:25" ht="12.75" customHeight="1">
      <c r="A998" s="571"/>
      <c r="B998" s="572"/>
      <c r="C998" s="572"/>
      <c r="D998" s="572"/>
      <c r="E998" s="572"/>
      <c r="F998" s="572"/>
      <c r="G998" s="572"/>
      <c r="H998" s="572"/>
      <c r="I998" s="572"/>
      <c r="J998" s="572"/>
      <c r="K998" s="572"/>
      <c r="L998" s="572"/>
      <c r="M998" s="572"/>
      <c r="N998" s="572"/>
      <c r="O998" s="572"/>
      <c r="P998" s="572"/>
      <c r="Q998" s="572"/>
      <c r="R998" s="572"/>
      <c r="S998" s="572"/>
      <c r="T998" s="572"/>
      <c r="U998" s="572"/>
      <c r="V998" s="572"/>
      <c r="W998" s="572"/>
      <c r="X998" s="572"/>
      <c r="Y998" s="572"/>
    </row>
    <row r="999" spans="1:25" ht="12.75" customHeight="1">
      <c r="A999" s="571"/>
      <c r="B999" s="572"/>
      <c r="C999" s="572"/>
      <c r="D999" s="572"/>
      <c r="E999" s="572"/>
      <c r="F999" s="572"/>
      <c r="G999" s="572"/>
      <c r="H999" s="572"/>
      <c r="I999" s="572"/>
      <c r="J999" s="572"/>
      <c r="K999" s="572"/>
      <c r="L999" s="572"/>
      <c r="M999" s="572"/>
      <c r="N999" s="572"/>
      <c r="O999" s="572"/>
      <c r="P999" s="572"/>
      <c r="Q999" s="572"/>
      <c r="R999" s="572"/>
      <c r="S999" s="572"/>
      <c r="T999" s="572"/>
      <c r="U999" s="572"/>
      <c r="V999" s="572"/>
      <c r="W999" s="572"/>
      <c r="X999" s="572"/>
      <c r="Y999" s="572"/>
    </row>
    <row r="1000" spans="1:25" ht="12.75" customHeight="1">
      <c r="A1000" s="571"/>
      <c r="B1000" s="572"/>
      <c r="C1000" s="572"/>
      <c r="D1000" s="572"/>
      <c r="E1000" s="572"/>
      <c r="F1000" s="572"/>
      <c r="G1000" s="572"/>
      <c r="H1000" s="572"/>
      <c r="I1000" s="572"/>
      <c r="J1000" s="572"/>
      <c r="K1000" s="572"/>
      <c r="L1000" s="572"/>
      <c r="M1000" s="572"/>
      <c r="N1000" s="572"/>
      <c r="O1000" s="572"/>
      <c r="P1000" s="572"/>
      <c r="Q1000" s="572"/>
      <c r="R1000" s="572"/>
      <c r="S1000" s="572"/>
      <c r="T1000" s="572"/>
      <c r="U1000" s="572"/>
      <c r="V1000" s="572"/>
      <c r="W1000" s="572"/>
      <c r="X1000" s="572"/>
      <c r="Y1000" s="572"/>
    </row>
    <row r="1001" spans="1:25" ht="12.75" customHeight="1">
      <c r="A1001" s="571"/>
      <c r="B1001" s="572"/>
      <c r="C1001" s="572"/>
      <c r="D1001" s="572"/>
      <c r="E1001" s="572"/>
      <c r="F1001" s="572"/>
      <c r="G1001" s="572"/>
      <c r="H1001" s="572"/>
      <c r="I1001" s="572"/>
      <c r="J1001" s="572"/>
      <c r="K1001" s="572"/>
      <c r="L1001" s="572"/>
      <c r="M1001" s="572"/>
      <c r="N1001" s="572"/>
      <c r="O1001" s="572"/>
      <c r="P1001" s="572"/>
      <c r="Q1001" s="572"/>
      <c r="R1001" s="572"/>
      <c r="S1001" s="572"/>
      <c r="T1001" s="572"/>
      <c r="U1001" s="572"/>
      <c r="V1001" s="572"/>
      <c r="W1001" s="572"/>
      <c r="X1001" s="572"/>
      <c r="Y1001" s="572"/>
    </row>
  </sheetData>
  <sheetProtection password="CA9F" sheet="1"/>
  <mergeCells count="5">
    <mergeCell ref="B1:D3"/>
    <mergeCell ref="A5:D5"/>
    <mergeCell ref="A7:B7"/>
    <mergeCell ref="C7:D7"/>
    <mergeCell ref="A24:B24"/>
  </mergeCells>
  <dataValidations count="1">
    <dataValidation type="whole" allowBlank="1" showInputMessage="1" showErrorMessage="1" sqref="D12:D24">
      <formula1>1</formula1>
      <formula2>10000000000000000000</formula2>
    </dataValidation>
  </dataValidations>
  <pageMargins left="0.7" right="0.7" top="0.75" bottom="0.75" header="0.3" footer="0.3"/>
  <pageSetup scale="63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999"/>
  <sheetViews>
    <sheetView topLeftCell="A16" workbookViewId="0">
      <selection activeCell="H30" sqref="H30"/>
    </sheetView>
  </sheetViews>
  <sheetFormatPr defaultColWidth="15.1796875" defaultRowHeight="14"/>
  <cols>
    <col min="1" max="1" width="7.7265625" style="593" customWidth="1"/>
    <col min="2" max="2" width="4.1796875" style="593" customWidth="1"/>
    <col min="3" max="3" width="27.453125" style="593" customWidth="1"/>
    <col min="4" max="4" width="7.453125" style="593" customWidth="1"/>
    <col min="5" max="9" width="19.26953125" style="593" customWidth="1"/>
    <col min="10" max="10" width="19" style="593" customWidth="1"/>
    <col min="11" max="12" width="7.453125" style="593" customWidth="1"/>
    <col min="13" max="16384" width="15.1796875" style="593"/>
  </cols>
  <sheetData>
    <row r="1" spans="1:18">
      <c r="A1" s="298"/>
      <c r="B1" s="227"/>
      <c r="C1" s="263"/>
      <c r="D1" s="263"/>
      <c r="E1" s="263"/>
      <c r="F1" s="1042" t="s">
        <v>966</v>
      </c>
      <c r="G1" s="1042"/>
      <c r="H1" s="1042"/>
      <c r="I1" s="1042"/>
      <c r="J1" s="242"/>
      <c r="K1" s="242"/>
      <c r="L1" s="242"/>
    </row>
    <row r="2" spans="1:18" ht="23.25" customHeight="1">
      <c r="A2" s="298"/>
      <c r="B2" s="227"/>
      <c r="C2" s="263"/>
      <c r="D2" s="263"/>
      <c r="E2" s="263"/>
      <c r="F2" s="1042"/>
      <c r="G2" s="1042"/>
      <c r="H2" s="1042"/>
      <c r="I2" s="1042"/>
      <c r="J2" s="242"/>
    </row>
    <row r="3" spans="1:18">
      <c r="A3" s="1174" t="s">
        <v>718</v>
      </c>
      <c r="B3" s="1180"/>
      <c r="C3" s="1180"/>
      <c r="D3" s="1180"/>
      <c r="E3" s="1180"/>
      <c r="F3" s="1180"/>
      <c r="G3" s="1180"/>
      <c r="H3" s="1180"/>
      <c r="I3" s="1180"/>
      <c r="J3" s="242"/>
    </row>
    <row r="4" spans="1:18">
      <c r="A4" s="594"/>
      <c r="B4" s="594"/>
      <c r="C4" s="594"/>
      <c r="D4" s="424"/>
      <c r="E4" s="594"/>
      <c r="F4" s="594"/>
      <c r="G4" s="594"/>
      <c r="H4" s="594"/>
      <c r="I4" s="594"/>
      <c r="J4" s="242"/>
    </row>
    <row r="5" spans="1:18">
      <c r="A5" s="1176" t="str">
        <f>+i.04108!A7</f>
        <v>Даатгагчийн нэр:</v>
      </c>
      <c r="B5" s="1176"/>
      <c r="C5" s="1176"/>
      <c r="D5" s="1176"/>
      <c r="E5" s="1176"/>
      <c r="F5" s="242"/>
      <c r="G5" s="242"/>
      <c r="H5" s="1042" t="str">
        <f>+i.04108!F7</f>
        <v>..... оны .... сарын ...-ны өдөр</v>
      </c>
      <c r="I5" s="1042"/>
      <c r="J5" s="242"/>
      <c r="K5" s="242"/>
      <c r="L5" s="242"/>
      <c r="M5" s="242"/>
      <c r="N5" s="242"/>
      <c r="O5" s="242"/>
      <c r="P5" s="242"/>
      <c r="Q5" s="242"/>
      <c r="R5" s="242"/>
    </row>
    <row r="6" spans="1:18">
      <c r="A6" s="571"/>
      <c r="B6" s="576"/>
      <c r="F6" s="572"/>
      <c r="G6" s="572"/>
      <c r="H6" s="242"/>
      <c r="I6" s="595" t="s">
        <v>1</v>
      </c>
      <c r="J6" s="572"/>
      <c r="K6" s="572"/>
      <c r="L6" s="572"/>
      <c r="M6" s="572"/>
      <c r="N6" s="572"/>
      <c r="O6" s="572"/>
      <c r="P6" s="572"/>
    </row>
    <row r="7" spans="1:18" ht="39">
      <c r="A7" s="596" t="s">
        <v>2</v>
      </c>
      <c r="B7" s="596" t="s">
        <v>719</v>
      </c>
      <c r="C7" s="596" t="s">
        <v>642</v>
      </c>
      <c r="D7" s="596" t="s">
        <v>4</v>
      </c>
      <c r="E7" s="597" t="s">
        <v>720</v>
      </c>
      <c r="F7" s="597" t="s">
        <v>721</v>
      </c>
      <c r="G7" s="597" t="s">
        <v>722</v>
      </c>
      <c r="H7" s="597" t="s">
        <v>723</v>
      </c>
      <c r="I7" s="597" t="s">
        <v>724</v>
      </c>
      <c r="J7" s="597" t="s">
        <v>388</v>
      </c>
      <c r="K7" s="598"/>
      <c r="L7" s="598"/>
    </row>
    <row r="8" spans="1:18">
      <c r="A8" s="597" t="s">
        <v>6</v>
      </c>
      <c r="B8" s="597" t="s">
        <v>7</v>
      </c>
      <c r="C8" s="597" t="s">
        <v>8</v>
      </c>
      <c r="D8" s="597" t="s">
        <v>9</v>
      </c>
      <c r="E8" s="597">
        <v>1</v>
      </c>
      <c r="F8" s="597">
        <v>2</v>
      </c>
      <c r="G8" s="597">
        <v>3</v>
      </c>
      <c r="H8" s="597">
        <v>4</v>
      </c>
      <c r="I8" s="597">
        <v>5</v>
      </c>
      <c r="J8" s="597">
        <v>6</v>
      </c>
      <c r="K8" s="598"/>
      <c r="L8" s="598"/>
    </row>
    <row r="9" spans="1:18" ht="26">
      <c r="A9" s="1182" t="s">
        <v>635</v>
      </c>
      <c r="B9" s="803" t="s">
        <v>11</v>
      </c>
      <c r="C9" s="599" t="s">
        <v>643</v>
      </c>
      <c r="D9" s="600">
        <v>1</v>
      </c>
      <c r="E9" s="875"/>
      <c r="F9" s="124"/>
      <c r="G9" s="612">
        <f>i.04112!I13</f>
        <v>0</v>
      </c>
      <c r="H9" s="601">
        <f>i.04112!O13</f>
        <v>0</v>
      </c>
      <c r="I9" s="125"/>
      <c r="J9" s="983"/>
      <c r="K9" s="242"/>
      <c r="L9" s="242"/>
    </row>
    <row r="10" spans="1:18" s="795" customFormat="1">
      <c r="A10" s="1182"/>
      <c r="B10" s="804">
        <f t="shared" ref="B10:B17" si="0">+B9+0.1</f>
        <v>1.2000000000000002</v>
      </c>
      <c r="C10" s="599" t="s">
        <v>985</v>
      </c>
      <c r="D10" s="600"/>
      <c r="E10" s="875"/>
      <c r="F10" s="124"/>
      <c r="G10" s="612"/>
      <c r="H10" s="601"/>
      <c r="I10" s="125"/>
      <c r="J10" s="983"/>
      <c r="K10" s="242"/>
      <c r="L10" s="242"/>
    </row>
    <row r="11" spans="1:18">
      <c r="A11" s="1182"/>
      <c r="B11" s="804">
        <f t="shared" si="0"/>
        <v>1.3000000000000003</v>
      </c>
      <c r="C11" s="587" t="s">
        <v>644</v>
      </c>
      <c r="D11" s="456">
        <f>+D9+1</f>
        <v>2</v>
      </c>
      <c r="E11" s="875"/>
      <c r="F11" s="124"/>
      <c r="G11" s="613">
        <f>i.04112!I15</f>
        <v>0</v>
      </c>
      <c r="H11" s="602">
        <f>i.04112!O15</f>
        <v>0</v>
      </c>
      <c r="I11" s="125"/>
      <c r="J11" s="983"/>
      <c r="K11" s="242"/>
      <c r="L11" s="242"/>
    </row>
    <row r="12" spans="1:18" s="795" customFormat="1">
      <c r="A12" s="1182"/>
      <c r="B12" s="804">
        <f t="shared" si="0"/>
        <v>1.4000000000000004</v>
      </c>
      <c r="C12" s="599" t="s">
        <v>985</v>
      </c>
      <c r="D12" s="456"/>
      <c r="E12" s="875"/>
      <c r="F12" s="124"/>
      <c r="G12" s="613"/>
      <c r="H12" s="602"/>
      <c r="I12" s="125"/>
      <c r="J12" s="983"/>
      <c r="K12" s="242"/>
      <c r="L12" s="242"/>
    </row>
    <row r="13" spans="1:18" ht="26">
      <c r="A13" s="1182"/>
      <c r="B13" s="804">
        <f t="shared" si="0"/>
        <v>1.5000000000000004</v>
      </c>
      <c r="C13" s="587" t="s">
        <v>645</v>
      </c>
      <c r="D13" s="456">
        <f>+D11+1</f>
        <v>3</v>
      </c>
      <c r="E13" s="875"/>
      <c r="F13" s="124"/>
      <c r="G13" s="613">
        <f>i.04112!I17</f>
        <v>0</v>
      </c>
      <c r="H13" s="602">
        <f>i.04112!O17</f>
        <v>0</v>
      </c>
      <c r="I13" s="125"/>
      <c r="J13" s="983"/>
      <c r="K13" s="242"/>
      <c r="L13" s="242"/>
    </row>
    <row r="14" spans="1:18">
      <c r="A14" s="1182"/>
      <c r="B14" s="804">
        <f t="shared" si="0"/>
        <v>1.6000000000000005</v>
      </c>
      <c r="C14" s="587" t="s">
        <v>646</v>
      </c>
      <c r="D14" s="456">
        <f t="shared" ref="D14:D27" si="1">+D13+1</f>
        <v>4</v>
      </c>
      <c r="E14" s="875"/>
      <c r="F14" s="124"/>
      <c r="G14" s="613">
        <f>i.04112!I18</f>
        <v>0</v>
      </c>
      <c r="H14" s="602">
        <f>i.04112!O18</f>
        <v>0</v>
      </c>
      <c r="I14" s="125"/>
      <c r="J14" s="983"/>
      <c r="K14" s="242"/>
      <c r="L14" s="242"/>
    </row>
    <row r="15" spans="1:18">
      <c r="A15" s="1182"/>
      <c r="B15" s="804">
        <f t="shared" si="0"/>
        <v>1.7000000000000006</v>
      </c>
      <c r="C15" s="587" t="s">
        <v>647</v>
      </c>
      <c r="D15" s="456">
        <f t="shared" si="1"/>
        <v>5</v>
      </c>
      <c r="E15" s="875"/>
      <c r="F15" s="124"/>
      <c r="G15" s="613">
        <f>i.04112!I19</f>
        <v>0</v>
      </c>
      <c r="H15" s="602">
        <f>i.04112!O19</f>
        <v>0</v>
      </c>
      <c r="I15" s="125"/>
      <c r="J15" s="983"/>
      <c r="K15" s="242"/>
      <c r="L15" s="242"/>
    </row>
    <row r="16" spans="1:18">
      <c r="A16" s="1182"/>
      <c r="B16" s="804">
        <f t="shared" si="0"/>
        <v>1.8000000000000007</v>
      </c>
      <c r="C16" s="587" t="s">
        <v>648</v>
      </c>
      <c r="D16" s="456">
        <f t="shared" si="1"/>
        <v>6</v>
      </c>
      <c r="E16" s="875"/>
      <c r="F16" s="124"/>
      <c r="G16" s="613">
        <f>i.04112!I20</f>
        <v>0</v>
      </c>
      <c r="H16" s="602">
        <f>i.04112!O20</f>
        <v>0</v>
      </c>
      <c r="I16" s="125"/>
      <c r="J16" s="983"/>
      <c r="K16" s="242"/>
      <c r="L16" s="242"/>
    </row>
    <row r="17" spans="1:12">
      <c r="A17" s="1182"/>
      <c r="B17" s="804">
        <f t="shared" si="0"/>
        <v>1.9000000000000008</v>
      </c>
      <c r="C17" s="587" t="s">
        <v>649</v>
      </c>
      <c r="D17" s="456">
        <f t="shared" si="1"/>
        <v>7</v>
      </c>
      <c r="E17" s="875"/>
      <c r="F17" s="124"/>
      <c r="G17" s="613">
        <f>i.04112!I21</f>
        <v>0</v>
      </c>
      <c r="H17" s="602">
        <f>i.04112!O21</f>
        <v>0</v>
      </c>
      <c r="I17" s="125"/>
      <c r="J17" s="983"/>
      <c r="K17" s="242"/>
      <c r="L17" s="242"/>
    </row>
    <row r="18" spans="1:12">
      <c r="A18" s="1182"/>
      <c r="B18" s="803">
        <v>1.1000000000000001</v>
      </c>
      <c r="C18" s="587" t="s">
        <v>650</v>
      </c>
      <c r="D18" s="456">
        <f t="shared" si="1"/>
        <v>8</v>
      </c>
      <c r="E18" s="875"/>
      <c r="F18" s="124"/>
      <c r="G18" s="613">
        <f>i.04112!I22</f>
        <v>0</v>
      </c>
      <c r="H18" s="602">
        <f>i.04112!O22</f>
        <v>0</v>
      </c>
      <c r="I18" s="125"/>
      <c r="J18" s="983"/>
      <c r="K18" s="242"/>
      <c r="L18" s="242"/>
    </row>
    <row r="19" spans="1:12" ht="25.5" customHeight="1">
      <c r="A19" s="1182"/>
      <c r="B19" s="803">
        <f>+B18+0.01</f>
        <v>1.1100000000000001</v>
      </c>
      <c r="C19" s="587" t="s">
        <v>651</v>
      </c>
      <c r="D19" s="456">
        <f t="shared" si="1"/>
        <v>9</v>
      </c>
      <c r="E19" s="875"/>
      <c r="F19" s="124"/>
      <c r="G19" s="613">
        <f>i.04112!I23</f>
        <v>0</v>
      </c>
      <c r="H19" s="602">
        <f>i.04112!O23</f>
        <v>0</v>
      </c>
      <c r="I19" s="125"/>
      <c r="J19" s="983"/>
      <c r="K19" s="242"/>
      <c r="L19" s="242"/>
    </row>
    <row r="20" spans="1:12">
      <c r="A20" s="1182"/>
      <c r="B20" s="803">
        <f t="shared" ref="B20:B26" si="2">+B19+0.01</f>
        <v>1.1200000000000001</v>
      </c>
      <c r="C20" s="587" t="s">
        <v>652</v>
      </c>
      <c r="D20" s="456">
        <f t="shared" si="1"/>
        <v>10</v>
      </c>
      <c r="E20" s="875"/>
      <c r="F20" s="124"/>
      <c r="G20" s="613">
        <f>i.04112!I24</f>
        <v>0</v>
      </c>
      <c r="H20" s="602">
        <f>i.04112!O24</f>
        <v>0</v>
      </c>
      <c r="I20" s="125"/>
      <c r="J20" s="983"/>
      <c r="K20" s="242"/>
      <c r="L20" s="242"/>
    </row>
    <row r="21" spans="1:12">
      <c r="A21" s="1182"/>
      <c r="B21" s="803">
        <f t="shared" si="2"/>
        <v>1.1300000000000001</v>
      </c>
      <c r="C21" s="587" t="s">
        <v>653</v>
      </c>
      <c r="D21" s="456">
        <f t="shared" si="1"/>
        <v>11</v>
      </c>
      <c r="E21" s="875"/>
      <c r="F21" s="124"/>
      <c r="G21" s="613">
        <f>i.04112!I25</f>
        <v>0</v>
      </c>
      <c r="H21" s="602">
        <f>i.04112!O25</f>
        <v>0</v>
      </c>
      <c r="I21" s="125"/>
      <c r="J21" s="983"/>
      <c r="K21" s="242"/>
      <c r="L21" s="242"/>
    </row>
    <row r="22" spans="1:12">
      <c r="A22" s="1182"/>
      <c r="B22" s="803">
        <f t="shared" si="2"/>
        <v>1.1400000000000001</v>
      </c>
      <c r="C22" s="587" t="s">
        <v>654</v>
      </c>
      <c r="D22" s="456">
        <f t="shared" si="1"/>
        <v>12</v>
      </c>
      <c r="E22" s="875"/>
      <c r="F22" s="124"/>
      <c r="G22" s="613">
        <f>i.04112!I26</f>
        <v>0</v>
      </c>
      <c r="H22" s="602">
        <f>i.04112!O26</f>
        <v>0</v>
      </c>
      <c r="I22" s="125"/>
      <c r="J22" s="983"/>
      <c r="K22" s="242"/>
      <c r="L22" s="242"/>
    </row>
    <row r="23" spans="1:12">
      <c r="A23" s="1182"/>
      <c r="B23" s="803">
        <f t="shared" si="2"/>
        <v>1.1500000000000001</v>
      </c>
      <c r="C23" s="587" t="s">
        <v>655</v>
      </c>
      <c r="D23" s="456">
        <f t="shared" si="1"/>
        <v>13</v>
      </c>
      <c r="E23" s="875"/>
      <c r="F23" s="124"/>
      <c r="G23" s="613">
        <f>i.04112!I27</f>
        <v>0</v>
      </c>
      <c r="H23" s="602">
        <f>i.04112!O27</f>
        <v>0</v>
      </c>
      <c r="I23" s="125"/>
      <c r="J23" s="983"/>
      <c r="K23" s="242"/>
      <c r="L23" s="242"/>
    </row>
    <row r="24" spans="1:12" ht="24" customHeight="1">
      <c r="A24" s="1182"/>
      <c r="B24" s="803">
        <f t="shared" si="2"/>
        <v>1.1600000000000001</v>
      </c>
      <c r="C24" s="587" t="s">
        <v>656</v>
      </c>
      <c r="D24" s="456">
        <f t="shared" si="1"/>
        <v>14</v>
      </c>
      <c r="E24" s="875"/>
      <c r="F24" s="124"/>
      <c r="G24" s="613">
        <f>i.04112!I28</f>
        <v>0</v>
      </c>
      <c r="H24" s="602">
        <f>i.04112!O28</f>
        <v>0</v>
      </c>
      <c r="I24" s="125"/>
      <c r="J24" s="983"/>
      <c r="K24" s="242"/>
      <c r="L24" s="242"/>
    </row>
    <row r="25" spans="1:12" ht="52">
      <c r="A25" s="1182"/>
      <c r="B25" s="803">
        <f t="shared" si="2"/>
        <v>1.1700000000000002</v>
      </c>
      <c r="C25" s="587" t="s">
        <v>657</v>
      </c>
      <c r="D25" s="456">
        <f t="shared" si="1"/>
        <v>15</v>
      </c>
      <c r="E25" s="875"/>
      <c r="F25" s="124"/>
      <c r="G25" s="613">
        <f>i.04112!I29</f>
        <v>0</v>
      </c>
      <c r="H25" s="602">
        <f>i.04112!O29</f>
        <v>0</v>
      </c>
      <c r="I25" s="125"/>
      <c r="J25" s="983"/>
      <c r="K25" s="242"/>
      <c r="L25" s="242"/>
    </row>
    <row r="26" spans="1:12" ht="39">
      <c r="A26" s="1182"/>
      <c r="B26" s="803">
        <f t="shared" si="2"/>
        <v>1.1800000000000002</v>
      </c>
      <c r="C26" s="603" t="s">
        <v>658</v>
      </c>
      <c r="D26" s="456">
        <f t="shared" si="1"/>
        <v>16</v>
      </c>
      <c r="E26" s="875"/>
      <c r="F26" s="124"/>
      <c r="G26" s="613">
        <f>i.04112!I30</f>
        <v>0</v>
      </c>
      <c r="H26" s="602">
        <f>i.04112!O30</f>
        <v>0</v>
      </c>
      <c r="I26" s="125"/>
      <c r="J26" s="983"/>
      <c r="K26" s="242"/>
      <c r="L26" s="242"/>
    </row>
    <row r="27" spans="1:12" ht="46.5" customHeight="1">
      <c r="A27" s="604" t="s">
        <v>639</v>
      </c>
      <c r="B27" s="804">
        <v>2.1</v>
      </c>
      <c r="C27" s="605" t="s">
        <v>659</v>
      </c>
      <c r="D27" s="456">
        <f t="shared" si="1"/>
        <v>17</v>
      </c>
      <c r="E27" s="875"/>
      <c r="F27" s="124"/>
      <c r="G27" s="613">
        <f>+i.04112!I31</f>
        <v>0</v>
      </c>
      <c r="H27" s="602">
        <f>+i.04112!O31</f>
        <v>0</v>
      </c>
      <c r="I27" s="125"/>
      <c r="J27" s="983"/>
      <c r="K27" s="242"/>
      <c r="L27" s="242"/>
    </row>
    <row r="28" spans="1:12">
      <c r="A28" s="1181" t="s">
        <v>664</v>
      </c>
      <c r="B28" s="1181"/>
      <c r="C28" s="1181"/>
      <c r="D28" s="978">
        <f>+D27+1</f>
        <v>18</v>
      </c>
      <c r="E28" s="979">
        <f t="shared" ref="E28:J28" si="3">SUM(E9:E27)-E10-E12</f>
        <v>0</v>
      </c>
      <c r="F28" s="979">
        <f t="shared" si="3"/>
        <v>0</v>
      </c>
      <c r="G28" s="979">
        <f t="shared" si="3"/>
        <v>0</v>
      </c>
      <c r="H28" s="979">
        <f t="shared" si="3"/>
        <v>0</v>
      </c>
      <c r="I28" s="979">
        <f t="shared" si="3"/>
        <v>0</v>
      </c>
      <c r="J28" s="979">
        <f t="shared" si="3"/>
        <v>0</v>
      </c>
      <c r="K28" s="242"/>
      <c r="L28" s="242"/>
    </row>
    <row r="29" spans="1:12">
      <c r="A29" s="1179" t="s">
        <v>1048</v>
      </c>
      <c r="B29" s="1179"/>
      <c r="C29" s="1179"/>
      <c r="D29" s="980">
        <v>19</v>
      </c>
      <c r="E29" s="981"/>
      <c r="F29" s="981"/>
      <c r="G29" s="982"/>
      <c r="H29" s="982"/>
      <c r="I29" s="981"/>
      <c r="J29" s="983"/>
      <c r="K29" s="242"/>
      <c r="L29" s="242"/>
    </row>
    <row r="30" spans="1:12" s="965" customFormat="1">
      <c r="A30" s="606"/>
      <c r="B30" s="606"/>
      <c r="C30" s="606"/>
      <c r="D30" s="607"/>
      <c r="E30" s="608"/>
      <c r="F30" s="608"/>
      <c r="G30" s="1021">
        <f>G28-i.04112!I32</f>
        <v>0</v>
      </c>
      <c r="H30" s="1021">
        <f>H28-i.04112!O32</f>
        <v>0</v>
      </c>
      <c r="I30" s="608"/>
      <c r="J30" s="242"/>
      <c r="K30" s="242"/>
      <c r="L30" s="242"/>
    </row>
    <row r="31" spans="1:12">
      <c r="A31" s="576"/>
      <c r="B31" s="576"/>
      <c r="C31" s="609" t="str">
        <f>+i.04108!C32</f>
        <v>тамга тэмдэг</v>
      </c>
      <c r="D31" s="576"/>
      <c r="E31" s="576"/>
      <c r="F31" s="576"/>
      <c r="G31" s="749"/>
      <c r="H31" s="750"/>
      <c r="I31" s="263"/>
      <c r="J31" s="242"/>
      <c r="K31" s="242"/>
      <c r="L31" s="242"/>
    </row>
    <row r="32" spans="1:12" s="34" customFormat="1" ht="13">
      <c r="A32" s="576"/>
      <c r="B32" s="576"/>
      <c r="C32" s="576"/>
      <c r="D32" s="576"/>
      <c r="E32" s="576"/>
      <c r="F32" s="576"/>
      <c r="G32" s="576"/>
    </row>
    <row r="33" spans="1:14" s="34" customFormat="1" ht="13">
      <c r="A33" s="298"/>
      <c r="B33" s="298"/>
      <c r="C33" s="576" t="str">
        <f>+i.04108!C34</f>
        <v xml:space="preserve">ТАЙЛАН ГАРГАСАН:    </v>
      </c>
      <c r="D33" s="576"/>
      <c r="E33" s="576"/>
      <c r="F33" s="576"/>
      <c r="G33" s="576"/>
    </row>
    <row r="34" spans="1:14">
      <c r="A34" s="576"/>
      <c r="B34" s="576"/>
      <c r="C34" s="576"/>
      <c r="D34" s="576"/>
      <c r="E34" s="576"/>
      <c r="F34" s="576"/>
      <c r="G34" s="576"/>
      <c r="H34" s="242"/>
      <c r="I34" s="242"/>
      <c r="J34" s="242"/>
      <c r="K34" s="242"/>
      <c r="L34" s="242"/>
      <c r="M34" s="242"/>
      <c r="N34" s="242"/>
    </row>
    <row r="35" spans="1:14">
      <c r="A35" s="576"/>
      <c r="B35" s="576"/>
      <c r="C35" s="576" t="str">
        <f>+i.04108!C36</f>
        <v xml:space="preserve"> Гүйцэтгэх захирал</v>
      </c>
      <c r="D35" s="576" t="str">
        <f>+i.04108!D36</f>
        <v xml:space="preserve">/................................../   </v>
      </c>
      <c r="E35" s="576"/>
      <c r="F35" s="576" t="str">
        <f>+i.04108!F36</f>
        <v>/................................./</v>
      </c>
      <c r="G35" s="576"/>
      <c r="H35" s="242"/>
      <c r="I35" s="242"/>
      <c r="J35" s="242"/>
      <c r="K35" s="242"/>
      <c r="L35" s="242"/>
      <c r="M35" s="242"/>
      <c r="N35" s="242"/>
    </row>
    <row r="36" spans="1:14">
      <c r="A36" s="49"/>
      <c r="B36" s="298"/>
      <c r="C36" s="576"/>
      <c r="D36" s="576"/>
      <c r="E36" s="576"/>
      <c r="F36" s="576"/>
      <c r="G36" s="576"/>
      <c r="H36" s="242"/>
      <c r="I36" s="242"/>
      <c r="J36" s="242"/>
      <c r="K36" s="242"/>
      <c r="L36" s="242"/>
      <c r="M36" s="242"/>
      <c r="N36" s="242"/>
    </row>
    <row r="37" spans="1:14">
      <c r="A37" s="610"/>
      <c r="B37" s="242"/>
      <c r="C37" s="576" t="str">
        <f>+i.04108!C38</f>
        <v xml:space="preserve"> Ерөнхий нягтлан бодогч  </v>
      </c>
      <c r="D37" s="576" t="str">
        <f>+i.04108!D38</f>
        <v xml:space="preserve">/.................................../   </v>
      </c>
      <c r="E37" s="576"/>
      <c r="F37" s="576" t="str">
        <f>+i.04108!F38</f>
        <v>/................................/</v>
      </c>
      <c r="G37" s="576"/>
      <c r="H37" s="242"/>
      <c r="I37" s="242"/>
      <c r="J37" s="242"/>
      <c r="K37" s="242"/>
      <c r="L37" s="242"/>
      <c r="M37" s="242"/>
      <c r="N37" s="242"/>
    </row>
    <row r="38" spans="1:14">
      <c r="B38" s="611"/>
      <c r="C38" s="576"/>
      <c r="D38" s="576"/>
      <c r="E38" s="576"/>
      <c r="F38" s="576"/>
      <c r="G38" s="576"/>
      <c r="H38" s="242"/>
      <c r="I38" s="242"/>
      <c r="J38" s="242"/>
      <c r="K38" s="242"/>
      <c r="L38" s="242"/>
      <c r="M38" s="242"/>
      <c r="N38" s="242"/>
    </row>
    <row r="39" spans="1:14">
      <c r="A39" s="298"/>
      <c r="B39" s="227"/>
      <c r="C39" s="576" t="str">
        <f>+i.04108!C40</f>
        <v>...................................................</v>
      </c>
      <c r="D39" s="576" t="str">
        <f>+i.04108!D40</f>
        <v xml:space="preserve">/................................../   </v>
      </c>
      <c r="E39" s="576"/>
      <c r="F39" s="576" t="str">
        <f>+i.04108!F40</f>
        <v>/................................/</v>
      </c>
      <c r="G39" s="576"/>
      <c r="H39" s="263"/>
      <c r="I39" s="263"/>
      <c r="J39" s="242"/>
      <c r="K39" s="242"/>
      <c r="L39" s="242"/>
    </row>
    <row r="40" spans="1:14">
      <c r="A40" s="298"/>
      <c r="B40" s="227"/>
      <c r="C40" s="263"/>
      <c r="D40" s="263"/>
      <c r="E40" s="263"/>
      <c r="F40" s="263"/>
      <c r="G40" s="263"/>
      <c r="H40" s="263"/>
      <c r="I40" s="263"/>
      <c r="J40" s="242"/>
      <c r="K40" s="242"/>
      <c r="L40" s="242"/>
    </row>
    <row r="41" spans="1:14">
      <c r="A41" s="298"/>
      <c r="B41" s="227"/>
      <c r="C41" s="263"/>
      <c r="D41" s="263"/>
      <c r="E41" s="263"/>
      <c r="F41" s="263"/>
      <c r="G41" s="263"/>
      <c r="H41" s="263"/>
      <c r="I41" s="263"/>
      <c r="J41" s="242"/>
      <c r="K41" s="242"/>
      <c r="L41" s="242"/>
    </row>
    <row r="42" spans="1:14">
      <c r="A42" s="298"/>
      <c r="B42" s="227"/>
      <c r="C42" s="263"/>
      <c r="D42" s="263"/>
      <c r="E42" s="263"/>
      <c r="F42" s="263"/>
      <c r="G42" s="263"/>
      <c r="H42" s="263"/>
      <c r="I42" s="263"/>
      <c r="J42" s="242"/>
      <c r="K42" s="242"/>
      <c r="L42" s="242"/>
    </row>
    <row r="43" spans="1:14">
      <c r="A43" s="298"/>
      <c r="B43" s="227"/>
      <c r="C43" s="263"/>
      <c r="D43" s="263"/>
      <c r="E43" s="263"/>
      <c r="F43" s="263"/>
      <c r="G43" s="263"/>
      <c r="H43" s="263"/>
      <c r="I43" s="263"/>
      <c r="J43" s="242"/>
      <c r="K43" s="242"/>
      <c r="L43" s="242"/>
    </row>
    <row r="44" spans="1:14">
      <c r="A44" s="298"/>
      <c r="B44" s="227"/>
      <c r="C44" s="263"/>
      <c r="D44" s="263"/>
      <c r="E44" s="263"/>
      <c r="F44" s="263"/>
      <c r="G44" s="263"/>
      <c r="H44" s="263"/>
      <c r="I44" s="263"/>
      <c r="J44" s="242"/>
      <c r="K44" s="242"/>
      <c r="L44" s="242"/>
    </row>
    <row r="45" spans="1:14">
      <c r="A45" s="298"/>
      <c r="B45" s="227"/>
      <c r="C45" s="263"/>
      <c r="D45" s="263"/>
      <c r="E45" s="263"/>
      <c r="F45" s="263"/>
      <c r="G45" s="263"/>
      <c r="H45" s="263"/>
      <c r="I45" s="263"/>
      <c r="J45" s="242"/>
      <c r="K45" s="242"/>
      <c r="L45" s="242"/>
    </row>
    <row r="46" spans="1:14">
      <c r="A46" s="298"/>
      <c r="B46" s="227"/>
      <c r="C46" s="263"/>
      <c r="D46" s="263"/>
      <c r="E46" s="263"/>
      <c r="F46" s="263"/>
      <c r="G46" s="263"/>
      <c r="H46" s="263"/>
      <c r="I46" s="263"/>
      <c r="J46" s="242"/>
      <c r="K46" s="242"/>
      <c r="L46" s="242"/>
    </row>
    <row r="47" spans="1:14">
      <c r="A47" s="298"/>
      <c r="B47" s="227"/>
      <c r="C47" s="263"/>
      <c r="D47" s="263"/>
      <c r="E47" s="263"/>
      <c r="F47" s="263"/>
      <c r="G47" s="263"/>
      <c r="H47" s="263"/>
      <c r="I47" s="263"/>
      <c r="J47" s="242"/>
      <c r="K47" s="242"/>
      <c r="L47" s="242"/>
    </row>
    <row r="48" spans="1:14">
      <c r="A48" s="298"/>
      <c r="B48" s="227"/>
      <c r="C48" s="263"/>
      <c r="D48" s="263"/>
      <c r="E48" s="263"/>
      <c r="F48" s="263"/>
      <c r="G48" s="263"/>
      <c r="H48" s="263"/>
      <c r="I48" s="263"/>
      <c r="J48" s="242"/>
      <c r="K48" s="242"/>
      <c r="L48" s="242"/>
    </row>
    <row r="49" spans="1:12">
      <c r="A49" s="298"/>
      <c r="B49" s="227"/>
      <c r="C49" s="263"/>
      <c r="D49" s="263"/>
      <c r="E49" s="263"/>
      <c r="F49" s="263"/>
      <c r="G49" s="263"/>
      <c r="H49" s="263"/>
      <c r="I49" s="263"/>
      <c r="J49" s="242"/>
      <c r="K49" s="242"/>
      <c r="L49" s="242"/>
    </row>
    <row r="50" spans="1:12">
      <c r="A50" s="298"/>
      <c r="B50" s="227"/>
      <c r="C50" s="263"/>
      <c r="D50" s="263"/>
      <c r="E50" s="263"/>
      <c r="F50" s="263"/>
      <c r="G50" s="263"/>
      <c r="H50" s="263"/>
      <c r="I50" s="263"/>
      <c r="J50" s="242"/>
      <c r="K50" s="242"/>
      <c r="L50" s="242"/>
    </row>
    <row r="51" spans="1:12">
      <c r="A51" s="298"/>
      <c r="B51" s="227"/>
      <c r="C51" s="263"/>
      <c r="D51" s="263"/>
      <c r="E51" s="263"/>
      <c r="F51" s="263"/>
      <c r="G51" s="263"/>
      <c r="H51" s="263"/>
      <c r="I51" s="263"/>
      <c r="J51" s="242"/>
      <c r="K51" s="242"/>
      <c r="L51" s="242"/>
    </row>
    <row r="52" spans="1:12">
      <c r="A52" s="298"/>
      <c r="B52" s="227"/>
      <c r="C52" s="263"/>
      <c r="D52" s="263"/>
      <c r="E52" s="263"/>
      <c r="F52" s="263"/>
      <c r="G52" s="263"/>
      <c r="H52" s="263"/>
      <c r="I52" s="263"/>
      <c r="J52" s="242"/>
      <c r="K52" s="242"/>
      <c r="L52" s="242"/>
    </row>
    <row r="53" spans="1:12">
      <c r="A53" s="298"/>
      <c r="B53" s="227"/>
      <c r="C53" s="263"/>
      <c r="D53" s="263"/>
      <c r="E53" s="263"/>
      <c r="F53" s="263"/>
      <c r="G53" s="263"/>
      <c r="H53" s="263"/>
      <c r="I53" s="263"/>
      <c r="J53" s="242"/>
      <c r="K53" s="242"/>
      <c r="L53" s="242"/>
    </row>
    <row r="54" spans="1:12">
      <c r="A54" s="298"/>
      <c r="B54" s="227"/>
      <c r="C54" s="263"/>
      <c r="D54" s="263"/>
      <c r="E54" s="263"/>
      <c r="F54" s="263"/>
      <c r="G54" s="263"/>
      <c r="H54" s="263"/>
      <c r="I54" s="263"/>
      <c r="J54" s="242"/>
      <c r="K54" s="242"/>
      <c r="L54" s="242"/>
    </row>
    <row r="55" spans="1:12">
      <c r="A55" s="298"/>
      <c r="B55" s="227"/>
      <c r="C55" s="263"/>
      <c r="D55" s="263"/>
      <c r="E55" s="263"/>
      <c r="F55" s="263"/>
      <c r="G55" s="263"/>
      <c r="H55" s="263"/>
      <c r="I55" s="263"/>
      <c r="J55" s="242"/>
      <c r="K55" s="242"/>
      <c r="L55" s="242"/>
    </row>
    <row r="56" spans="1:12">
      <c r="A56" s="298"/>
      <c r="B56" s="227"/>
      <c r="C56" s="263"/>
      <c r="D56" s="263"/>
      <c r="E56" s="263"/>
      <c r="F56" s="263"/>
      <c r="G56" s="263"/>
      <c r="H56" s="263"/>
      <c r="I56" s="263"/>
      <c r="J56" s="242"/>
      <c r="K56" s="242"/>
      <c r="L56" s="242"/>
    </row>
    <row r="57" spans="1:12">
      <c r="A57" s="298"/>
      <c r="B57" s="227"/>
      <c r="C57" s="263"/>
      <c r="D57" s="263"/>
      <c r="E57" s="263"/>
      <c r="F57" s="263"/>
      <c r="G57" s="263"/>
      <c r="H57" s="263"/>
      <c r="I57" s="263"/>
      <c r="J57" s="242"/>
      <c r="K57" s="242"/>
      <c r="L57" s="242"/>
    </row>
    <row r="58" spans="1:12">
      <c r="A58" s="298"/>
      <c r="B58" s="227"/>
      <c r="C58" s="263"/>
      <c r="D58" s="263"/>
      <c r="E58" s="263"/>
      <c r="F58" s="263"/>
      <c r="G58" s="263"/>
      <c r="H58" s="263"/>
      <c r="I58" s="263"/>
      <c r="J58" s="242"/>
      <c r="K58" s="242"/>
      <c r="L58" s="242"/>
    </row>
    <row r="59" spans="1:12">
      <c r="A59" s="298"/>
      <c r="B59" s="227"/>
      <c r="C59" s="263"/>
      <c r="D59" s="263"/>
      <c r="E59" s="263"/>
      <c r="F59" s="263"/>
      <c r="G59" s="263"/>
      <c r="H59" s="263"/>
      <c r="I59" s="263"/>
      <c r="J59" s="242"/>
      <c r="K59" s="242"/>
      <c r="L59" s="242"/>
    </row>
    <row r="60" spans="1:12">
      <c r="A60" s="298"/>
      <c r="B60" s="227"/>
      <c r="C60" s="263"/>
      <c r="D60" s="263"/>
      <c r="E60" s="263"/>
      <c r="F60" s="263"/>
      <c r="G60" s="263"/>
      <c r="H60" s="263"/>
      <c r="I60" s="263"/>
      <c r="J60" s="242"/>
      <c r="K60" s="242"/>
      <c r="L60" s="242"/>
    </row>
    <row r="61" spans="1:12">
      <c r="A61" s="298"/>
      <c r="B61" s="227"/>
      <c r="C61" s="263"/>
      <c r="D61" s="263"/>
      <c r="E61" s="263"/>
      <c r="F61" s="263"/>
      <c r="G61" s="263"/>
      <c r="H61" s="263"/>
      <c r="I61" s="263"/>
      <c r="J61" s="242"/>
      <c r="K61" s="242"/>
      <c r="L61" s="242"/>
    </row>
    <row r="62" spans="1:12">
      <c r="A62" s="298"/>
      <c r="B62" s="227"/>
      <c r="C62" s="263"/>
      <c r="D62" s="263"/>
      <c r="E62" s="263"/>
      <c r="F62" s="263"/>
      <c r="G62" s="263"/>
      <c r="H62" s="263"/>
      <c r="I62" s="263"/>
      <c r="J62" s="242"/>
      <c r="K62" s="242"/>
      <c r="L62" s="242"/>
    </row>
    <row r="63" spans="1:12">
      <c r="A63" s="298"/>
      <c r="B63" s="227"/>
      <c r="C63" s="263"/>
      <c r="D63" s="263"/>
      <c r="E63" s="263"/>
      <c r="F63" s="263"/>
      <c r="G63" s="263"/>
      <c r="H63" s="263"/>
      <c r="I63" s="263"/>
      <c r="J63" s="242"/>
      <c r="K63" s="242"/>
      <c r="L63" s="242"/>
    </row>
    <row r="64" spans="1:12">
      <c r="A64" s="298"/>
      <c r="B64" s="227"/>
      <c r="C64" s="263"/>
      <c r="D64" s="263"/>
      <c r="E64" s="263"/>
      <c r="F64" s="263"/>
      <c r="G64" s="263"/>
      <c r="H64" s="263"/>
      <c r="I64" s="263"/>
      <c r="J64" s="242"/>
      <c r="K64" s="242"/>
      <c r="L64" s="242"/>
    </row>
    <row r="65" spans="1:12">
      <c r="A65" s="298"/>
      <c r="B65" s="227"/>
      <c r="C65" s="263"/>
      <c r="D65" s="263"/>
      <c r="E65" s="263"/>
      <c r="F65" s="263"/>
      <c r="G65" s="263"/>
      <c r="H65" s="263"/>
      <c r="I65" s="263"/>
      <c r="J65" s="242"/>
      <c r="K65" s="242"/>
      <c r="L65" s="242"/>
    </row>
    <row r="66" spans="1:12">
      <c r="A66" s="298"/>
      <c r="B66" s="227"/>
      <c r="C66" s="263"/>
      <c r="D66" s="263"/>
      <c r="E66" s="263"/>
      <c r="F66" s="263"/>
      <c r="G66" s="263"/>
      <c r="H66" s="263"/>
      <c r="I66" s="263"/>
      <c r="J66" s="242"/>
      <c r="K66" s="242"/>
      <c r="L66" s="242"/>
    </row>
    <row r="67" spans="1:12">
      <c r="A67" s="298"/>
      <c r="B67" s="227"/>
      <c r="C67" s="263"/>
      <c r="D67" s="263"/>
      <c r="E67" s="263"/>
      <c r="F67" s="263"/>
      <c r="G67" s="263"/>
      <c r="H67" s="263"/>
      <c r="I67" s="263"/>
      <c r="J67" s="242"/>
      <c r="K67" s="242"/>
      <c r="L67" s="242"/>
    </row>
    <row r="68" spans="1:12">
      <c r="A68" s="298"/>
      <c r="B68" s="227"/>
      <c r="C68" s="263"/>
      <c r="D68" s="263"/>
      <c r="E68" s="263"/>
      <c r="F68" s="263"/>
      <c r="G68" s="263"/>
      <c r="H68" s="263"/>
      <c r="I68" s="263"/>
      <c r="J68" s="242"/>
      <c r="K68" s="242"/>
      <c r="L68" s="242"/>
    </row>
    <row r="69" spans="1:12">
      <c r="A69" s="298"/>
      <c r="B69" s="227"/>
      <c r="C69" s="263"/>
      <c r="D69" s="263"/>
      <c r="E69" s="263"/>
      <c r="F69" s="263"/>
      <c r="G69" s="263"/>
      <c r="H69" s="263"/>
      <c r="I69" s="263"/>
      <c r="J69" s="242"/>
      <c r="K69" s="242"/>
      <c r="L69" s="242"/>
    </row>
    <row r="70" spans="1:12">
      <c r="A70" s="298"/>
      <c r="B70" s="227"/>
      <c r="C70" s="263"/>
      <c r="D70" s="263"/>
      <c r="E70" s="263"/>
      <c r="F70" s="263"/>
      <c r="G70" s="263"/>
      <c r="H70" s="263"/>
      <c r="I70" s="263"/>
      <c r="J70" s="242"/>
      <c r="K70" s="242"/>
      <c r="L70" s="242"/>
    </row>
    <row r="71" spans="1:12">
      <c r="A71" s="298"/>
      <c r="B71" s="227"/>
      <c r="C71" s="263"/>
      <c r="D71" s="263"/>
      <c r="E71" s="263"/>
      <c r="F71" s="263"/>
      <c r="G71" s="263"/>
      <c r="H71" s="263"/>
      <c r="I71" s="263"/>
      <c r="J71" s="242"/>
      <c r="K71" s="242"/>
      <c r="L71" s="242"/>
    </row>
    <row r="72" spans="1:12">
      <c r="A72" s="298"/>
      <c r="B72" s="227"/>
      <c r="C72" s="263"/>
      <c r="D72" s="263"/>
      <c r="E72" s="263"/>
      <c r="F72" s="263"/>
      <c r="G72" s="263"/>
      <c r="H72" s="263"/>
      <c r="I72" s="263"/>
      <c r="J72" s="242"/>
      <c r="K72" s="242"/>
      <c r="L72" s="242"/>
    </row>
    <row r="73" spans="1:12">
      <c r="A73" s="298"/>
      <c r="B73" s="227"/>
      <c r="C73" s="263"/>
      <c r="D73" s="263"/>
      <c r="E73" s="263"/>
      <c r="F73" s="263"/>
      <c r="G73" s="263"/>
      <c r="H73" s="263"/>
      <c r="I73" s="263"/>
      <c r="J73" s="242"/>
      <c r="K73" s="242"/>
      <c r="L73" s="242"/>
    </row>
    <row r="74" spans="1:12">
      <c r="A74" s="298"/>
      <c r="B74" s="227"/>
      <c r="C74" s="263"/>
      <c r="D74" s="263"/>
      <c r="E74" s="263"/>
      <c r="F74" s="263"/>
      <c r="G74" s="263"/>
      <c r="H74" s="263"/>
      <c r="I74" s="263"/>
      <c r="J74" s="242"/>
      <c r="K74" s="242"/>
      <c r="L74" s="242"/>
    </row>
    <row r="75" spans="1:12">
      <c r="A75" s="298"/>
      <c r="B75" s="227"/>
      <c r="C75" s="263"/>
      <c r="D75" s="263"/>
      <c r="E75" s="263"/>
      <c r="F75" s="263"/>
      <c r="G75" s="263"/>
      <c r="H75" s="263"/>
      <c r="I75" s="263"/>
      <c r="J75" s="242"/>
      <c r="K75" s="242"/>
      <c r="L75" s="242"/>
    </row>
    <row r="76" spans="1:12">
      <c r="A76" s="298"/>
      <c r="B76" s="227"/>
      <c r="C76" s="263"/>
      <c r="D76" s="263"/>
      <c r="E76" s="263"/>
      <c r="F76" s="263"/>
      <c r="G76" s="263"/>
      <c r="H76" s="263"/>
      <c r="I76" s="263"/>
      <c r="J76" s="242"/>
      <c r="K76" s="242"/>
      <c r="L76" s="242"/>
    </row>
    <row r="77" spans="1:12">
      <c r="A77" s="298"/>
      <c r="B77" s="227"/>
      <c r="C77" s="263"/>
      <c r="D77" s="263"/>
      <c r="E77" s="263"/>
      <c r="F77" s="263"/>
      <c r="G77" s="263"/>
      <c r="H77" s="263"/>
      <c r="I77" s="263"/>
      <c r="J77" s="242"/>
      <c r="K77" s="242"/>
      <c r="L77" s="242"/>
    </row>
    <row r="78" spans="1:12">
      <c r="A78" s="298"/>
      <c r="B78" s="227"/>
      <c r="C78" s="263"/>
      <c r="D78" s="263"/>
      <c r="E78" s="263"/>
      <c r="F78" s="263"/>
      <c r="G78" s="263"/>
      <c r="H78" s="263"/>
      <c r="I78" s="263"/>
      <c r="J78" s="242"/>
      <c r="K78" s="242"/>
      <c r="L78" s="242"/>
    </row>
    <row r="79" spans="1:12">
      <c r="A79" s="298"/>
      <c r="B79" s="227"/>
      <c r="C79" s="263"/>
      <c r="D79" s="263"/>
      <c r="E79" s="263"/>
      <c r="F79" s="263"/>
      <c r="G79" s="263"/>
      <c r="H79" s="263"/>
      <c r="I79" s="263"/>
      <c r="J79" s="242"/>
      <c r="K79" s="242"/>
      <c r="L79" s="242"/>
    </row>
    <row r="80" spans="1:12">
      <c r="A80" s="298"/>
      <c r="B80" s="227"/>
      <c r="C80" s="263"/>
      <c r="D80" s="263"/>
      <c r="E80" s="263"/>
      <c r="F80" s="263"/>
      <c r="G80" s="263"/>
      <c r="H80" s="263"/>
      <c r="I80" s="263"/>
      <c r="J80" s="242"/>
      <c r="K80" s="242"/>
      <c r="L80" s="242"/>
    </row>
    <row r="81" spans="1:12">
      <c r="A81" s="298"/>
      <c r="B81" s="227"/>
      <c r="C81" s="263"/>
      <c r="D81" s="263"/>
      <c r="E81" s="263"/>
      <c r="F81" s="263"/>
      <c r="G81" s="263"/>
      <c r="H81" s="263"/>
      <c r="I81" s="263"/>
      <c r="J81" s="242"/>
      <c r="K81" s="242"/>
      <c r="L81" s="242"/>
    </row>
    <row r="82" spans="1:12">
      <c r="A82" s="298"/>
      <c r="B82" s="227"/>
      <c r="C82" s="263"/>
      <c r="D82" s="263"/>
      <c r="E82" s="263"/>
      <c r="F82" s="263"/>
      <c r="G82" s="263"/>
      <c r="H82" s="263"/>
      <c r="I82" s="263"/>
      <c r="J82" s="242"/>
      <c r="K82" s="242"/>
      <c r="L82" s="242"/>
    </row>
    <row r="83" spans="1:12">
      <c r="A83" s="298"/>
      <c r="B83" s="227"/>
      <c r="C83" s="263"/>
      <c r="D83" s="263"/>
      <c r="E83" s="263"/>
      <c r="F83" s="263"/>
      <c r="G83" s="263"/>
      <c r="H83" s="263"/>
      <c r="I83" s="263"/>
      <c r="J83" s="242"/>
      <c r="K83" s="242"/>
      <c r="L83" s="242"/>
    </row>
    <row r="84" spans="1:12">
      <c r="A84" s="298"/>
      <c r="B84" s="227"/>
      <c r="C84" s="263"/>
      <c r="D84" s="263"/>
      <c r="E84" s="263"/>
      <c r="F84" s="263"/>
      <c r="G84" s="263"/>
      <c r="H84" s="263"/>
      <c r="I84" s="263"/>
      <c r="J84" s="242"/>
      <c r="K84" s="242"/>
      <c r="L84" s="242"/>
    </row>
    <row r="85" spans="1:12">
      <c r="A85" s="298"/>
      <c r="B85" s="227"/>
      <c r="C85" s="263"/>
      <c r="D85" s="263"/>
      <c r="E85" s="263"/>
      <c r="F85" s="263"/>
      <c r="G85" s="263"/>
      <c r="H85" s="263"/>
      <c r="I85" s="263"/>
      <c r="J85" s="242"/>
      <c r="K85" s="242"/>
      <c r="L85" s="242"/>
    </row>
    <row r="86" spans="1:12">
      <c r="A86" s="298"/>
      <c r="B86" s="227"/>
      <c r="C86" s="263"/>
      <c r="D86" s="263"/>
      <c r="E86" s="263"/>
      <c r="F86" s="263"/>
      <c r="G86" s="263"/>
      <c r="H86" s="263"/>
      <c r="I86" s="263"/>
      <c r="J86" s="242"/>
      <c r="K86" s="242"/>
      <c r="L86" s="242"/>
    </row>
    <row r="87" spans="1:12">
      <c r="A87" s="298"/>
      <c r="B87" s="227"/>
      <c r="C87" s="263"/>
      <c r="D87" s="263"/>
      <c r="E87" s="263"/>
      <c r="F87" s="263"/>
      <c r="G87" s="263"/>
      <c r="H87" s="263"/>
      <c r="I87" s="263"/>
      <c r="J87" s="242"/>
      <c r="K87" s="242"/>
      <c r="L87" s="242"/>
    </row>
    <row r="88" spans="1:12">
      <c r="A88" s="298"/>
      <c r="B88" s="227"/>
      <c r="C88" s="263"/>
      <c r="D88" s="263"/>
      <c r="E88" s="263"/>
      <c r="F88" s="263"/>
      <c r="G88" s="263"/>
      <c r="H88" s="263"/>
      <c r="I88" s="263"/>
      <c r="J88" s="242"/>
      <c r="K88" s="242"/>
      <c r="L88" s="242"/>
    </row>
    <row r="89" spans="1:12">
      <c r="A89" s="298"/>
      <c r="B89" s="227"/>
      <c r="C89" s="263"/>
      <c r="D89" s="263"/>
      <c r="E89" s="263"/>
      <c r="F89" s="263"/>
      <c r="G89" s="263"/>
      <c r="H89" s="263"/>
      <c r="I89" s="263"/>
      <c r="J89" s="242"/>
      <c r="K89" s="242"/>
      <c r="L89" s="242"/>
    </row>
    <row r="90" spans="1:12">
      <c r="A90" s="298"/>
      <c r="B90" s="227"/>
      <c r="C90" s="263"/>
      <c r="D90" s="263"/>
      <c r="E90" s="263"/>
      <c r="F90" s="263"/>
      <c r="G90" s="263"/>
      <c r="H90" s="263"/>
      <c r="I90" s="263"/>
      <c r="J90" s="242"/>
      <c r="K90" s="242"/>
      <c r="L90" s="242"/>
    </row>
    <row r="91" spans="1:12">
      <c r="A91" s="298"/>
      <c r="B91" s="227"/>
      <c r="C91" s="263"/>
      <c r="D91" s="263"/>
      <c r="E91" s="263"/>
      <c r="F91" s="263"/>
      <c r="G91" s="263"/>
      <c r="H91" s="263"/>
      <c r="I91" s="263"/>
      <c r="J91" s="242"/>
      <c r="K91" s="242"/>
      <c r="L91" s="242"/>
    </row>
    <row r="92" spans="1:12">
      <c r="A92" s="298"/>
      <c r="B92" s="227"/>
      <c r="C92" s="263"/>
      <c r="D92" s="263"/>
      <c r="E92" s="263"/>
      <c r="F92" s="263"/>
      <c r="G92" s="263"/>
      <c r="H92" s="263"/>
      <c r="I92" s="263"/>
      <c r="J92" s="242"/>
      <c r="K92" s="242"/>
      <c r="L92" s="242"/>
    </row>
    <row r="93" spans="1:12">
      <c r="A93" s="298"/>
      <c r="B93" s="227"/>
      <c r="C93" s="263"/>
      <c r="D93" s="263"/>
      <c r="E93" s="263"/>
      <c r="F93" s="263"/>
      <c r="G93" s="263"/>
      <c r="H93" s="263"/>
      <c r="I93" s="263"/>
      <c r="J93" s="242"/>
      <c r="K93" s="242"/>
      <c r="L93" s="242"/>
    </row>
    <row r="94" spans="1:12">
      <c r="A94" s="298"/>
      <c r="B94" s="227"/>
      <c r="C94" s="263"/>
      <c r="D94" s="263"/>
      <c r="E94" s="263"/>
      <c r="F94" s="263"/>
      <c r="G94" s="263"/>
      <c r="H94" s="263"/>
      <c r="I94" s="263"/>
      <c r="J94" s="242"/>
      <c r="K94" s="242"/>
      <c r="L94" s="242"/>
    </row>
    <row r="95" spans="1:12">
      <c r="A95" s="298"/>
      <c r="B95" s="227"/>
      <c r="C95" s="263"/>
      <c r="D95" s="263"/>
      <c r="E95" s="263"/>
      <c r="F95" s="263"/>
      <c r="G95" s="263"/>
      <c r="H95" s="263"/>
      <c r="I95" s="263"/>
      <c r="J95" s="242"/>
      <c r="K95" s="242"/>
      <c r="L95" s="242"/>
    </row>
    <row r="96" spans="1:12">
      <c r="A96" s="298"/>
      <c r="B96" s="227"/>
      <c r="C96" s="263"/>
      <c r="D96" s="263"/>
      <c r="E96" s="263"/>
      <c r="F96" s="263"/>
      <c r="G96" s="263"/>
      <c r="H96" s="263"/>
      <c r="I96" s="263"/>
      <c r="J96" s="242"/>
      <c r="K96" s="242"/>
      <c r="L96" s="242"/>
    </row>
    <row r="97" spans="1:12">
      <c r="A97" s="298"/>
      <c r="B97" s="227"/>
      <c r="C97" s="263"/>
      <c r="D97" s="263"/>
      <c r="E97" s="263"/>
      <c r="F97" s="263"/>
      <c r="G97" s="263"/>
      <c r="H97" s="263"/>
      <c r="I97" s="263"/>
      <c r="J97" s="242"/>
      <c r="K97" s="242"/>
      <c r="L97" s="242"/>
    </row>
    <row r="98" spans="1:12">
      <c r="A98" s="298"/>
      <c r="B98" s="227"/>
      <c r="C98" s="263"/>
      <c r="D98" s="263"/>
      <c r="E98" s="263"/>
      <c r="F98" s="263"/>
      <c r="G98" s="263"/>
      <c r="H98" s="263"/>
      <c r="I98" s="263"/>
      <c r="J98" s="242"/>
      <c r="K98" s="242"/>
      <c r="L98" s="242"/>
    </row>
    <row r="99" spans="1:12">
      <c r="A99" s="298"/>
      <c r="B99" s="227"/>
      <c r="C99" s="263"/>
      <c r="D99" s="263"/>
      <c r="E99" s="263"/>
      <c r="F99" s="263"/>
      <c r="G99" s="263"/>
      <c r="H99" s="263"/>
      <c r="I99" s="263"/>
      <c r="J99" s="242"/>
      <c r="K99" s="242"/>
      <c r="L99" s="242"/>
    </row>
    <row r="100" spans="1:12">
      <c r="A100" s="298"/>
      <c r="B100" s="227"/>
      <c r="C100" s="263"/>
      <c r="D100" s="263"/>
      <c r="E100" s="263"/>
      <c r="F100" s="263"/>
      <c r="G100" s="263"/>
      <c r="H100" s="263"/>
      <c r="I100" s="263"/>
      <c r="J100" s="242"/>
      <c r="K100" s="242"/>
      <c r="L100" s="242"/>
    </row>
    <row r="101" spans="1:12">
      <c r="A101" s="298"/>
      <c r="B101" s="227"/>
      <c r="C101" s="263"/>
      <c r="D101" s="263"/>
      <c r="E101" s="263"/>
      <c r="F101" s="263"/>
      <c r="G101" s="263"/>
      <c r="H101" s="263"/>
      <c r="I101" s="263"/>
      <c r="J101" s="242"/>
      <c r="K101" s="242"/>
      <c r="L101" s="242"/>
    </row>
    <row r="102" spans="1:12">
      <c r="A102" s="298"/>
      <c r="B102" s="227"/>
      <c r="C102" s="263"/>
      <c r="D102" s="263"/>
      <c r="E102" s="263"/>
      <c r="F102" s="263"/>
      <c r="G102" s="263"/>
      <c r="H102" s="263"/>
      <c r="I102" s="263"/>
      <c r="J102" s="242"/>
      <c r="K102" s="242"/>
      <c r="L102" s="242"/>
    </row>
    <row r="103" spans="1:12">
      <c r="A103" s="298"/>
      <c r="B103" s="227"/>
      <c r="C103" s="263"/>
      <c r="D103" s="263"/>
      <c r="E103" s="263"/>
      <c r="F103" s="263"/>
      <c r="G103" s="263"/>
      <c r="H103" s="263"/>
      <c r="I103" s="263"/>
      <c r="J103" s="242"/>
      <c r="K103" s="242"/>
      <c r="L103" s="242"/>
    </row>
    <row r="104" spans="1:12">
      <c r="A104" s="298"/>
      <c r="B104" s="227"/>
      <c r="C104" s="263"/>
      <c r="D104" s="263"/>
      <c r="E104" s="263"/>
      <c r="F104" s="263"/>
      <c r="G104" s="263"/>
      <c r="H104" s="263"/>
      <c r="I104" s="263"/>
      <c r="J104" s="242"/>
      <c r="K104" s="242"/>
      <c r="L104" s="242"/>
    </row>
    <row r="105" spans="1:12">
      <c r="A105" s="298"/>
      <c r="B105" s="227"/>
      <c r="C105" s="263"/>
      <c r="D105" s="263"/>
      <c r="E105" s="263"/>
      <c r="F105" s="263"/>
      <c r="G105" s="263"/>
      <c r="H105" s="263"/>
      <c r="I105" s="263"/>
      <c r="J105" s="242"/>
      <c r="K105" s="242"/>
      <c r="L105" s="242"/>
    </row>
    <row r="106" spans="1:12">
      <c r="A106" s="298"/>
      <c r="B106" s="227"/>
      <c r="C106" s="263"/>
      <c r="D106" s="263"/>
      <c r="E106" s="263"/>
      <c r="F106" s="263"/>
      <c r="G106" s="263"/>
      <c r="H106" s="263"/>
      <c r="I106" s="263"/>
      <c r="J106" s="242"/>
      <c r="K106" s="242"/>
      <c r="L106" s="242"/>
    </row>
    <row r="107" spans="1:12">
      <c r="A107" s="298"/>
      <c r="B107" s="227"/>
      <c r="C107" s="263"/>
      <c r="D107" s="263"/>
      <c r="E107" s="263"/>
      <c r="F107" s="263"/>
      <c r="G107" s="263"/>
      <c r="H107" s="263"/>
      <c r="I107" s="263"/>
      <c r="J107" s="242"/>
      <c r="K107" s="242"/>
      <c r="L107" s="242"/>
    </row>
    <row r="108" spans="1:12">
      <c r="A108" s="298"/>
      <c r="B108" s="227"/>
      <c r="C108" s="263"/>
      <c r="D108" s="263"/>
      <c r="E108" s="263"/>
      <c r="F108" s="263"/>
      <c r="G108" s="263"/>
      <c r="H108" s="263"/>
      <c r="I108" s="263"/>
      <c r="J108" s="242"/>
      <c r="K108" s="242"/>
      <c r="L108" s="242"/>
    </row>
    <row r="109" spans="1:12">
      <c r="A109" s="298"/>
      <c r="B109" s="227"/>
      <c r="C109" s="263"/>
      <c r="D109" s="263"/>
      <c r="E109" s="263"/>
      <c r="F109" s="263"/>
      <c r="G109" s="263"/>
      <c r="H109" s="263"/>
      <c r="I109" s="263"/>
      <c r="J109" s="242"/>
      <c r="K109" s="242"/>
      <c r="L109" s="242"/>
    </row>
    <row r="110" spans="1:12">
      <c r="A110" s="298"/>
      <c r="B110" s="227"/>
      <c r="C110" s="263"/>
      <c r="D110" s="263"/>
      <c r="E110" s="263"/>
      <c r="F110" s="263"/>
      <c r="G110" s="263"/>
      <c r="H110" s="263"/>
      <c r="I110" s="263"/>
      <c r="J110" s="242"/>
      <c r="K110" s="242"/>
      <c r="L110" s="242"/>
    </row>
    <row r="111" spans="1:12">
      <c r="A111" s="298"/>
      <c r="B111" s="227"/>
      <c r="C111" s="263"/>
      <c r="D111" s="263"/>
      <c r="E111" s="263"/>
      <c r="F111" s="263"/>
      <c r="G111" s="263"/>
      <c r="H111" s="263"/>
      <c r="I111" s="263"/>
      <c r="J111" s="242"/>
      <c r="K111" s="242"/>
      <c r="L111" s="242"/>
    </row>
    <row r="112" spans="1:12">
      <c r="A112" s="298"/>
      <c r="B112" s="227"/>
      <c r="C112" s="263"/>
      <c r="D112" s="263"/>
      <c r="E112" s="263"/>
      <c r="F112" s="263"/>
      <c r="G112" s="263"/>
      <c r="H112" s="263"/>
      <c r="I112" s="263"/>
      <c r="J112" s="242"/>
      <c r="K112" s="242"/>
      <c r="L112" s="242"/>
    </row>
    <row r="113" spans="1:12">
      <c r="A113" s="298"/>
      <c r="B113" s="227"/>
      <c r="C113" s="263"/>
      <c r="D113" s="263"/>
      <c r="E113" s="263"/>
      <c r="F113" s="263"/>
      <c r="G113" s="263"/>
      <c r="H113" s="263"/>
      <c r="I113" s="263"/>
      <c r="J113" s="242"/>
      <c r="K113" s="242"/>
      <c r="L113" s="242"/>
    </row>
    <row r="114" spans="1:12">
      <c r="A114" s="298"/>
      <c r="B114" s="227"/>
      <c r="C114" s="263"/>
      <c r="D114" s="263"/>
      <c r="E114" s="263"/>
      <c r="F114" s="263"/>
      <c r="G114" s="263"/>
      <c r="H114" s="263"/>
      <c r="I114" s="263"/>
      <c r="J114" s="242"/>
      <c r="K114" s="242"/>
      <c r="L114" s="242"/>
    </row>
    <row r="115" spans="1:12">
      <c r="A115" s="298"/>
      <c r="B115" s="227"/>
      <c r="C115" s="263"/>
      <c r="D115" s="263"/>
      <c r="E115" s="263"/>
      <c r="F115" s="263"/>
      <c r="G115" s="263"/>
      <c r="H115" s="263"/>
      <c r="I115" s="263"/>
      <c r="J115" s="242"/>
      <c r="K115" s="242"/>
      <c r="L115" s="242"/>
    </row>
    <row r="116" spans="1:12">
      <c r="A116" s="298"/>
      <c r="B116" s="227"/>
      <c r="C116" s="263"/>
      <c r="D116" s="263"/>
      <c r="E116" s="263"/>
      <c r="F116" s="263"/>
      <c r="G116" s="263"/>
      <c r="H116" s="263"/>
      <c r="I116" s="263"/>
      <c r="J116" s="242"/>
      <c r="K116" s="242"/>
      <c r="L116" s="242"/>
    </row>
    <row r="117" spans="1:12">
      <c r="A117" s="298"/>
      <c r="B117" s="227"/>
      <c r="C117" s="263"/>
      <c r="D117" s="263"/>
      <c r="E117" s="263"/>
      <c r="F117" s="263"/>
      <c r="G117" s="263"/>
      <c r="H117" s="263"/>
      <c r="I117" s="263"/>
      <c r="J117" s="242"/>
      <c r="K117" s="242"/>
      <c r="L117" s="242"/>
    </row>
    <row r="118" spans="1:12">
      <c r="A118" s="298"/>
      <c r="B118" s="227"/>
      <c r="C118" s="263"/>
      <c r="D118" s="263"/>
      <c r="E118" s="263"/>
      <c r="F118" s="263"/>
      <c r="G118" s="263"/>
      <c r="H118" s="263"/>
      <c r="I118" s="263"/>
      <c r="J118" s="242"/>
      <c r="K118" s="242"/>
      <c r="L118" s="242"/>
    </row>
    <row r="119" spans="1:12">
      <c r="A119" s="298"/>
      <c r="B119" s="227"/>
      <c r="C119" s="263"/>
      <c r="D119" s="263"/>
      <c r="E119" s="263"/>
      <c r="F119" s="263"/>
      <c r="G119" s="263"/>
      <c r="H119" s="263"/>
      <c r="I119" s="263"/>
      <c r="J119" s="242"/>
      <c r="K119" s="242"/>
      <c r="L119" s="242"/>
    </row>
    <row r="120" spans="1:12">
      <c r="A120" s="298"/>
      <c r="B120" s="227"/>
      <c r="C120" s="263"/>
      <c r="D120" s="263"/>
      <c r="E120" s="263"/>
      <c r="F120" s="263"/>
      <c r="G120" s="263"/>
      <c r="H120" s="263"/>
      <c r="I120" s="263"/>
      <c r="J120" s="242"/>
      <c r="K120" s="242"/>
      <c r="L120" s="242"/>
    </row>
    <row r="121" spans="1:12">
      <c r="A121" s="298"/>
      <c r="B121" s="227"/>
      <c r="C121" s="263"/>
      <c r="D121" s="263"/>
      <c r="E121" s="263"/>
      <c r="F121" s="263"/>
      <c r="G121" s="263"/>
      <c r="H121" s="263"/>
      <c r="I121" s="263"/>
      <c r="J121" s="242"/>
      <c r="K121" s="242"/>
      <c r="L121" s="242"/>
    </row>
    <row r="122" spans="1:12">
      <c r="A122" s="298"/>
      <c r="B122" s="227"/>
      <c r="C122" s="263"/>
      <c r="D122" s="263"/>
      <c r="E122" s="263"/>
      <c r="F122" s="263"/>
      <c r="G122" s="263"/>
      <c r="H122" s="263"/>
      <c r="I122" s="263"/>
      <c r="J122" s="242"/>
      <c r="K122" s="242"/>
      <c r="L122" s="242"/>
    </row>
    <row r="123" spans="1:12">
      <c r="A123" s="298"/>
      <c r="B123" s="227"/>
      <c r="C123" s="263"/>
      <c r="D123" s="263"/>
      <c r="E123" s="263"/>
      <c r="F123" s="263"/>
      <c r="G123" s="263"/>
      <c r="H123" s="263"/>
      <c r="I123" s="263"/>
      <c r="J123" s="242"/>
      <c r="K123" s="242"/>
      <c r="L123" s="242"/>
    </row>
    <row r="124" spans="1:12">
      <c r="A124" s="298"/>
      <c r="B124" s="227"/>
      <c r="C124" s="263"/>
      <c r="D124" s="263"/>
      <c r="E124" s="263"/>
      <c r="F124" s="263"/>
      <c r="G124" s="263"/>
      <c r="H124" s="263"/>
      <c r="I124" s="263"/>
      <c r="J124" s="242"/>
      <c r="K124" s="242"/>
      <c r="L124" s="242"/>
    </row>
    <row r="125" spans="1:12">
      <c r="A125" s="298"/>
      <c r="B125" s="227"/>
      <c r="C125" s="263"/>
      <c r="D125" s="263"/>
      <c r="E125" s="263"/>
      <c r="F125" s="263"/>
      <c r="G125" s="263"/>
      <c r="H125" s="263"/>
      <c r="I125" s="263"/>
      <c r="J125" s="242"/>
      <c r="K125" s="242"/>
      <c r="L125" s="242"/>
    </row>
    <row r="126" spans="1:12">
      <c r="A126" s="298"/>
      <c r="B126" s="227"/>
      <c r="C126" s="263"/>
      <c r="D126" s="263"/>
      <c r="E126" s="263"/>
      <c r="F126" s="263"/>
      <c r="G126" s="263"/>
      <c r="H126" s="263"/>
      <c r="I126" s="263"/>
      <c r="J126" s="242"/>
      <c r="K126" s="242"/>
      <c r="L126" s="242"/>
    </row>
    <row r="127" spans="1:12">
      <c r="A127" s="298"/>
      <c r="B127" s="227"/>
      <c r="C127" s="263"/>
      <c r="D127" s="263"/>
      <c r="E127" s="263"/>
      <c r="F127" s="263"/>
      <c r="G127" s="263"/>
      <c r="H127" s="263"/>
      <c r="I127" s="263"/>
      <c r="J127" s="242"/>
      <c r="K127" s="242"/>
      <c r="L127" s="242"/>
    </row>
    <row r="128" spans="1:12">
      <c r="A128" s="298"/>
      <c r="B128" s="227"/>
      <c r="C128" s="263"/>
      <c r="D128" s="263"/>
      <c r="E128" s="263"/>
      <c r="F128" s="263"/>
      <c r="G128" s="263"/>
      <c r="H128" s="263"/>
      <c r="I128" s="263"/>
      <c r="J128" s="242"/>
      <c r="K128" s="242"/>
      <c r="L128" s="242"/>
    </row>
    <row r="129" spans="1:12">
      <c r="A129" s="298"/>
      <c r="B129" s="227"/>
      <c r="C129" s="263"/>
      <c r="D129" s="263"/>
      <c r="E129" s="263"/>
      <c r="F129" s="263"/>
      <c r="G129" s="263"/>
      <c r="H129" s="263"/>
      <c r="I129" s="263"/>
      <c r="J129" s="242"/>
      <c r="K129" s="242"/>
      <c r="L129" s="242"/>
    </row>
    <row r="130" spans="1:12">
      <c r="A130" s="298"/>
      <c r="B130" s="227"/>
      <c r="C130" s="263"/>
      <c r="D130" s="263"/>
      <c r="E130" s="263"/>
      <c r="F130" s="263"/>
      <c r="G130" s="263"/>
      <c r="H130" s="263"/>
      <c r="I130" s="263"/>
      <c r="J130" s="242"/>
      <c r="K130" s="242"/>
      <c r="L130" s="242"/>
    </row>
    <row r="131" spans="1:12">
      <c r="A131" s="298"/>
      <c r="B131" s="227"/>
      <c r="C131" s="263"/>
      <c r="D131" s="263"/>
      <c r="E131" s="263"/>
      <c r="F131" s="263"/>
      <c r="G131" s="263"/>
      <c r="H131" s="263"/>
      <c r="I131" s="263"/>
      <c r="J131" s="242"/>
      <c r="K131" s="242"/>
      <c r="L131" s="242"/>
    </row>
    <row r="132" spans="1:12">
      <c r="A132" s="298"/>
      <c r="B132" s="227"/>
      <c r="C132" s="263"/>
      <c r="D132" s="263"/>
      <c r="E132" s="263"/>
      <c r="F132" s="263"/>
      <c r="G132" s="263"/>
      <c r="H132" s="263"/>
      <c r="I132" s="263"/>
      <c r="J132" s="242"/>
      <c r="K132" s="242"/>
      <c r="L132" s="242"/>
    </row>
    <row r="133" spans="1:12">
      <c r="A133" s="298"/>
      <c r="B133" s="227"/>
      <c r="C133" s="263"/>
      <c r="D133" s="263"/>
      <c r="E133" s="263"/>
      <c r="F133" s="263"/>
      <c r="G133" s="263"/>
      <c r="H133" s="263"/>
      <c r="I133" s="263"/>
      <c r="J133" s="242"/>
      <c r="K133" s="242"/>
      <c r="L133" s="242"/>
    </row>
    <row r="134" spans="1:12">
      <c r="A134" s="298"/>
      <c r="B134" s="227"/>
      <c r="C134" s="263"/>
      <c r="D134" s="263"/>
      <c r="E134" s="263"/>
      <c r="F134" s="263"/>
      <c r="G134" s="263"/>
      <c r="H134" s="263"/>
      <c r="I134" s="263"/>
      <c r="J134" s="242"/>
      <c r="K134" s="242"/>
      <c r="L134" s="242"/>
    </row>
    <row r="135" spans="1:12">
      <c r="A135" s="298"/>
      <c r="B135" s="227"/>
      <c r="C135" s="263"/>
      <c r="D135" s="263"/>
      <c r="E135" s="263"/>
      <c r="F135" s="263"/>
      <c r="G135" s="263"/>
      <c r="H135" s="263"/>
      <c r="I135" s="263"/>
      <c r="J135" s="242"/>
      <c r="K135" s="242"/>
      <c r="L135" s="242"/>
    </row>
    <row r="136" spans="1:12">
      <c r="A136" s="298"/>
      <c r="B136" s="227"/>
      <c r="C136" s="263"/>
      <c r="D136" s="263"/>
      <c r="E136" s="263"/>
      <c r="F136" s="263"/>
      <c r="G136" s="263"/>
      <c r="H136" s="263"/>
      <c r="I136" s="263"/>
      <c r="J136" s="242"/>
      <c r="K136" s="242"/>
      <c r="L136" s="242"/>
    </row>
    <row r="137" spans="1:12">
      <c r="A137" s="298"/>
      <c r="B137" s="227"/>
      <c r="C137" s="263"/>
      <c r="D137" s="263"/>
      <c r="E137" s="263"/>
      <c r="F137" s="263"/>
      <c r="G137" s="263"/>
      <c r="H137" s="263"/>
      <c r="I137" s="263"/>
      <c r="J137" s="242"/>
      <c r="K137" s="242"/>
      <c r="L137" s="242"/>
    </row>
    <row r="138" spans="1:12">
      <c r="A138" s="298"/>
      <c r="B138" s="227"/>
      <c r="C138" s="263"/>
      <c r="D138" s="263"/>
      <c r="E138" s="263"/>
      <c r="F138" s="263"/>
      <c r="G138" s="263"/>
      <c r="H138" s="263"/>
      <c r="I138" s="263"/>
      <c r="J138" s="242"/>
      <c r="K138" s="242"/>
      <c r="L138" s="242"/>
    </row>
    <row r="139" spans="1:12">
      <c r="A139" s="298"/>
      <c r="B139" s="227"/>
      <c r="C139" s="263"/>
      <c r="D139" s="263"/>
      <c r="E139" s="263"/>
      <c r="F139" s="263"/>
      <c r="G139" s="263"/>
      <c r="H139" s="263"/>
      <c r="I139" s="263"/>
      <c r="J139" s="242"/>
      <c r="K139" s="242"/>
      <c r="L139" s="242"/>
    </row>
    <row r="140" spans="1:12">
      <c r="A140" s="298"/>
      <c r="B140" s="227"/>
      <c r="C140" s="263"/>
      <c r="D140" s="263"/>
      <c r="E140" s="263"/>
      <c r="F140" s="263"/>
      <c r="G140" s="263"/>
      <c r="H140" s="263"/>
      <c r="I140" s="263"/>
      <c r="J140" s="242"/>
      <c r="K140" s="242"/>
      <c r="L140" s="242"/>
    </row>
    <row r="141" spans="1:12">
      <c r="A141" s="298"/>
      <c r="B141" s="227"/>
      <c r="C141" s="263"/>
      <c r="D141" s="263"/>
      <c r="E141" s="263"/>
      <c r="F141" s="263"/>
      <c r="G141" s="263"/>
      <c r="H141" s="263"/>
      <c r="I141" s="263"/>
      <c r="J141" s="242"/>
      <c r="K141" s="242"/>
      <c r="L141" s="242"/>
    </row>
    <row r="142" spans="1:12">
      <c r="A142" s="298"/>
      <c r="B142" s="227"/>
      <c r="C142" s="263"/>
      <c r="D142" s="263"/>
      <c r="E142" s="263"/>
      <c r="F142" s="263"/>
      <c r="G142" s="263"/>
      <c r="H142" s="263"/>
      <c r="I142" s="263"/>
      <c r="J142" s="242"/>
      <c r="K142" s="242"/>
      <c r="L142" s="242"/>
    </row>
    <row r="143" spans="1:12">
      <c r="A143" s="298"/>
      <c r="B143" s="227"/>
      <c r="C143" s="263"/>
      <c r="D143" s="263"/>
      <c r="E143" s="263"/>
      <c r="F143" s="263"/>
      <c r="G143" s="263"/>
      <c r="H143" s="263"/>
      <c r="I143" s="263"/>
      <c r="J143" s="242"/>
      <c r="K143" s="242"/>
      <c r="L143" s="242"/>
    </row>
    <row r="144" spans="1:12">
      <c r="A144" s="298"/>
      <c r="B144" s="227"/>
      <c r="C144" s="263"/>
      <c r="D144" s="263"/>
      <c r="E144" s="263"/>
      <c r="F144" s="263"/>
      <c r="G144" s="263"/>
      <c r="H144" s="263"/>
      <c r="I144" s="263"/>
      <c r="J144" s="242"/>
      <c r="K144" s="242"/>
      <c r="L144" s="242"/>
    </row>
    <row r="145" spans="1:12">
      <c r="A145" s="298"/>
      <c r="B145" s="227"/>
      <c r="C145" s="263"/>
      <c r="D145" s="263"/>
      <c r="E145" s="263"/>
      <c r="F145" s="263"/>
      <c r="G145" s="263"/>
      <c r="H145" s="263"/>
      <c r="I145" s="263"/>
      <c r="J145" s="242"/>
      <c r="K145" s="242"/>
      <c r="L145" s="242"/>
    </row>
    <row r="146" spans="1:12">
      <c r="A146" s="298"/>
      <c r="B146" s="227"/>
      <c r="C146" s="263"/>
      <c r="D146" s="263"/>
      <c r="E146" s="263"/>
      <c r="F146" s="263"/>
      <c r="G146" s="263"/>
      <c r="H146" s="263"/>
      <c r="I146" s="263"/>
      <c r="J146" s="242"/>
      <c r="K146" s="242"/>
      <c r="L146" s="242"/>
    </row>
    <row r="147" spans="1:12">
      <c r="A147" s="298"/>
      <c r="B147" s="227"/>
      <c r="C147" s="263"/>
      <c r="D147" s="263"/>
      <c r="E147" s="263"/>
      <c r="F147" s="263"/>
      <c r="G147" s="263"/>
      <c r="H147" s="263"/>
      <c r="I147" s="263"/>
      <c r="J147" s="242"/>
      <c r="K147" s="242"/>
      <c r="L147" s="242"/>
    </row>
    <row r="148" spans="1:12">
      <c r="A148" s="298"/>
      <c r="B148" s="227"/>
      <c r="C148" s="263"/>
      <c r="D148" s="263"/>
      <c r="E148" s="263"/>
      <c r="F148" s="263"/>
      <c r="G148" s="263"/>
      <c r="H148" s="263"/>
      <c r="I148" s="263"/>
      <c r="J148" s="242"/>
      <c r="K148" s="242"/>
      <c r="L148" s="242"/>
    </row>
    <row r="149" spans="1:12">
      <c r="A149" s="298"/>
      <c r="B149" s="227"/>
      <c r="C149" s="263"/>
      <c r="D149" s="263"/>
      <c r="E149" s="263"/>
      <c r="F149" s="263"/>
      <c r="G149" s="263"/>
      <c r="H149" s="263"/>
      <c r="I149" s="263"/>
      <c r="J149" s="242"/>
      <c r="K149" s="242"/>
      <c r="L149" s="242"/>
    </row>
    <row r="150" spans="1:12">
      <c r="A150" s="298"/>
      <c r="B150" s="227"/>
      <c r="C150" s="263"/>
      <c r="D150" s="263"/>
      <c r="E150" s="263"/>
      <c r="F150" s="263"/>
      <c r="G150" s="263"/>
      <c r="H150" s="263"/>
      <c r="I150" s="263"/>
      <c r="J150" s="242"/>
      <c r="K150" s="242"/>
      <c r="L150" s="242"/>
    </row>
    <row r="151" spans="1:12">
      <c r="A151" s="298"/>
      <c r="B151" s="227"/>
      <c r="C151" s="263"/>
      <c r="D151" s="263"/>
      <c r="E151" s="263"/>
      <c r="F151" s="263"/>
      <c r="G151" s="263"/>
      <c r="H151" s="263"/>
      <c r="I151" s="263"/>
      <c r="J151" s="242"/>
      <c r="K151" s="242"/>
      <c r="L151" s="242"/>
    </row>
    <row r="152" spans="1:12">
      <c r="A152" s="298"/>
      <c r="B152" s="227"/>
      <c r="C152" s="263"/>
      <c r="D152" s="263"/>
      <c r="E152" s="263"/>
      <c r="F152" s="263"/>
      <c r="G152" s="263"/>
      <c r="H152" s="263"/>
      <c r="I152" s="263"/>
      <c r="J152" s="242"/>
      <c r="K152" s="242"/>
      <c r="L152" s="242"/>
    </row>
    <row r="153" spans="1:12">
      <c r="A153" s="298"/>
      <c r="B153" s="227"/>
      <c r="C153" s="263"/>
      <c r="D153" s="263"/>
      <c r="E153" s="263"/>
      <c r="F153" s="263"/>
      <c r="G153" s="263"/>
      <c r="H153" s="263"/>
      <c r="I153" s="263"/>
      <c r="J153" s="242"/>
      <c r="K153" s="242"/>
      <c r="L153" s="242"/>
    </row>
    <row r="154" spans="1:12">
      <c r="A154" s="298"/>
      <c r="B154" s="227"/>
      <c r="C154" s="263"/>
      <c r="D154" s="263"/>
      <c r="E154" s="263"/>
      <c r="F154" s="263"/>
      <c r="G154" s="263"/>
      <c r="H154" s="263"/>
      <c r="I154" s="263"/>
      <c r="J154" s="242"/>
      <c r="K154" s="242"/>
      <c r="L154" s="242"/>
    </row>
    <row r="155" spans="1:12">
      <c r="A155" s="298"/>
      <c r="B155" s="227"/>
      <c r="C155" s="263"/>
      <c r="D155" s="263"/>
      <c r="E155" s="263"/>
      <c r="F155" s="263"/>
      <c r="G155" s="263"/>
      <c r="H155" s="263"/>
      <c r="I155" s="263"/>
      <c r="J155" s="242"/>
      <c r="K155" s="242"/>
      <c r="L155" s="242"/>
    </row>
    <row r="156" spans="1:12">
      <c r="A156" s="298"/>
      <c r="B156" s="227"/>
      <c r="C156" s="263"/>
      <c r="D156" s="263"/>
      <c r="E156" s="263"/>
      <c r="F156" s="263"/>
      <c r="G156" s="263"/>
      <c r="H156" s="263"/>
      <c r="I156" s="263"/>
      <c r="J156" s="242"/>
      <c r="K156" s="242"/>
      <c r="L156" s="242"/>
    </row>
    <row r="157" spans="1:12">
      <c r="A157" s="298"/>
      <c r="B157" s="227"/>
      <c r="C157" s="263"/>
      <c r="D157" s="263"/>
      <c r="E157" s="263"/>
      <c r="F157" s="263"/>
      <c r="G157" s="263"/>
      <c r="H157" s="263"/>
      <c r="I157" s="263"/>
      <c r="J157" s="242"/>
      <c r="K157" s="242"/>
      <c r="L157" s="242"/>
    </row>
    <row r="158" spans="1:12">
      <c r="A158" s="298"/>
      <c r="B158" s="227"/>
      <c r="C158" s="263"/>
      <c r="D158" s="263"/>
      <c r="E158" s="263"/>
      <c r="F158" s="263"/>
      <c r="G158" s="263"/>
      <c r="H158" s="263"/>
      <c r="I158" s="263"/>
      <c r="J158" s="242"/>
      <c r="K158" s="242"/>
      <c r="L158" s="242"/>
    </row>
    <row r="159" spans="1:12">
      <c r="A159" s="298"/>
      <c r="B159" s="227"/>
      <c r="C159" s="263"/>
      <c r="D159" s="263"/>
      <c r="E159" s="263"/>
      <c r="F159" s="263"/>
      <c r="G159" s="263"/>
      <c r="H159" s="263"/>
      <c r="I159" s="263"/>
      <c r="J159" s="242"/>
      <c r="K159" s="242"/>
      <c r="L159" s="242"/>
    </row>
    <row r="160" spans="1:12">
      <c r="A160" s="298"/>
      <c r="B160" s="227"/>
      <c r="C160" s="263"/>
      <c r="D160" s="263"/>
      <c r="E160" s="263"/>
      <c r="F160" s="263"/>
      <c r="G160" s="263"/>
      <c r="H160" s="263"/>
      <c r="I160" s="263"/>
      <c r="J160" s="242"/>
      <c r="K160" s="242"/>
      <c r="L160" s="242"/>
    </row>
    <row r="161" spans="1:12">
      <c r="A161" s="298"/>
      <c r="B161" s="227"/>
      <c r="C161" s="263"/>
      <c r="D161" s="263"/>
      <c r="E161" s="263"/>
      <c r="F161" s="263"/>
      <c r="G161" s="263"/>
      <c r="H161" s="263"/>
      <c r="I161" s="263"/>
      <c r="J161" s="242"/>
      <c r="K161" s="242"/>
      <c r="L161" s="242"/>
    </row>
    <row r="162" spans="1:12">
      <c r="A162" s="298"/>
      <c r="B162" s="227"/>
      <c r="C162" s="263"/>
      <c r="D162" s="263"/>
      <c r="E162" s="263"/>
      <c r="F162" s="263"/>
      <c r="G162" s="263"/>
      <c r="H162" s="263"/>
      <c r="I162" s="263"/>
      <c r="J162" s="242"/>
      <c r="K162" s="242"/>
      <c r="L162" s="242"/>
    </row>
    <row r="163" spans="1:12">
      <c r="A163" s="298"/>
      <c r="B163" s="227"/>
      <c r="C163" s="263"/>
      <c r="D163" s="263"/>
      <c r="E163" s="263"/>
      <c r="F163" s="263"/>
      <c r="G163" s="263"/>
      <c r="H163" s="263"/>
      <c r="I163" s="263"/>
      <c r="J163" s="242"/>
      <c r="K163" s="242"/>
      <c r="L163" s="242"/>
    </row>
    <row r="164" spans="1:12">
      <c r="A164" s="298"/>
      <c r="B164" s="227"/>
      <c r="C164" s="263"/>
      <c r="D164" s="263"/>
      <c r="E164" s="263"/>
      <c r="F164" s="263"/>
      <c r="G164" s="263"/>
      <c r="H164" s="263"/>
      <c r="I164" s="263"/>
      <c r="J164" s="242"/>
      <c r="K164" s="242"/>
      <c r="L164" s="242"/>
    </row>
    <row r="165" spans="1:12">
      <c r="A165" s="298"/>
      <c r="B165" s="227"/>
      <c r="C165" s="263"/>
      <c r="D165" s="263"/>
      <c r="E165" s="263"/>
      <c r="F165" s="263"/>
      <c r="G165" s="263"/>
      <c r="H165" s="263"/>
      <c r="I165" s="263"/>
      <c r="J165" s="242"/>
      <c r="K165" s="242"/>
      <c r="L165" s="242"/>
    </row>
    <row r="166" spans="1:12">
      <c r="A166" s="298"/>
      <c r="B166" s="227"/>
      <c r="C166" s="263"/>
      <c r="D166" s="263"/>
      <c r="E166" s="263"/>
      <c r="F166" s="263"/>
      <c r="G166" s="263"/>
      <c r="H166" s="263"/>
      <c r="I166" s="263"/>
      <c r="J166" s="242"/>
      <c r="K166" s="242"/>
      <c r="L166" s="242"/>
    </row>
    <row r="167" spans="1:12">
      <c r="A167" s="298"/>
      <c r="B167" s="227"/>
      <c r="C167" s="263"/>
      <c r="D167" s="263"/>
      <c r="E167" s="263"/>
      <c r="F167" s="263"/>
      <c r="G167" s="263"/>
      <c r="H167" s="263"/>
      <c r="I167" s="263"/>
      <c r="J167" s="242"/>
      <c r="K167" s="242"/>
      <c r="L167" s="242"/>
    </row>
    <row r="168" spans="1:12">
      <c r="A168" s="298"/>
      <c r="B168" s="227"/>
      <c r="C168" s="263"/>
      <c r="D168" s="263"/>
      <c r="E168" s="263"/>
      <c r="F168" s="263"/>
      <c r="G168" s="263"/>
      <c r="H168" s="263"/>
      <c r="I168" s="263"/>
      <c r="J168" s="242"/>
      <c r="K168" s="242"/>
      <c r="L168" s="242"/>
    </row>
    <row r="169" spans="1:12">
      <c r="A169" s="298"/>
      <c r="B169" s="227"/>
      <c r="C169" s="263"/>
      <c r="D169" s="263"/>
      <c r="E169" s="263"/>
      <c r="F169" s="263"/>
      <c r="G169" s="263"/>
      <c r="H169" s="263"/>
      <c r="I169" s="263"/>
      <c r="J169" s="242"/>
      <c r="K169" s="242"/>
      <c r="L169" s="242"/>
    </row>
    <row r="170" spans="1:12">
      <c r="A170" s="298"/>
      <c r="B170" s="227"/>
      <c r="C170" s="263"/>
      <c r="D170" s="263"/>
      <c r="E170" s="263"/>
      <c r="F170" s="263"/>
      <c r="G170" s="263"/>
      <c r="H170" s="263"/>
      <c r="I170" s="263"/>
      <c r="J170" s="242"/>
      <c r="K170" s="242"/>
      <c r="L170" s="242"/>
    </row>
    <row r="171" spans="1:12">
      <c r="A171" s="298"/>
      <c r="B171" s="227"/>
      <c r="C171" s="263"/>
      <c r="D171" s="263"/>
      <c r="E171" s="263"/>
      <c r="F171" s="263"/>
      <c r="G171" s="263"/>
      <c r="H171" s="263"/>
      <c r="I171" s="263"/>
      <c r="J171" s="242"/>
      <c r="K171" s="242"/>
      <c r="L171" s="242"/>
    </row>
    <row r="172" spans="1:12">
      <c r="A172" s="298"/>
      <c r="B172" s="227"/>
      <c r="C172" s="263"/>
      <c r="D172" s="263"/>
      <c r="E172" s="263"/>
      <c r="F172" s="263"/>
      <c r="G172" s="263"/>
      <c r="H172" s="263"/>
      <c r="I172" s="263"/>
      <c r="J172" s="242"/>
      <c r="K172" s="242"/>
      <c r="L172" s="242"/>
    </row>
    <row r="173" spans="1:12">
      <c r="A173" s="298"/>
      <c r="B173" s="227"/>
      <c r="C173" s="263"/>
      <c r="D173" s="263"/>
      <c r="E173" s="263"/>
      <c r="F173" s="263"/>
      <c r="G173" s="263"/>
      <c r="H173" s="263"/>
      <c r="I173" s="263"/>
      <c r="J173" s="242"/>
      <c r="K173" s="242"/>
      <c r="L173" s="242"/>
    </row>
    <row r="174" spans="1:12">
      <c r="A174" s="298"/>
      <c r="B174" s="227"/>
      <c r="C174" s="263"/>
      <c r="D174" s="263"/>
      <c r="E174" s="263"/>
      <c r="F174" s="263"/>
      <c r="G174" s="263"/>
      <c r="H174" s="263"/>
      <c r="I174" s="263"/>
      <c r="J174" s="242"/>
      <c r="K174" s="242"/>
      <c r="L174" s="242"/>
    </row>
    <row r="175" spans="1:12">
      <c r="A175" s="298"/>
      <c r="B175" s="227"/>
      <c r="C175" s="263"/>
      <c r="D175" s="263"/>
      <c r="E175" s="263"/>
      <c r="F175" s="263"/>
      <c r="G175" s="263"/>
      <c r="H175" s="263"/>
      <c r="I175" s="263"/>
      <c r="J175" s="242"/>
      <c r="K175" s="242"/>
      <c r="L175" s="242"/>
    </row>
    <row r="176" spans="1:12">
      <c r="A176" s="298"/>
      <c r="B176" s="227"/>
      <c r="C176" s="263"/>
      <c r="D176" s="263"/>
      <c r="E176" s="263"/>
      <c r="F176" s="263"/>
      <c r="G176" s="263"/>
      <c r="H176" s="263"/>
      <c r="I176" s="263"/>
      <c r="J176" s="242"/>
      <c r="K176" s="242"/>
      <c r="L176" s="242"/>
    </row>
    <row r="177" spans="1:12">
      <c r="A177" s="298"/>
      <c r="B177" s="227"/>
      <c r="C177" s="263"/>
      <c r="D177" s="263"/>
      <c r="E177" s="263"/>
      <c r="F177" s="263"/>
      <c r="G177" s="263"/>
      <c r="H177" s="263"/>
      <c r="I177" s="263"/>
      <c r="J177" s="242"/>
      <c r="K177" s="242"/>
      <c r="L177" s="242"/>
    </row>
    <row r="178" spans="1:12">
      <c r="A178" s="298"/>
      <c r="B178" s="227"/>
      <c r="C178" s="263"/>
      <c r="D178" s="263"/>
      <c r="E178" s="263"/>
      <c r="F178" s="263"/>
      <c r="G178" s="263"/>
      <c r="H178" s="263"/>
      <c r="I178" s="263"/>
      <c r="J178" s="242"/>
      <c r="K178" s="242"/>
      <c r="L178" s="242"/>
    </row>
    <row r="179" spans="1:12">
      <c r="A179" s="298"/>
      <c r="B179" s="227"/>
      <c r="C179" s="263"/>
      <c r="D179" s="263"/>
      <c r="E179" s="263"/>
      <c r="F179" s="263"/>
      <c r="G179" s="263"/>
      <c r="H179" s="263"/>
      <c r="I179" s="263"/>
      <c r="J179" s="242"/>
      <c r="K179" s="242"/>
      <c r="L179" s="242"/>
    </row>
    <row r="180" spans="1:12">
      <c r="A180" s="298"/>
      <c r="B180" s="227"/>
      <c r="C180" s="263"/>
      <c r="D180" s="263"/>
      <c r="E180" s="263"/>
      <c r="F180" s="263"/>
      <c r="G180" s="263"/>
      <c r="H180" s="263"/>
      <c r="I180" s="263"/>
      <c r="J180" s="242"/>
      <c r="K180" s="242"/>
      <c r="L180" s="242"/>
    </row>
    <row r="181" spans="1:12">
      <c r="A181" s="298"/>
      <c r="B181" s="227"/>
      <c r="C181" s="263"/>
      <c r="D181" s="263"/>
      <c r="E181" s="263"/>
      <c r="F181" s="263"/>
      <c r="G181" s="263"/>
      <c r="H181" s="263"/>
      <c r="I181" s="263"/>
      <c r="J181" s="242"/>
      <c r="K181" s="242"/>
      <c r="L181" s="242"/>
    </row>
    <row r="182" spans="1:12">
      <c r="A182" s="298"/>
      <c r="B182" s="227"/>
      <c r="C182" s="263"/>
      <c r="D182" s="263"/>
      <c r="E182" s="263"/>
      <c r="F182" s="263"/>
      <c r="G182" s="263"/>
      <c r="H182" s="263"/>
      <c r="I182" s="263"/>
      <c r="J182" s="242"/>
      <c r="K182" s="242"/>
      <c r="L182" s="242"/>
    </row>
    <row r="183" spans="1:12">
      <c r="A183" s="298"/>
      <c r="B183" s="227"/>
      <c r="C183" s="263"/>
      <c r="D183" s="263"/>
      <c r="E183" s="263"/>
      <c r="F183" s="263"/>
      <c r="G183" s="263"/>
      <c r="H183" s="263"/>
      <c r="I183" s="263"/>
      <c r="J183" s="242"/>
      <c r="K183" s="242"/>
      <c r="L183" s="242"/>
    </row>
    <row r="184" spans="1:12">
      <c r="A184" s="298"/>
      <c r="B184" s="227"/>
      <c r="C184" s="263"/>
      <c r="D184" s="263"/>
      <c r="E184" s="263"/>
      <c r="F184" s="263"/>
      <c r="G184" s="263"/>
      <c r="H184" s="263"/>
      <c r="I184" s="263"/>
      <c r="J184" s="242"/>
      <c r="K184" s="242"/>
      <c r="L184" s="242"/>
    </row>
    <row r="185" spans="1:12">
      <c r="A185" s="298"/>
      <c r="B185" s="227"/>
      <c r="C185" s="263"/>
      <c r="D185" s="263"/>
      <c r="E185" s="263"/>
      <c r="F185" s="263"/>
      <c r="G185" s="263"/>
      <c r="H185" s="263"/>
      <c r="I185" s="263"/>
      <c r="J185" s="242"/>
      <c r="K185" s="242"/>
      <c r="L185" s="242"/>
    </row>
    <row r="186" spans="1:12">
      <c r="A186" s="298"/>
      <c r="B186" s="227"/>
      <c r="C186" s="263"/>
      <c r="D186" s="263"/>
      <c r="E186" s="263"/>
      <c r="F186" s="263"/>
      <c r="G186" s="263"/>
      <c r="H186" s="263"/>
      <c r="I186" s="263"/>
      <c r="J186" s="242"/>
      <c r="K186" s="242"/>
      <c r="L186" s="242"/>
    </row>
    <row r="187" spans="1:12">
      <c r="A187" s="298"/>
      <c r="B187" s="227"/>
      <c r="C187" s="263"/>
      <c r="D187" s="263"/>
      <c r="E187" s="263"/>
      <c r="F187" s="263"/>
      <c r="G187" s="263"/>
      <c r="H187" s="263"/>
      <c r="I187" s="263"/>
      <c r="J187" s="242"/>
      <c r="K187" s="242"/>
      <c r="L187" s="242"/>
    </row>
    <row r="188" spans="1:12">
      <c r="A188" s="298"/>
      <c r="B188" s="227"/>
      <c r="C188" s="263"/>
      <c r="D188" s="263"/>
      <c r="E188" s="263"/>
      <c r="F188" s="263"/>
      <c r="G188" s="263"/>
      <c r="H188" s="263"/>
      <c r="I188" s="263"/>
      <c r="J188" s="242"/>
      <c r="K188" s="242"/>
      <c r="L188" s="242"/>
    </row>
    <row r="189" spans="1:12">
      <c r="A189" s="298"/>
      <c r="B189" s="227"/>
      <c r="C189" s="263"/>
      <c r="D189" s="263"/>
      <c r="E189" s="263"/>
      <c r="F189" s="263"/>
      <c r="G189" s="263"/>
      <c r="H189" s="263"/>
      <c r="I189" s="263"/>
      <c r="J189" s="242"/>
      <c r="K189" s="242"/>
      <c r="L189" s="242"/>
    </row>
    <row r="190" spans="1:12">
      <c r="A190" s="298"/>
      <c r="B190" s="227"/>
      <c r="C190" s="263"/>
      <c r="D190" s="263"/>
      <c r="E190" s="263"/>
      <c r="F190" s="263"/>
      <c r="G190" s="263"/>
      <c r="H190" s="263"/>
      <c r="I190" s="263"/>
      <c r="J190" s="242"/>
      <c r="K190" s="242"/>
      <c r="L190" s="242"/>
    </row>
    <row r="191" spans="1:12">
      <c r="A191" s="298"/>
      <c r="B191" s="227"/>
      <c r="C191" s="263"/>
      <c r="D191" s="263"/>
      <c r="E191" s="263"/>
      <c r="F191" s="263"/>
      <c r="G191" s="263"/>
      <c r="H191" s="263"/>
      <c r="I191" s="263"/>
      <c r="J191" s="242"/>
      <c r="K191" s="242"/>
      <c r="L191" s="242"/>
    </row>
    <row r="192" spans="1:12">
      <c r="A192" s="298"/>
      <c r="B192" s="227"/>
      <c r="C192" s="263"/>
      <c r="D192" s="263"/>
      <c r="E192" s="263"/>
      <c r="F192" s="263"/>
      <c r="G192" s="263"/>
      <c r="H192" s="263"/>
      <c r="I192" s="263"/>
      <c r="J192" s="242"/>
      <c r="K192" s="242"/>
      <c r="L192" s="242"/>
    </row>
    <row r="193" spans="1:12">
      <c r="A193" s="298"/>
      <c r="B193" s="227"/>
      <c r="C193" s="263"/>
      <c r="D193" s="263"/>
      <c r="E193" s="263"/>
      <c r="F193" s="263"/>
      <c r="G193" s="263"/>
      <c r="H193" s="263"/>
      <c r="I193" s="263"/>
      <c r="J193" s="242"/>
      <c r="K193" s="242"/>
      <c r="L193" s="242"/>
    </row>
    <row r="194" spans="1:12">
      <c r="A194" s="298"/>
      <c r="B194" s="227"/>
      <c r="C194" s="263"/>
      <c r="D194" s="263"/>
      <c r="E194" s="263"/>
      <c r="F194" s="263"/>
      <c r="G194" s="263"/>
      <c r="H194" s="263"/>
      <c r="I194" s="263"/>
      <c r="J194" s="242"/>
      <c r="K194" s="242"/>
      <c r="L194" s="242"/>
    </row>
    <row r="195" spans="1:12">
      <c r="A195" s="298"/>
      <c r="B195" s="227"/>
      <c r="C195" s="263"/>
      <c r="D195" s="263"/>
      <c r="E195" s="263"/>
      <c r="F195" s="263"/>
      <c r="G195" s="263"/>
      <c r="H195" s="263"/>
      <c r="I195" s="263"/>
      <c r="J195" s="242"/>
      <c r="K195" s="242"/>
      <c r="L195" s="242"/>
    </row>
    <row r="196" spans="1:12">
      <c r="A196" s="298"/>
      <c r="B196" s="227"/>
      <c r="C196" s="263"/>
      <c r="D196" s="263"/>
      <c r="E196" s="263"/>
      <c r="F196" s="263"/>
      <c r="G196" s="263"/>
      <c r="H196" s="263"/>
      <c r="I196" s="263"/>
      <c r="J196" s="242"/>
      <c r="K196" s="242"/>
      <c r="L196" s="242"/>
    </row>
    <row r="197" spans="1:12">
      <c r="A197" s="298"/>
      <c r="B197" s="227"/>
      <c r="C197" s="263"/>
      <c r="D197" s="263"/>
      <c r="E197" s="263"/>
      <c r="F197" s="263"/>
      <c r="G197" s="263"/>
      <c r="H197" s="263"/>
      <c r="I197" s="263"/>
      <c r="J197" s="242"/>
      <c r="K197" s="242"/>
      <c r="L197" s="242"/>
    </row>
    <row r="198" spans="1:12">
      <c r="A198" s="298"/>
      <c r="B198" s="227"/>
      <c r="C198" s="263"/>
      <c r="D198" s="263"/>
      <c r="E198" s="263"/>
      <c r="F198" s="263"/>
      <c r="G198" s="263"/>
      <c r="H198" s="263"/>
      <c r="I198" s="263"/>
      <c r="J198" s="242"/>
      <c r="K198" s="242"/>
      <c r="L198" s="242"/>
    </row>
    <row r="199" spans="1:12">
      <c r="A199" s="298"/>
      <c r="B199" s="227"/>
      <c r="C199" s="263"/>
      <c r="D199" s="263"/>
      <c r="E199" s="263"/>
      <c r="F199" s="263"/>
      <c r="G199" s="263"/>
      <c r="H199" s="263"/>
      <c r="I199" s="263"/>
      <c r="J199" s="242"/>
      <c r="K199" s="242"/>
      <c r="L199" s="242"/>
    </row>
    <row r="200" spans="1:12">
      <c r="A200" s="298"/>
      <c r="B200" s="227"/>
      <c r="C200" s="263"/>
      <c r="D200" s="263"/>
      <c r="E200" s="263"/>
      <c r="F200" s="263"/>
      <c r="G200" s="263"/>
      <c r="H200" s="263"/>
      <c r="I200" s="263"/>
      <c r="J200" s="242"/>
      <c r="K200" s="242"/>
      <c r="L200" s="242"/>
    </row>
    <row r="201" spans="1:12">
      <c r="A201" s="298"/>
      <c r="B201" s="227"/>
      <c r="C201" s="263"/>
      <c r="D201" s="263"/>
      <c r="E201" s="263"/>
      <c r="F201" s="263"/>
      <c r="G201" s="263"/>
      <c r="H201" s="263"/>
      <c r="I201" s="263"/>
      <c r="J201" s="242"/>
      <c r="K201" s="242"/>
      <c r="L201" s="242"/>
    </row>
    <row r="202" spans="1:12">
      <c r="A202" s="298"/>
      <c r="B202" s="227"/>
      <c r="C202" s="263"/>
      <c r="D202" s="263"/>
      <c r="E202" s="263"/>
      <c r="F202" s="263"/>
      <c r="G202" s="263"/>
      <c r="H202" s="263"/>
      <c r="I202" s="263"/>
      <c r="J202" s="242"/>
      <c r="K202" s="242"/>
      <c r="L202" s="242"/>
    </row>
    <row r="203" spans="1:12">
      <c r="A203" s="298"/>
      <c r="B203" s="227"/>
      <c r="C203" s="263"/>
      <c r="D203" s="263"/>
      <c r="E203" s="263"/>
      <c r="F203" s="263"/>
      <c r="G203" s="263"/>
      <c r="H203" s="263"/>
      <c r="I203" s="263"/>
      <c r="J203" s="242"/>
      <c r="K203" s="242"/>
      <c r="L203" s="242"/>
    </row>
    <row r="204" spans="1:12">
      <c r="A204" s="298"/>
      <c r="B204" s="227"/>
      <c r="C204" s="263"/>
      <c r="D204" s="263"/>
      <c r="E204" s="263"/>
      <c r="F204" s="263"/>
      <c r="G204" s="263"/>
      <c r="H204" s="263"/>
      <c r="I204" s="263"/>
      <c r="J204" s="242"/>
      <c r="K204" s="242"/>
      <c r="L204" s="242"/>
    </row>
    <row r="205" spans="1:12">
      <c r="A205" s="298"/>
      <c r="B205" s="227"/>
      <c r="C205" s="263"/>
      <c r="D205" s="263"/>
      <c r="E205" s="263"/>
      <c r="F205" s="263"/>
      <c r="G205" s="263"/>
      <c r="H205" s="263"/>
      <c r="I205" s="263"/>
      <c r="J205" s="242"/>
      <c r="K205" s="242"/>
      <c r="L205" s="242"/>
    </row>
    <row r="206" spans="1:12">
      <c r="A206" s="298"/>
      <c r="B206" s="227"/>
      <c r="C206" s="263"/>
      <c r="D206" s="263"/>
      <c r="E206" s="263"/>
      <c r="F206" s="263"/>
      <c r="G206" s="263"/>
      <c r="H206" s="263"/>
      <c r="I206" s="263"/>
      <c r="J206" s="242"/>
      <c r="K206" s="242"/>
      <c r="L206" s="242"/>
    </row>
    <row r="207" spans="1:12">
      <c r="A207" s="298"/>
      <c r="B207" s="227"/>
      <c r="C207" s="263"/>
      <c r="D207" s="263"/>
      <c r="E207" s="263"/>
      <c r="F207" s="263"/>
      <c r="G207" s="263"/>
      <c r="H207" s="263"/>
      <c r="I207" s="263"/>
      <c r="J207" s="242"/>
      <c r="K207" s="242"/>
      <c r="L207" s="242"/>
    </row>
    <row r="208" spans="1:12">
      <c r="A208" s="298"/>
      <c r="B208" s="227"/>
      <c r="C208" s="263"/>
      <c r="D208" s="263"/>
      <c r="E208" s="263"/>
      <c r="F208" s="263"/>
      <c r="G208" s="263"/>
      <c r="H208" s="263"/>
      <c r="I208" s="263"/>
      <c r="J208" s="242"/>
      <c r="K208" s="242"/>
      <c r="L208" s="242"/>
    </row>
    <row r="209" spans="1:12">
      <c r="A209" s="298"/>
      <c r="B209" s="227"/>
      <c r="C209" s="263"/>
      <c r="D209" s="263"/>
      <c r="E209" s="263"/>
      <c r="F209" s="263"/>
      <c r="G209" s="263"/>
      <c r="H209" s="263"/>
      <c r="I209" s="263"/>
      <c r="J209" s="242"/>
      <c r="K209" s="242"/>
      <c r="L209" s="242"/>
    </row>
    <row r="210" spans="1:12">
      <c r="A210" s="298"/>
      <c r="B210" s="227"/>
      <c r="C210" s="263"/>
      <c r="D210" s="263"/>
      <c r="E210" s="263"/>
      <c r="F210" s="263"/>
      <c r="G210" s="263"/>
      <c r="H210" s="263"/>
      <c r="I210" s="263"/>
      <c r="J210" s="242"/>
      <c r="K210" s="242"/>
      <c r="L210" s="242"/>
    </row>
    <row r="211" spans="1:12">
      <c r="A211" s="298"/>
      <c r="B211" s="227"/>
      <c r="C211" s="263"/>
      <c r="D211" s="263"/>
      <c r="E211" s="263"/>
      <c r="F211" s="263"/>
      <c r="G211" s="263"/>
      <c r="H211" s="263"/>
      <c r="I211" s="263"/>
      <c r="J211" s="242"/>
      <c r="K211" s="242"/>
      <c r="L211" s="242"/>
    </row>
    <row r="212" spans="1:12">
      <c r="A212" s="298"/>
      <c r="B212" s="227"/>
      <c r="C212" s="263"/>
      <c r="D212" s="263"/>
      <c r="E212" s="263"/>
      <c r="F212" s="263"/>
      <c r="G212" s="263"/>
      <c r="H212" s="263"/>
      <c r="I212" s="263"/>
      <c r="J212" s="242"/>
      <c r="K212" s="242"/>
      <c r="L212" s="242"/>
    </row>
    <row r="213" spans="1:12">
      <c r="A213" s="298"/>
      <c r="B213" s="227"/>
      <c r="C213" s="263"/>
      <c r="D213" s="263"/>
      <c r="E213" s="263"/>
      <c r="F213" s="263"/>
      <c r="G213" s="263"/>
      <c r="H213" s="263"/>
      <c r="I213" s="263"/>
      <c r="J213" s="242"/>
      <c r="K213" s="242"/>
      <c r="L213" s="242"/>
    </row>
    <row r="214" spans="1:12">
      <c r="A214" s="298"/>
      <c r="B214" s="227"/>
      <c r="C214" s="263"/>
      <c r="D214" s="263"/>
      <c r="E214" s="263"/>
      <c r="F214" s="263"/>
      <c r="G214" s="263"/>
      <c r="H214" s="263"/>
      <c r="I214" s="263"/>
      <c r="J214" s="242"/>
      <c r="K214" s="242"/>
      <c r="L214" s="242"/>
    </row>
    <row r="215" spans="1:12">
      <c r="A215" s="298"/>
      <c r="B215" s="227"/>
      <c r="C215" s="263"/>
      <c r="D215" s="263"/>
      <c r="E215" s="263"/>
      <c r="F215" s="263"/>
      <c r="G215" s="263"/>
      <c r="H215" s="263"/>
      <c r="I215" s="263"/>
      <c r="J215" s="242"/>
      <c r="K215" s="242"/>
      <c r="L215" s="242"/>
    </row>
    <row r="216" spans="1:12">
      <c r="A216" s="298"/>
      <c r="B216" s="227"/>
      <c r="C216" s="263"/>
      <c r="D216" s="263"/>
      <c r="E216" s="263"/>
      <c r="F216" s="263"/>
      <c r="G216" s="263"/>
      <c r="H216" s="263"/>
      <c r="I216" s="263"/>
      <c r="J216" s="242"/>
      <c r="K216" s="242"/>
      <c r="L216" s="242"/>
    </row>
    <row r="217" spans="1:12">
      <c r="A217" s="298"/>
      <c r="B217" s="227"/>
      <c r="C217" s="263"/>
      <c r="D217" s="263"/>
      <c r="E217" s="263"/>
      <c r="F217" s="263"/>
      <c r="G217" s="263"/>
      <c r="H217" s="263"/>
      <c r="I217" s="263"/>
      <c r="J217" s="242"/>
      <c r="K217" s="242"/>
      <c r="L217" s="242"/>
    </row>
    <row r="218" spans="1:12">
      <c r="A218" s="298"/>
      <c r="B218" s="227"/>
      <c r="C218" s="263"/>
      <c r="D218" s="263"/>
      <c r="E218" s="263"/>
      <c r="F218" s="263"/>
      <c r="G218" s="263"/>
      <c r="H218" s="263"/>
      <c r="I218" s="263"/>
      <c r="J218" s="242"/>
      <c r="K218" s="242"/>
      <c r="L218" s="242"/>
    </row>
    <row r="219" spans="1:12">
      <c r="A219" s="298"/>
      <c r="B219" s="227"/>
      <c r="C219" s="263"/>
      <c r="D219" s="263"/>
      <c r="E219" s="263"/>
      <c r="F219" s="263"/>
      <c r="G219" s="263"/>
      <c r="H219" s="263"/>
      <c r="I219" s="263"/>
      <c r="J219" s="242"/>
      <c r="K219" s="242"/>
      <c r="L219" s="242"/>
    </row>
    <row r="220" spans="1:12">
      <c r="A220" s="298"/>
      <c r="B220" s="227"/>
      <c r="C220" s="263"/>
      <c r="D220" s="263"/>
      <c r="E220" s="263"/>
      <c r="F220" s="263"/>
      <c r="G220" s="263"/>
      <c r="H220" s="263"/>
      <c r="I220" s="263"/>
      <c r="J220" s="242"/>
      <c r="K220" s="242"/>
      <c r="L220" s="242"/>
    </row>
    <row r="221" spans="1:12">
      <c r="A221" s="298"/>
      <c r="B221" s="227"/>
      <c r="C221" s="263"/>
      <c r="D221" s="263"/>
      <c r="E221" s="263"/>
      <c r="F221" s="263"/>
      <c r="G221" s="263"/>
      <c r="H221" s="263"/>
      <c r="I221" s="263"/>
      <c r="J221" s="242"/>
      <c r="K221" s="242"/>
      <c r="L221" s="242"/>
    </row>
    <row r="222" spans="1:12">
      <c r="A222" s="298"/>
      <c r="B222" s="227"/>
      <c r="C222" s="263"/>
      <c r="D222" s="263"/>
      <c r="E222" s="263"/>
      <c r="F222" s="263"/>
      <c r="G222" s="263"/>
      <c r="H222" s="263"/>
      <c r="I222" s="263"/>
      <c r="J222" s="242"/>
      <c r="K222" s="242"/>
      <c r="L222" s="242"/>
    </row>
    <row r="223" spans="1:12">
      <c r="A223" s="298"/>
      <c r="B223" s="227"/>
      <c r="C223" s="263"/>
      <c r="D223" s="263"/>
      <c r="E223" s="263"/>
      <c r="F223" s="263"/>
      <c r="G223" s="263"/>
      <c r="H223" s="263"/>
      <c r="I223" s="263"/>
      <c r="J223" s="242"/>
      <c r="K223" s="242"/>
      <c r="L223" s="242"/>
    </row>
    <row r="224" spans="1:12">
      <c r="A224" s="298"/>
      <c r="B224" s="227"/>
      <c r="C224" s="263"/>
      <c r="D224" s="263"/>
      <c r="E224" s="263"/>
      <c r="F224" s="263"/>
      <c r="G224" s="263"/>
      <c r="H224" s="263"/>
      <c r="I224" s="263"/>
      <c r="J224" s="242"/>
      <c r="K224" s="242"/>
      <c r="L224" s="242"/>
    </row>
    <row r="225" spans="1:12">
      <c r="A225" s="298"/>
      <c r="B225" s="227"/>
      <c r="C225" s="263"/>
      <c r="D225" s="263"/>
      <c r="E225" s="263"/>
      <c r="F225" s="263"/>
      <c r="G225" s="263"/>
      <c r="H225" s="263"/>
      <c r="I225" s="263"/>
      <c r="J225" s="242"/>
      <c r="K225" s="242"/>
      <c r="L225" s="242"/>
    </row>
    <row r="226" spans="1:12">
      <c r="A226" s="298"/>
      <c r="B226" s="227"/>
      <c r="C226" s="263"/>
      <c r="D226" s="263"/>
      <c r="E226" s="263"/>
      <c r="F226" s="263"/>
      <c r="G226" s="263"/>
      <c r="H226" s="263"/>
      <c r="I226" s="263"/>
      <c r="J226" s="242"/>
      <c r="K226" s="242"/>
      <c r="L226" s="242"/>
    </row>
    <row r="227" spans="1:12">
      <c r="A227" s="298"/>
      <c r="B227" s="227"/>
      <c r="C227" s="263"/>
      <c r="D227" s="263"/>
      <c r="E227" s="263"/>
      <c r="F227" s="263"/>
      <c r="G227" s="263"/>
      <c r="H227" s="263"/>
      <c r="I227" s="263"/>
      <c r="J227" s="242"/>
      <c r="K227" s="242"/>
      <c r="L227" s="242"/>
    </row>
    <row r="228" spans="1:12">
      <c r="A228" s="298"/>
      <c r="B228" s="227"/>
      <c r="C228" s="263"/>
      <c r="D228" s="263"/>
      <c r="E228" s="263"/>
      <c r="F228" s="263"/>
      <c r="G228" s="263"/>
      <c r="H228" s="263"/>
      <c r="I228" s="263"/>
      <c r="J228" s="242"/>
      <c r="K228" s="242"/>
      <c r="L228" s="242"/>
    </row>
    <row r="229" spans="1:12">
      <c r="A229" s="298"/>
      <c r="B229" s="227"/>
      <c r="C229" s="263"/>
      <c r="D229" s="263"/>
      <c r="E229" s="263"/>
      <c r="F229" s="263"/>
      <c r="G229" s="263"/>
      <c r="H229" s="263"/>
      <c r="I229" s="263"/>
      <c r="J229" s="242"/>
      <c r="K229" s="242"/>
      <c r="L229" s="242"/>
    </row>
    <row r="230" spans="1:12">
      <c r="A230" s="298"/>
      <c r="B230" s="227"/>
      <c r="C230" s="263"/>
      <c r="D230" s="263"/>
      <c r="E230" s="263"/>
      <c r="F230" s="263"/>
      <c r="G230" s="263"/>
      <c r="H230" s="263"/>
      <c r="I230" s="263"/>
      <c r="J230" s="242"/>
      <c r="K230" s="242"/>
      <c r="L230" s="242"/>
    </row>
    <row r="231" spans="1:12">
      <c r="A231" s="298"/>
      <c r="B231" s="227"/>
      <c r="C231" s="263"/>
      <c r="D231" s="263"/>
      <c r="E231" s="263"/>
      <c r="F231" s="263"/>
      <c r="G231" s="263"/>
      <c r="H231" s="263"/>
      <c r="I231" s="263"/>
      <c r="J231" s="242"/>
      <c r="K231" s="242"/>
      <c r="L231" s="242"/>
    </row>
    <row r="232" spans="1:12">
      <c r="A232" s="298"/>
      <c r="B232" s="227"/>
      <c r="C232" s="263"/>
      <c r="D232" s="263"/>
      <c r="E232" s="263"/>
      <c r="F232" s="263"/>
      <c r="G232" s="263"/>
      <c r="H232" s="263"/>
      <c r="I232" s="263"/>
      <c r="J232" s="242"/>
      <c r="K232" s="242"/>
      <c r="L232" s="242"/>
    </row>
    <row r="233" spans="1:12">
      <c r="A233" s="298"/>
      <c r="B233" s="227"/>
      <c r="C233" s="263"/>
      <c r="D233" s="263"/>
      <c r="E233" s="263"/>
      <c r="F233" s="263"/>
      <c r="G233" s="263"/>
      <c r="H233" s="263"/>
      <c r="I233" s="263"/>
      <c r="J233" s="242"/>
      <c r="K233" s="242"/>
      <c r="L233" s="242"/>
    </row>
    <row r="234" spans="1:12">
      <c r="A234" s="298"/>
      <c r="B234" s="227"/>
      <c r="C234" s="263"/>
      <c r="D234" s="263"/>
      <c r="E234" s="263"/>
      <c r="F234" s="263"/>
      <c r="G234" s="263"/>
      <c r="H234" s="263"/>
      <c r="I234" s="263"/>
      <c r="J234" s="242"/>
      <c r="K234" s="242"/>
      <c r="L234" s="242"/>
    </row>
    <row r="235" spans="1:12">
      <c r="A235" s="298"/>
      <c r="B235" s="227"/>
      <c r="C235" s="263"/>
      <c r="D235" s="263"/>
      <c r="E235" s="263"/>
      <c r="F235" s="263"/>
      <c r="G235" s="263"/>
      <c r="H235" s="263"/>
      <c r="I235" s="263"/>
      <c r="J235" s="242"/>
      <c r="K235" s="242"/>
      <c r="L235" s="242"/>
    </row>
    <row r="236" spans="1:12">
      <c r="A236" s="298"/>
      <c r="B236" s="227"/>
      <c r="C236" s="263"/>
      <c r="D236" s="263"/>
      <c r="E236" s="263"/>
      <c r="F236" s="263"/>
      <c r="G236" s="263"/>
      <c r="H236" s="263"/>
      <c r="I236" s="263"/>
      <c r="J236" s="242"/>
      <c r="K236" s="242"/>
      <c r="L236" s="242"/>
    </row>
    <row r="237" spans="1:12">
      <c r="A237" s="298"/>
      <c r="B237" s="227"/>
      <c r="C237" s="263"/>
      <c r="D237" s="263"/>
      <c r="E237" s="263"/>
      <c r="F237" s="263"/>
      <c r="G237" s="263"/>
      <c r="H237" s="263"/>
      <c r="I237" s="263"/>
      <c r="J237" s="242"/>
      <c r="K237" s="242"/>
      <c r="L237" s="242"/>
    </row>
    <row r="238" spans="1:12">
      <c r="A238" s="298"/>
      <c r="B238" s="227"/>
      <c r="C238" s="263"/>
      <c r="D238" s="263"/>
      <c r="E238" s="263"/>
      <c r="F238" s="263"/>
      <c r="G238" s="263"/>
      <c r="H238" s="263"/>
      <c r="I238" s="263"/>
      <c r="J238" s="242"/>
      <c r="K238" s="242"/>
      <c r="L238" s="242"/>
    </row>
    <row r="239" spans="1:12">
      <c r="A239" s="298"/>
      <c r="B239" s="227"/>
      <c r="C239" s="263"/>
      <c r="D239" s="263"/>
      <c r="E239" s="263"/>
      <c r="F239" s="263"/>
      <c r="G239" s="263"/>
      <c r="H239" s="263"/>
      <c r="I239" s="263"/>
      <c r="J239" s="242"/>
      <c r="K239" s="242"/>
      <c r="L239" s="242"/>
    </row>
    <row r="240" spans="1:12">
      <c r="A240" s="298"/>
      <c r="B240" s="227"/>
      <c r="C240" s="263"/>
      <c r="D240" s="263"/>
      <c r="E240" s="263"/>
      <c r="F240" s="263"/>
      <c r="G240" s="263"/>
      <c r="H240" s="263"/>
      <c r="I240" s="263"/>
      <c r="J240" s="242"/>
      <c r="K240" s="242"/>
      <c r="L240" s="242"/>
    </row>
    <row r="241" spans="1:12">
      <c r="A241" s="298"/>
      <c r="B241" s="227"/>
      <c r="C241" s="263"/>
      <c r="D241" s="263"/>
      <c r="E241" s="263"/>
      <c r="F241" s="263"/>
      <c r="G241" s="263"/>
      <c r="H241" s="263"/>
      <c r="I241" s="263"/>
      <c r="J241" s="242"/>
      <c r="K241" s="242"/>
      <c r="L241" s="242"/>
    </row>
    <row r="242" spans="1:12">
      <c r="A242" s="298"/>
      <c r="B242" s="227"/>
      <c r="C242" s="263"/>
      <c r="D242" s="263"/>
      <c r="E242" s="263"/>
      <c r="F242" s="263"/>
      <c r="G242" s="263"/>
      <c r="H242" s="263"/>
      <c r="I242" s="263"/>
      <c r="J242" s="242"/>
      <c r="K242" s="242"/>
      <c r="L242" s="242"/>
    </row>
    <row r="243" spans="1:12">
      <c r="A243" s="298"/>
      <c r="B243" s="227"/>
      <c r="C243" s="263"/>
      <c r="D243" s="263"/>
      <c r="E243" s="263"/>
      <c r="F243" s="263"/>
      <c r="G243" s="263"/>
      <c r="H243" s="263"/>
      <c r="I243" s="263"/>
      <c r="J243" s="242"/>
      <c r="K243" s="242"/>
      <c r="L243" s="242"/>
    </row>
    <row r="244" spans="1:12">
      <c r="A244" s="298"/>
      <c r="B244" s="227"/>
      <c r="C244" s="263"/>
      <c r="D244" s="263"/>
      <c r="E244" s="263"/>
      <c r="F244" s="263"/>
      <c r="G244" s="263"/>
      <c r="H244" s="263"/>
      <c r="I244" s="263"/>
      <c r="J244" s="242"/>
      <c r="K244" s="242"/>
      <c r="L244" s="242"/>
    </row>
    <row r="245" spans="1:12">
      <c r="A245" s="298"/>
      <c r="B245" s="227"/>
      <c r="C245" s="263"/>
      <c r="D245" s="263"/>
      <c r="E245" s="263"/>
      <c r="F245" s="263"/>
      <c r="G245" s="263"/>
      <c r="H245" s="263"/>
      <c r="I245" s="263"/>
      <c r="J245" s="242"/>
      <c r="K245" s="242"/>
      <c r="L245" s="242"/>
    </row>
    <row r="246" spans="1:12">
      <c r="A246" s="298"/>
      <c r="B246" s="227"/>
      <c r="C246" s="263"/>
      <c r="D246" s="263"/>
      <c r="E246" s="263"/>
      <c r="F246" s="263"/>
      <c r="G246" s="263"/>
      <c r="H246" s="263"/>
      <c r="I246" s="263"/>
      <c r="J246" s="242"/>
      <c r="K246" s="242"/>
      <c r="L246" s="242"/>
    </row>
    <row r="247" spans="1:12">
      <c r="A247" s="298"/>
      <c r="B247" s="227"/>
      <c r="C247" s="263"/>
      <c r="D247" s="263"/>
      <c r="E247" s="263"/>
      <c r="F247" s="263"/>
      <c r="G247" s="263"/>
      <c r="H247" s="263"/>
      <c r="I247" s="263"/>
      <c r="J247" s="242"/>
      <c r="K247" s="242"/>
      <c r="L247" s="242"/>
    </row>
    <row r="248" spans="1:12">
      <c r="A248" s="298"/>
      <c r="B248" s="227"/>
      <c r="C248" s="263"/>
      <c r="D248" s="263"/>
      <c r="E248" s="263"/>
      <c r="F248" s="263"/>
      <c r="G248" s="263"/>
      <c r="H248" s="263"/>
      <c r="I248" s="263"/>
      <c r="J248" s="242"/>
      <c r="K248" s="242"/>
      <c r="L248" s="242"/>
    </row>
    <row r="249" spans="1:12">
      <c r="A249" s="298"/>
      <c r="B249" s="227"/>
      <c r="C249" s="263"/>
      <c r="D249" s="263"/>
      <c r="E249" s="263"/>
      <c r="F249" s="263"/>
      <c r="G249" s="263"/>
      <c r="H249" s="263"/>
      <c r="I249" s="263"/>
      <c r="J249" s="242"/>
      <c r="K249" s="242"/>
      <c r="L249" s="242"/>
    </row>
    <row r="250" spans="1:12">
      <c r="A250" s="298"/>
      <c r="B250" s="227"/>
      <c r="C250" s="263"/>
      <c r="D250" s="263"/>
      <c r="E250" s="263"/>
      <c r="F250" s="263"/>
      <c r="G250" s="263"/>
      <c r="H250" s="263"/>
      <c r="I250" s="263"/>
      <c r="J250" s="242"/>
      <c r="K250" s="242"/>
      <c r="L250" s="242"/>
    </row>
    <row r="251" spans="1:12">
      <c r="A251" s="298"/>
      <c r="B251" s="227"/>
      <c r="C251" s="263"/>
      <c r="D251" s="263"/>
      <c r="E251" s="263"/>
      <c r="F251" s="263"/>
      <c r="G251" s="263"/>
      <c r="H251" s="263"/>
      <c r="I251" s="263"/>
      <c r="J251" s="242"/>
      <c r="K251" s="242"/>
      <c r="L251" s="242"/>
    </row>
    <row r="252" spans="1:12">
      <c r="A252" s="298"/>
      <c r="B252" s="227"/>
      <c r="C252" s="263"/>
      <c r="D252" s="263"/>
      <c r="E252" s="263"/>
      <c r="F252" s="263"/>
      <c r="G252" s="263"/>
      <c r="H252" s="263"/>
      <c r="I252" s="263"/>
      <c r="J252" s="242"/>
      <c r="K252" s="242"/>
      <c r="L252" s="242"/>
    </row>
    <row r="253" spans="1:12">
      <c r="A253" s="298"/>
      <c r="B253" s="227"/>
      <c r="C253" s="263"/>
      <c r="D253" s="263"/>
      <c r="E253" s="263"/>
      <c r="F253" s="263"/>
      <c r="G253" s="263"/>
      <c r="H253" s="263"/>
      <c r="I253" s="263"/>
      <c r="J253" s="242"/>
      <c r="K253" s="242"/>
      <c r="L253" s="242"/>
    </row>
    <row r="254" spans="1:12">
      <c r="A254" s="298"/>
      <c r="B254" s="227"/>
      <c r="C254" s="263"/>
      <c r="D254" s="263"/>
      <c r="E254" s="263"/>
      <c r="F254" s="263"/>
      <c r="G254" s="263"/>
      <c r="H254" s="263"/>
      <c r="I254" s="263"/>
      <c r="J254" s="242"/>
      <c r="K254" s="242"/>
      <c r="L254" s="242"/>
    </row>
    <row r="255" spans="1:12">
      <c r="A255" s="298"/>
      <c r="B255" s="227"/>
      <c r="C255" s="263"/>
      <c r="D255" s="263"/>
      <c r="E255" s="263"/>
      <c r="F255" s="263"/>
      <c r="G255" s="263"/>
      <c r="H255" s="263"/>
      <c r="I255" s="263"/>
      <c r="J255" s="242"/>
      <c r="K255" s="242"/>
      <c r="L255" s="242"/>
    </row>
    <row r="256" spans="1:12">
      <c r="A256" s="298"/>
      <c r="B256" s="227"/>
      <c r="C256" s="263"/>
      <c r="D256" s="263"/>
      <c r="E256" s="263"/>
      <c r="F256" s="263"/>
      <c r="G256" s="263"/>
      <c r="H256" s="263"/>
      <c r="I256" s="263"/>
      <c r="J256" s="242"/>
      <c r="K256" s="242"/>
      <c r="L256" s="242"/>
    </row>
    <row r="257" spans="1:12">
      <c r="A257" s="298"/>
      <c r="B257" s="227"/>
      <c r="C257" s="263"/>
      <c r="D257" s="263"/>
      <c r="E257" s="263"/>
      <c r="F257" s="263"/>
      <c r="G257" s="263"/>
      <c r="H257" s="263"/>
      <c r="I257" s="263"/>
      <c r="J257" s="242"/>
      <c r="K257" s="242"/>
      <c r="L257" s="242"/>
    </row>
    <row r="258" spans="1:12">
      <c r="A258" s="298"/>
      <c r="B258" s="227"/>
      <c r="C258" s="263"/>
      <c r="D258" s="263"/>
      <c r="E258" s="263"/>
      <c r="F258" s="263"/>
      <c r="G258" s="263"/>
      <c r="H258" s="263"/>
      <c r="I258" s="263"/>
      <c r="J258" s="242"/>
      <c r="K258" s="242"/>
      <c r="L258" s="242"/>
    </row>
    <row r="259" spans="1:12">
      <c r="A259" s="298"/>
      <c r="B259" s="227"/>
      <c r="C259" s="263"/>
      <c r="D259" s="263"/>
      <c r="E259" s="263"/>
      <c r="F259" s="263"/>
      <c r="G259" s="263"/>
      <c r="H259" s="263"/>
      <c r="I259" s="263"/>
      <c r="J259" s="242"/>
      <c r="K259" s="242"/>
      <c r="L259" s="242"/>
    </row>
    <row r="260" spans="1:12">
      <c r="A260" s="298"/>
      <c r="B260" s="227"/>
      <c r="C260" s="263"/>
      <c r="D260" s="263"/>
      <c r="E260" s="263"/>
      <c r="F260" s="263"/>
      <c r="G260" s="263"/>
      <c r="H260" s="263"/>
      <c r="I260" s="263"/>
      <c r="J260" s="242"/>
      <c r="K260" s="242"/>
      <c r="L260" s="242"/>
    </row>
    <row r="261" spans="1:12">
      <c r="A261" s="298"/>
      <c r="B261" s="227"/>
      <c r="C261" s="263"/>
      <c r="D261" s="263"/>
      <c r="E261" s="263"/>
      <c r="F261" s="263"/>
      <c r="G261" s="263"/>
      <c r="H261" s="263"/>
      <c r="I261" s="263"/>
      <c r="J261" s="242"/>
      <c r="K261" s="242"/>
      <c r="L261" s="242"/>
    </row>
    <row r="262" spans="1:12">
      <c r="A262" s="298"/>
      <c r="B262" s="227"/>
      <c r="C262" s="263"/>
      <c r="D262" s="263"/>
      <c r="E262" s="263"/>
      <c r="F262" s="263"/>
      <c r="G262" s="263"/>
      <c r="H262" s="263"/>
      <c r="I262" s="263"/>
      <c r="J262" s="242"/>
      <c r="K262" s="242"/>
      <c r="L262" s="242"/>
    </row>
    <row r="263" spans="1:12">
      <c r="A263" s="298"/>
      <c r="B263" s="227"/>
      <c r="C263" s="263"/>
      <c r="D263" s="263"/>
      <c r="E263" s="263"/>
      <c r="F263" s="263"/>
      <c r="G263" s="263"/>
      <c r="H263" s="263"/>
      <c r="I263" s="263"/>
      <c r="J263" s="242"/>
      <c r="K263" s="242"/>
      <c r="L263" s="242"/>
    </row>
    <row r="264" spans="1:12">
      <c r="A264" s="298"/>
      <c r="B264" s="227"/>
      <c r="C264" s="263"/>
      <c r="D264" s="263"/>
      <c r="E264" s="263"/>
      <c r="F264" s="263"/>
      <c r="G264" s="263"/>
      <c r="H264" s="263"/>
      <c r="I264" s="263"/>
      <c r="J264" s="242"/>
      <c r="K264" s="242"/>
      <c r="L264" s="242"/>
    </row>
    <row r="265" spans="1:12">
      <c r="A265" s="298"/>
      <c r="B265" s="227"/>
      <c r="C265" s="263"/>
      <c r="D265" s="263"/>
      <c r="E265" s="263"/>
      <c r="F265" s="263"/>
      <c r="G265" s="263"/>
      <c r="H265" s="263"/>
      <c r="I265" s="263"/>
      <c r="J265" s="242"/>
      <c r="K265" s="242"/>
      <c r="L265" s="242"/>
    </row>
    <row r="266" spans="1:12">
      <c r="A266" s="298"/>
      <c r="B266" s="227"/>
      <c r="C266" s="263"/>
      <c r="D266" s="263"/>
      <c r="E266" s="263"/>
      <c r="F266" s="263"/>
      <c r="G266" s="263"/>
      <c r="H266" s="263"/>
      <c r="I266" s="263"/>
      <c r="J266" s="242"/>
      <c r="K266" s="242"/>
      <c r="L266" s="242"/>
    </row>
    <row r="267" spans="1:12">
      <c r="A267" s="298"/>
      <c r="B267" s="227"/>
      <c r="C267" s="263"/>
      <c r="D267" s="263"/>
      <c r="E267" s="263"/>
      <c r="F267" s="263"/>
      <c r="G267" s="263"/>
      <c r="H267" s="263"/>
      <c r="I267" s="263"/>
      <c r="J267" s="242"/>
      <c r="K267" s="242"/>
      <c r="L267" s="242"/>
    </row>
    <row r="268" spans="1:12">
      <c r="A268" s="298"/>
      <c r="B268" s="227"/>
      <c r="C268" s="263"/>
      <c r="D268" s="263"/>
      <c r="E268" s="263"/>
      <c r="F268" s="263"/>
      <c r="G268" s="263"/>
      <c r="H268" s="263"/>
      <c r="I268" s="263"/>
      <c r="J268" s="242"/>
      <c r="K268" s="242"/>
      <c r="L268" s="242"/>
    </row>
    <row r="269" spans="1:12">
      <c r="A269" s="298"/>
      <c r="B269" s="227"/>
      <c r="C269" s="263"/>
      <c r="D269" s="263"/>
      <c r="E269" s="263"/>
      <c r="F269" s="263"/>
      <c r="G269" s="263"/>
      <c r="H269" s="263"/>
      <c r="I269" s="263"/>
      <c r="J269" s="242"/>
      <c r="K269" s="242"/>
      <c r="L269" s="242"/>
    </row>
    <row r="270" spans="1:12">
      <c r="A270" s="298"/>
      <c r="B270" s="227"/>
      <c r="C270" s="263"/>
      <c r="D270" s="263"/>
      <c r="E270" s="263"/>
      <c r="F270" s="263"/>
      <c r="G270" s="263"/>
      <c r="H270" s="263"/>
      <c r="I270" s="263"/>
      <c r="J270" s="242"/>
      <c r="K270" s="242"/>
      <c r="L270" s="242"/>
    </row>
    <row r="271" spans="1:12">
      <c r="A271" s="298"/>
      <c r="B271" s="227"/>
      <c r="C271" s="263"/>
      <c r="D271" s="263"/>
      <c r="E271" s="263"/>
      <c r="F271" s="263"/>
      <c r="G271" s="263"/>
      <c r="H271" s="263"/>
      <c r="I271" s="263"/>
      <c r="J271" s="242"/>
      <c r="K271" s="242"/>
      <c r="L271" s="242"/>
    </row>
    <row r="272" spans="1:12">
      <c r="A272" s="298"/>
      <c r="B272" s="227"/>
      <c r="C272" s="263"/>
      <c r="D272" s="263"/>
      <c r="E272" s="263"/>
      <c r="F272" s="263"/>
      <c r="G272" s="263"/>
      <c r="H272" s="263"/>
      <c r="I272" s="263"/>
      <c r="J272" s="242"/>
      <c r="K272" s="242"/>
      <c r="L272" s="242"/>
    </row>
    <row r="273" spans="1:12">
      <c r="A273" s="298"/>
      <c r="B273" s="227"/>
      <c r="C273" s="263"/>
      <c r="D273" s="263"/>
      <c r="E273" s="263"/>
      <c r="F273" s="263"/>
      <c r="G273" s="263"/>
      <c r="H273" s="263"/>
      <c r="I273" s="263"/>
      <c r="J273" s="242"/>
      <c r="K273" s="242"/>
      <c r="L273" s="242"/>
    </row>
    <row r="274" spans="1:12">
      <c r="A274" s="298"/>
      <c r="B274" s="227"/>
      <c r="C274" s="263"/>
      <c r="D274" s="263"/>
      <c r="E274" s="263"/>
      <c r="F274" s="263"/>
      <c r="G274" s="263"/>
      <c r="H274" s="263"/>
      <c r="I274" s="263"/>
      <c r="J274" s="242"/>
      <c r="K274" s="242"/>
      <c r="L274" s="242"/>
    </row>
    <row r="275" spans="1:12">
      <c r="A275" s="298"/>
      <c r="B275" s="227"/>
      <c r="C275" s="263"/>
      <c r="D275" s="263"/>
      <c r="E275" s="263"/>
      <c r="F275" s="263"/>
      <c r="G275" s="263"/>
      <c r="H275" s="263"/>
      <c r="I275" s="263"/>
      <c r="J275" s="242"/>
      <c r="K275" s="242"/>
      <c r="L275" s="242"/>
    </row>
    <row r="276" spans="1:12">
      <c r="A276" s="298"/>
      <c r="B276" s="227"/>
      <c r="C276" s="263"/>
      <c r="D276" s="263"/>
      <c r="E276" s="263"/>
      <c r="F276" s="263"/>
      <c r="G276" s="263"/>
      <c r="H276" s="263"/>
      <c r="I276" s="263"/>
      <c r="J276" s="242"/>
      <c r="K276" s="242"/>
      <c r="L276" s="242"/>
    </row>
    <row r="277" spans="1:12">
      <c r="A277" s="298"/>
      <c r="B277" s="227"/>
      <c r="C277" s="263"/>
      <c r="D277" s="263"/>
      <c r="E277" s="263"/>
      <c r="F277" s="263"/>
      <c r="G277" s="263"/>
      <c r="H277" s="263"/>
      <c r="I277" s="263"/>
      <c r="J277" s="242"/>
      <c r="K277" s="242"/>
      <c r="L277" s="242"/>
    </row>
    <row r="278" spans="1:12">
      <c r="A278" s="298"/>
      <c r="B278" s="227"/>
      <c r="C278" s="263"/>
      <c r="D278" s="263"/>
      <c r="E278" s="263"/>
      <c r="F278" s="263"/>
      <c r="G278" s="263"/>
      <c r="H278" s="263"/>
      <c r="I278" s="263"/>
      <c r="J278" s="242"/>
      <c r="K278" s="242"/>
      <c r="L278" s="242"/>
    </row>
    <row r="279" spans="1:12">
      <c r="A279" s="298"/>
      <c r="B279" s="227"/>
      <c r="C279" s="263"/>
      <c r="D279" s="263"/>
      <c r="E279" s="263"/>
      <c r="F279" s="263"/>
      <c r="G279" s="263"/>
      <c r="H279" s="263"/>
      <c r="I279" s="263"/>
      <c r="J279" s="242"/>
      <c r="K279" s="242"/>
      <c r="L279" s="242"/>
    </row>
    <row r="280" spans="1:12">
      <c r="A280" s="298"/>
      <c r="B280" s="227"/>
      <c r="C280" s="263"/>
      <c r="D280" s="263"/>
      <c r="E280" s="263"/>
      <c r="F280" s="263"/>
      <c r="G280" s="263"/>
      <c r="H280" s="263"/>
      <c r="I280" s="263"/>
      <c r="J280" s="242"/>
      <c r="K280" s="242"/>
      <c r="L280" s="242"/>
    </row>
    <row r="281" spans="1:12">
      <c r="A281" s="298"/>
      <c r="B281" s="227"/>
      <c r="C281" s="263"/>
      <c r="D281" s="263"/>
      <c r="E281" s="263"/>
      <c r="F281" s="263"/>
      <c r="G281" s="263"/>
      <c r="H281" s="263"/>
      <c r="I281" s="263"/>
      <c r="J281" s="242"/>
      <c r="K281" s="242"/>
      <c r="L281" s="242"/>
    </row>
    <row r="282" spans="1:12">
      <c r="A282" s="298"/>
      <c r="B282" s="227"/>
      <c r="C282" s="263"/>
      <c r="D282" s="263"/>
      <c r="E282" s="263"/>
      <c r="F282" s="263"/>
      <c r="G282" s="263"/>
      <c r="H282" s="263"/>
      <c r="I282" s="263"/>
      <c r="J282" s="242"/>
      <c r="K282" s="242"/>
      <c r="L282" s="242"/>
    </row>
    <row r="283" spans="1:12">
      <c r="A283" s="298"/>
      <c r="B283" s="227"/>
      <c r="C283" s="263"/>
      <c r="D283" s="263"/>
      <c r="E283" s="263"/>
      <c r="F283" s="263"/>
      <c r="G283" s="263"/>
      <c r="H283" s="263"/>
      <c r="I283" s="263"/>
      <c r="J283" s="242"/>
      <c r="K283" s="242"/>
      <c r="L283" s="242"/>
    </row>
    <row r="284" spans="1:12">
      <c r="A284" s="298"/>
      <c r="B284" s="227"/>
      <c r="C284" s="263"/>
      <c r="D284" s="263"/>
      <c r="E284" s="263"/>
      <c r="F284" s="263"/>
      <c r="G284" s="263"/>
      <c r="H284" s="263"/>
      <c r="I284" s="263"/>
      <c r="J284" s="242"/>
      <c r="K284" s="242"/>
      <c r="L284" s="242"/>
    </row>
    <row r="285" spans="1:12">
      <c r="A285" s="298"/>
      <c r="B285" s="227"/>
      <c r="C285" s="263"/>
      <c r="D285" s="263"/>
      <c r="E285" s="263"/>
      <c r="F285" s="263"/>
      <c r="G285" s="263"/>
      <c r="H285" s="263"/>
      <c r="I285" s="263"/>
      <c r="J285" s="242"/>
      <c r="K285" s="242"/>
      <c r="L285" s="242"/>
    </row>
    <row r="286" spans="1:12">
      <c r="A286" s="298"/>
      <c r="B286" s="227"/>
      <c r="C286" s="263"/>
      <c r="D286" s="263"/>
      <c r="E286" s="263"/>
      <c r="F286" s="263"/>
      <c r="G286" s="263"/>
      <c r="H286" s="263"/>
      <c r="I286" s="263"/>
      <c r="J286" s="242"/>
      <c r="K286" s="242"/>
      <c r="L286" s="242"/>
    </row>
    <row r="287" spans="1:12">
      <c r="A287" s="298"/>
      <c r="B287" s="227"/>
      <c r="C287" s="263"/>
      <c r="D287" s="263"/>
      <c r="E287" s="263"/>
      <c r="F287" s="263"/>
      <c r="G287" s="263"/>
      <c r="H287" s="263"/>
      <c r="I287" s="263"/>
      <c r="J287" s="242"/>
      <c r="K287" s="242"/>
      <c r="L287" s="242"/>
    </row>
    <row r="288" spans="1:12">
      <c r="A288" s="298"/>
      <c r="B288" s="227"/>
      <c r="C288" s="263"/>
      <c r="D288" s="263"/>
      <c r="E288" s="263"/>
      <c r="F288" s="263"/>
      <c r="G288" s="263"/>
      <c r="H288" s="263"/>
      <c r="I288" s="263"/>
      <c r="J288" s="242"/>
      <c r="K288" s="242"/>
      <c r="L288" s="242"/>
    </row>
    <row r="289" spans="1:12">
      <c r="A289" s="298"/>
      <c r="B289" s="227"/>
      <c r="C289" s="263"/>
      <c r="D289" s="263"/>
      <c r="E289" s="263"/>
      <c r="F289" s="263"/>
      <c r="G289" s="263"/>
      <c r="H289" s="263"/>
      <c r="I289" s="263"/>
      <c r="J289" s="242"/>
      <c r="K289" s="242"/>
      <c r="L289" s="242"/>
    </row>
    <row r="290" spans="1:12">
      <c r="A290" s="298"/>
      <c r="B290" s="227"/>
      <c r="C290" s="263"/>
      <c r="D290" s="263"/>
      <c r="E290" s="263"/>
      <c r="F290" s="263"/>
      <c r="G290" s="263"/>
      <c r="H290" s="263"/>
      <c r="I290" s="263"/>
      <c r="J290" s="242"/>
      <c r="K290" s="242"/>
      <c r="L290" s="242"/>
    </row>
    <row r="291" spans="1:12">
      <c r="A291" s="298"/>
      <c r="B291" s="227"/>
      <c r="C291" s="263"/>
      <c r="D291" s="263"/>
      <c r="E291" s="263"/>
      <c r="F291" s="263"/>
      <c r="G291" s="263"/>
      <c r="H291" s="263"/>
      <c r="I291" s="263"/>
      <c r="J291" s="242"/>
      <c r="K291" s="242"/>
      <c r="L291" s="242"/>
    </row>
    <row r="292" spans="1:12">
      <c r="A292" s="298"/>
      <c r="B292" s="227"/>
      <c r="C292" s="263"/>
      <c r="D292" s="263"/>
      <c r="E292" s="263"/>
      <c r="F292" s="263"/>
      <c r="G292" s="263"/>
      <c r="H292" s="263"/>
      <c r="I292" s="263"/>
      <c r="J292" s="242"/>
      <c r="K292" s="242"/>
      <c r="L292" s="242"/>
    </row>
    <row r="293" spans="1:12">
      <c r="A293" s="298"/>
      <c r="B293" s="227"/>
      <c r="C293" s="263"/>
      <c r="D293" s="263"/>
      <c r="E293" s="263"/>
      <c r="F293" s="263"/>
      <c r="G293" s="263"/>
      <c r="H293" s="263"/>
      <c r="I293" s="263"/>
      <c r="J293" s="242"/>
      <c r="K293" s="242"/>
      <c r="L293" s="242"/>
    </row>
    <row r="294" spans="1:12">
      <c r="A294" s="298"/>
      <c r="B294" s="227"/>
      <c r="C294" s="263"/>
      <c r="D294" s="263"/>
      <c r="E294" s="263"/>
      <c r="F294" s="263"/>
      <c r="G294" s="263"/>
      <c r="H294" s="263"/>
      <c r="I294" s="263"/>
      <c r="J294" s="242"/>
      <c r="K294" s="242"/>
      <c r="L294" s="242"/>
    </row>
    <row r="295" spans="1:12">
      <c r="A295" s="298"/>
      <c r="B295" s="227"/>
      <c r="C295" s="263"/>
      <c r="D295" s="263"/>
      <c r="E295" s="263"/>
      <c r="F295" s="263"/>
      <c r="G295" s="263"/>
      <c r="H295" s="263"/>
      <c r="I295" s="263"/>
      <c r="J295" s="242"/>
      <c r="K295" s="242"/>
      <c r="L295" s="242"/>
    </row>
    <row r="296" spans="1:12">
      <c r="A296" s="298"/>
      <c r="B296" s="227"/>
      <c r="C296" s="263"/>
      <c r="D296" s="263"/>
      <c r="E296" s="263"/>
      <c r="F296" s="263"/>
      <c r="G296" s="263"/>
      <c r="H296" s="263"/>
      <c r="I296" s="263"/>
      <c r="J296" s="242"/>
      <c r="K296" s="242"/>
      <c r="L296" s="242"/>
    </row>
    <row r="297" spans="1:12">
      <c r="A297" s="298"/>
      <c r="B297" s="227"/>
      <c r="C297" s="263"/>
      <c r="D297" s="263"/>
      <c r="E297" s="263"/>
      <c r="F297" s="263"/>
      <c r="G297" s="263"/>
      <c r="H297" s="263"/>
      <c r="I297" s="263"/>
      <c r="J297" s="242"/>
      <c r="K297" s="242"/>
      <c r="L297" s="242"/>
    </row>
    <row r="298" spans="1:12">
      <c r="A298" s="298"/>
      <c r="B298" s="227"/>
      <c r="C298" s="263"/>
      <c r="D298" s="263"/>
      <c r="E298" s="263"/>
      <c r="F298" s="263"/>
      <c r="G298" s="263"/>
      <c r="H298" s="263"/>
      <c r="I298" s="263"/>
      <c r="J298" s="242"/>
      <c r="K298" s="242"/>
      <c r="L298" s="242"/>
    </row>
    <row r="299" spans="1:12">
      <c r="A299" s="298"/>
      <c r="B299" s="227"/>
      <c r="C299" s="263"/>
      <c r="D299" s="263"/>
      <c r="E299" s="263"/>
      <c r="F299" s="263"/>
      <c r="G299" s="263"/>
      <c r="H299" s="263"/>
      <c r="I299" s="263"/>
      <c r="J299" s="242"/>
      <c r="K299" s="242"/>
      <c r="L299" s="242"/>
    </row>
    <row r="300" spans="1:12">
      <c r="A300" s="298"/>
      <c r="B300" s="227"/>
      <c r="C300" s="263"/>
      <c r="D300" s="263"/>
      <c r="E300" s="263"/>
      <c r="F300" s="263"/>
      <c r="G300" s="263"/>
      <c r="H300" s="263"/>
      <c r="I300" s="263"/>
      <c r="J300" s="242"/>
      <c r="K300" s="242"/>
      <c r="L300" s="242"/>
    </row>
    <row r="301" spans="1:12">
      <c r="A301" s="298"/>
      <c r="B301" s="227"/>
      <c r="C301" s="263"/>
      <c r="D301" s="263"/>
      <c r="E301" s="263"/>
      <c r="F301" s="263"/>
      <c r="G301" s="263"/>
      <c r="H301" s="263"/>
      <c r="I301" s="263"/>
      <c r="J301" s="242"/>
      <c r="K301" s="242"/>
      <c r="L301" s="242"/>
    </row>
    <row r="302" spans="1:12">
      <c r="A302" s="298"/>
      <c r="B302" s="227"/>
      <c r="C302" s="263"/>
      <c r="D302" s="263"/>
      <c r="E302" s="263"/>
      <c r="F302" s="263"/>
      <c r="G302" s="263"/>
      <c r="H302" s="263"/>
      <c r="I302" s="263"/>
      <c r="J302" s="242"/>
      <c r="K302" s="242"/>
      <c r="L302" s="242"/>
    </row>
    <row r="303" spans="1:12">
      <c r="A303" s="298"/>
      <c r="B303" s="227"/>
      <c r="C303" s="263"/>
      <c r="D303" s="263"/>
      <c r="E303" s="263"/>
      <c r="F303" s="263"/>
      <c r="G303" s="263"/>
      <c r="H303" s="263"/>
      <c r="I303" s="263"/>
      <c r="J303" s="242"/>
      <c r="K303" s="242"/>
      <c r="L303" s="242"/>
    </row>
    <row r="304" spans="1:12">
      <c r="A304" s="298"/>
      <c r="B304" s="227"/>
      <c r="C304" s="263"/>
      <c r="D304" s="263"/>
      <c r="E304" s="263"/>
      <c r="F304" s="263"/>
      <c r="G304" s="263"/>
      <c r="H304" s="263"/>
      <c r="I304" s="263"/>
      <c r="J304" s="242"/>
      <c r="K304" s="242"/>
      <c r="L304" s="242"/>
    </row>
    <row r="305" spans="1:12">
      <c r="A305" s="298"/>
      <c r="B305" s="227"/>
      <c r="C305" s="263"/>
      <c r="D305" s="263"/>
      <c r="E305" s="263"/>
      <c r="F305" s="263"/>
      <c r="G305" s="263"/>
      <c r="H305" s="263"/>
      <c r="I305" s="263"/>
      <c r="J305" s="242"/>
      <c r="K305" s="242"/>
      <c r="L305" s="242"/>
    </row>
    <row r="306" spans="1:12">
      <c r="A306" s="298"/>
      <c r="B306" s="227"/>
      <c r="C306" s="263"/>
      <c r="D306" s="263"/>
      <c r="E306" s="263"/>
      <c r="F306" s="263"/>
      <c r="G306" s="263"/>
      <c r="H306" s="263"/>
      <c r="I306" s="263"/>
      <c r="J306" s="242"/>
      <c r="K306" s="242"/>
      <c r="L306" s="242"/>
    </row>
    <row r="307" spans="1:12">
      <c r="A307" s="298"/>
      <c r="B307" s="227"/>
      <c r="C307" s="263"/>
      <c r="D307" s="263"/>
      <c r="E307" s="263"/>
      <c r="F307" s="263"/>
      <c r="G307" s="263"/>
      <c r="H307" s="263"/>
      <c r="I307" s="263"/>
      <c r="J307" s="242"/>
      <c r="K307" s="242"/>
      <c r="L307" s="242"/>
    </row>
    <row r="308" spans="1:12">
      <c r="A308" s="298"/>
      <c r="B308" s="227"/>
      <c r="C308" s="263"/>
      <c r="D308" s="263"/>
      <c r="E308" s="263"/>
      <c r="F308" s="263"/>
      <c r="G308" s="263"/>
      <c r="H308" s="263"/>
      <c r="I308" s="263"/>
      <c r="J308" s="242"/>
      <c r="K308" s="242"/>
      <c r="L308" s="242"/>
    </row>
    <row r="309" spans="1:12">
      <c r="A309" s="298"/>
      <c r="B309" s="227"/>
      <c r="C309" s="263"/>
      <c r="D309" s="263"/>
      <c r="E309" s="263"/>
      <c r="F309" s="263"/>
      <c r="G309" s="263"/>
      <c r="H309" s="263"/>
      <c r="I309" s="263"/>
      <c r="J309" s="242"/>
      <c r="K309" s="242"/>
      <c r="L309" s="242"/>
    </row>
    <row r="310" spans="1:12">
      <c r="A310" s="298"/>
      <c r="B310" s="227"/>
      <c r="C310" s="263"/>
      <c r="D310" s="263"/>
      <c r="E310" s="263"/>
      <c r="F310" s="263"/>
      <c r="G310" s="263"/>
      <c r="H310" s="263"/>
      <c r="I310" s="263"/>
      <c r="J310" s="242"/>
      <c r="K310" s="242"/>
      <c r="L310" s="242"/>
    </row>
    <row r="311" spans="1:12">
      <c r="A311" s="298"/>
      <c r="B311" s="227"/>
      <c r="C311" s="263"/>
      <c r="D311" s="263"/>
      <c r="E311" s="263"/>
      <c r="F311" s="263"/>
      <c r="G311" s="263"/>
      <c r="H311" s="263"/>
      <c r="I311" s="263"/>
      <c r="J311" s="242"/>
      <c r="K311" s="242"/>
      <c r="L311" s="242"/>
    </row>
    <row r="312" spans="1:12">
      <c r="A312" s="298"/>
      <c r="B312" s="227"/>
      <c r="C312" s="263"/>
      <c r="D312" s="263"/>
      <c r="E312" s="263"/>
      <c r="F312" s="263"/>
      <c r="G312" s="263"/>
      <c r="H312" s="263"/>
      <c r="I312" s="263"/>
      <c r="J312" s="242"/>
      <c r="K312" s="242"/>
      <c r="L312" s="242"/>
    </row>
    <row r="313" spans="1:12">
      <c r="A313" s="298"/>
      <c r="B313" s="227"/>
      <c r="C313" s="263"/>
      <c r="D313" s="263"/>
      <c r="E313" s="263"/>
      <c r="F313" s="263"/>
      <c r="G313" s="263"/>
      <c r="H313" s="263"/>
      <c r="I313" s="263"/>
      <c r="J313" s="242"/>
      <c r="K313" s="242"/>
      <c r="L313" s="242"/>
    </row>
    <row r="314" spans="1:12">
      <c r="A314" s="298"/>
      <c r="B314" s="227"/>
      <c r="C314" s="263"/>
      <c r="D314" s="263"/>
      <c r="E314" s="263"/>
      <c r="F314" s="263"/>
      <c r="G314" s="263"/>
      <c r="H314" s="263"/>
      <c r="I314" s="263"/>
      <c r="J314" s="242"/>
      <c r="K314" s="242"/>
      <c r="L314" s="242"/>
    </row>
    <row r="315" spans="1:12">
      <c r="A315" s="298"/>
      <c r="B315" s="227"/>
      <c r="C315" s="263"/>
      <c r="D315" s="263"/>
      <c r="E315" s="263"/>
      <c r="F315" s="263"/>
      <c r="G315" s="263"/>
      <c r="H315" s="263"/>
      <c r="I315" s="263"/>
      <c r="J315" s="242"/>
      <c r="K315" s="242"/>
      <c r="L315" s="242"/>
    </row>
    <row r="316" spans="1:12">
      <c r="A316" s="298"/>
      <c r="B316" s="227"/>
      <c r="C316" s="263"/>
      <c r="D316" s="263"/>
      <c r="E316" s="263"/>
      <c r="F316" s="263"/>
      <c r="G316" s="263"/>
      <c r="H316" s="263"/>
      <c r="I316" s="263"/>
      <c r="J316" s="242"/>
      <c r="K316" s="242"/>
      <c r="L316" s="242"/>
    </row>
    <row r="317" spans="1:12">
      <c r="A317" s="298"/>
      <c r="B317" s="227"/>
      <c r="C317" s="263"/>
      <c r="D317" s="263"/>
      <c r="E317" s="263"/>
      <c r="F317" s="263"/>
      <c r="G317" s="263"/>
      <c r="H317" s="263"/>
      <c r="I317" s="263"/>
      <c r="J317" s="242"/>
      <c r="K317" s="242"/>
      <c r="L317" s="242"/>
    </row>
    <row r="318" spans="1:12">
      <c r="A318" s="298"/>
      <c r="B318" s="227"/>
      <c r="C318" s="263"/>
      <c r="D318" s="263"/>
      <c r="E318" s="263"/>
      <c r="F318" s="263"/>
      <c r="G318" s="263"/>
      <c r="H318" s="263"/>
      <c r="I318" s="263"/>
      <c r="J318" s="242"/>
      <c r="K318" s="242"/>
      <c r="L318" s="242"/>
    </row>
    <row r="319" spans="1:12">
      <c r="A319" s="298"/>
      <c r="B319" s="227"/>
      <c r="C319" s="263"/>
      <c r="D319" s="263"/>
      <c r="E319" s="263"/>
      <c r="F319" s="263"/>
      <c r="G319" s="263"/>
      <c r="H319" s="263"/>
      <c r="I319" s="263"/>
      <c r="J319" s="242"/>
      <c r="K319" s="242"/>
      <c r="L319" s="242"/>
    </row>
    <row r="320" spans="1:12">
      <c r="A320" s="298"/>
      <c r="B320" s="227"/>
      <c r="C320" s="263"/>
      <c r="D320" s="263"/>
      <c r="E320" s="263"/>
      <c r="F320" s="263"/>
      <c r="G320" s="263"/>
      <c r="H320" s="263"/>
      <c r="I320" s="263"/>
      <c r="J320" s="242"/>
      <c r="K320" s="242"/>
      <c r="L320" s="242"/>
    </row>
    <row r="321" spans="1:12">
      <c r="A321" s="298"/>
      <c r="B321" s="227"/>
      <c r="C321" s="263"/>
      <c r="D321" s="263"/>
      <c r="E321" s="263"/>
      <c r="F321" s="263"/>
      <c r="G321" s="263"/>
      <c r="H321" s="263"/>
      <c r="I321" s="263"/>
      <c r="J321" s="242"/>
      <c r="K321" s="242"/>
      <c r="L321" s="242"/>
    </row>
    <row r="322" spans="1:12">
      <c r="A322" s="298"/>
      <c r="B322" s="227"/>
      <c r="C322" s="263"/>
      <c r="D322" s="263"/>
      <c r="E322" s="263"/>
      <c r="F322" s="263"/>
      <c r="G322" s="263"/>
      <c r="H322" s="263"/>
      <c r="I322" s="263"/>
      <c r="J322" s="242"/>
      <c r="K322" s="242"/>
      <c r="L322" s="242"/>
    </row>
    <row r="323" spans="1:12">
      <c r="A323" s="298"/>
      <c r="B323" s="227"/>
      <c r="C323" s="263"/>
      <c r="D323" s="263"/>
      <c r="E323" s="263"/>
      <c r="F323" s="263"/>
      <c r="G323" s="263"/>
      <c r="H323" s="263"/>
      <c r="I323" s="263"/>
      <c r="J323" s="242"/>
      <c r="K323" s="242"/>
      <c r="L323" s="242"/>
    </row>
    <row r="324" spans="1:12">
      <c r="A324" s="298"/>
      <c r="B324" s="227"/>
      <c r="C324" s="263"/>
      <c r="D324" s="263"/>
      <c r="E324" s="263"/>
      <c r="F324" s="263"/>
      <c r="G324" s="263"/>
      <c r="H324" s="263"/>
      <c r="I324" s="263"/>
      <c r="J324" s="242"/>
      <c r="K324" s="242"/>
      <c r="L324" s="242"/>
    </row>
    <row r="325" spans="1:12">
      <c r="A325" s="298"/>
      <c r="B325" s="227"/>
      <c r="C325" s="263"/>
      <c r="D325" s="263"/>
      <c r="E325" s="263"/>
      <c r="F325" s="263"/>
      <c r="G325" s="263"/>
      <c r="H325" s="263"/>
      <c r="I325" s="263"/>
      <c r="J325" s="242"/>
      <c r="K325" s="242"/>
      <c r="L325" s="242"/>
    </row>
    <row r="326" spans="1:12">
      <c r="A326" s="298"/>
      <c r="B326" s="227"/>
      <c r="C326" s="263"/>
      <c r="D326" s="263"/>
      <c r="E326" s="263"/>
      <c r="F326" s="263"/>
      <c r="G326" s="263"/>
      <c r="H326" s="263"/>
      <c r="I326" s="263"/>
      <c r="J326" s="242"/>
      <c r="K326" s="242"/>
      <c r="L326" s="242"/>
    </row>
    <row r="327" spans="1:12">
      <c r="A327" s="298"/>
      <c r="B327" s="227"/>
      <c r="C327" s="263"/>
      <c r="D327" s="263"/>
      <c r="E327" s="263"/>
      <c r="F327" s="263"/>
      <c r="G327" s="263"/>
      <c r="H327" s="263"/>
      <c r="I327" s="263"/>
      <c r="J327" s="242"/>
      <c r="K327" s="242"/>
      <c r="L327" s="242"/>
    </row>
    <row r="328" spans="1:12">
      <c r="A328" s="298"/>
      <c r="B328" s="227"/>
      <c r="C328" s="263"/>
      <c r="D328" s="263"/>
      <c r="E328" s="263"/>
      <c r="F328" s="263"/>
      <c r="G328" s="263"/>
      <c r="H328" s="263"/>
      <c r="I328" s="263"/>
      <c r="J328" s="242"/>
      <c r="K328" s="242"/>
      <c r="L328" s="242"/>
    </row>
    <row r="329" spans="1:12">
      <c r="A329" s="298"/>
      <c r="B329" s="227"/>
      <c r="C329" s="263"/>
      <c r="D329" s="263"/>
      <c r="E329" s="263"/>
      <c r="F329" s="263"/>
      <c r="G329" s="263"/>
      <c r="H329" s="263"/>
      <c r="I329" s="263"/>
      <c r="J329" s="242"/>
      <c r="K329" s="242"/>
      <c r="L329" s="242"/>
    </row>
    <row r="330" spans="1:12">
      <c r="A330" s="298"/>
      <c r="B330" s="227"/>
      <c r="C330" s="263"/>
      <c r="D330" s="263"/>
      <c r="E330" s="263"/>
      <c r="F330" s="263"/>
      <c r="G330" s="263"/>
      <c r="H330" s="263"/>
      <c r="I330" s="263"/>
      <c r="J330" s="242"/>
      <c r="K330" s="242"/>
      <c r="L330" s="242"/>
    </row>
    <row r="331" spans="1:12">
      <c r="A331" s="298"/>
      <c r="B331" s="227"/>
      <c r="C331" s="263"/>
      <c r="D331" s="263"/>
      <c r="E331" s="263"/>
      <c r="F331" s="263"/>
      <c r="G331" s="263"/>
      <c r="H331" s="263"/>
      <c r="I331" s="263"/>
      <c r="J331" s="242"/>
      <c r="K331" s="242"/>
      <c r="L331" s="242"/>
    </row>
    <row r="332" spans="1:12">
      <c r="A332" s="298"/>
      <c r="B332" s="227"/>
      <c r="C332" s="263"/>
      <c r="D332" s="263"/>
      <c r="E332" s="263"/>
      <c r="F332" s="263"/>
      <c r="G332" s="263"/>
      <c r="H332" s="263"/>
      <c r="I332" s="263"/>
      <c r="J332" s="242"/>
      <c r="K332" s="242"/>
      <c r="L332" s="242"/>
    </row>
    <row r="333" spans="1:12">
      <c r="A333" s="298"/>
      <c r="B333" s="227"/>
      <c r="C333" s="263"/>
      <c r="D333" s="263"/>
      <c r="E333" s="263"/>
      <c r="F333" s="263"/>
      <c r="G333" s="263"/>
      <c r="H333" s="263"/>
      <c r="I333" s="263"/>
      <c r="J333" s="242"/>
      <c r="K333" s="242"/>
      <c r="L333" s="242"/>
    </row>
    <row r="334" spans="1:12">
      <c r="A334" s="298"/>
      <c r="B334" s="227"/>
      <c r="C334" s="263"/>
      <c r="D334" s="263"/>
      <c r="E334" s="263"/>
      <c r="F334" s="263"/>
      <c r="G334" s="263"/>
      <c r="H334" s="263"/>
      <c r="I334" s="263"/>
      <c r="J334" s="242"/>
      <c r="K334" s="242"/>
      <c r="L334" s="242"/>
    </row>
    <row r="335" spans="1:12">
      <c r="A335" s="298"/>
      <c r="B335" s="227"/>
      <c r="C335" s="263"/>
      <c r="D335" s="263"/>
      <c r="E335" s="263"/>
      <c r="F335" s="263"/>
      <c r="G335" s="263"/>
      <c r="H335" s="263"/>
      <c r="I335" s="263"/>
      <c r="J335" s="242"/>
      <c r="K335" s="242"/>
      <c r="L335" s="242"/>
    </row>
    <row r="336" spans="1:12">
      <c r="A336" s="298"/>
      <c r="B336" s="227"/>
      <c r="C336" s="263"/>
      <c r="D336" s="263"/>
      <c r="E336" s="263"/>
      <c r="F336" s="263"/>
      <c r="G336" s="263"/>
      <c r="H336" s="263"/>
      <c r="I336" s="263"/>
      <c r="J336" s="242"/>
      <c r="K336" s="242"/>
      <c r="L336" s="242"/>
    </row>
    <row r="337" spans="1:12">
      <c r="A337" s="298"/>
      <c r="B337" s="227"/>
      <c r="C337" s="263"/>
      <c r="D337" s="263"/>
      <c r="E337" s="263"/>
      <c r="F337" s="263"/>
      <c r="G337" s="263"/>
      <c r="H337" s="263"/>
      <c r="I337" s="263"/>
      <c r="J337" s="242"/>
      <c r="K337" s="242"/>
      <c r="L337" s="242"/>
    </row>
    <row r="338" spans="1:12">
      <c r="A338" s="298"/>
      <c r="B338" s="227"/>
      <c r="C338" s="263"/>
      <c r="D338" s="263"/>
      <c r="E338" s="263"/>
      <c r="F338" s="263"/>
      <c r="G338" s="263"/>
      <c r="H338" s="263"/>
      <c r="I338" s="263"/>
      <c r="J338" s="242"/>
      <c r="K338" s="242"/>
      <c r="L338" s="242"/>
    </row>
    <row r="339" spans="1:12">
      <c r="A339" s="298"/>
      <c r="B339" s="227"/>
      <c r="C339" s="263"/>
      <c r="D339" s="263"/>
      <c r="E339" s="263"/>
      <c r="F339" s="263"/>
      <c r="G339" s="263"/>
      <c r="H339" s="263"/>
      <c r="I339" s="263"/>
      <c r="J339" s="242"/>
      <c r="K339" s="242"/>
      <c r="L339" s="242"/>
    </row>
    <row r="340" spans="1:12">
      <c r="A340" s="298"/>
      <c r="B340" s="227"/>
      <c r="C340" s="263"/>
      <c r="D340" s="263"/>
      <c r="E340" s="263"/>
      <c r="F340" s="263"/>
      <c r="G340" s="263"/>
      <c r="H340" s="263"/>
      <c r="I340" s="263"/>
      <c r="J340" s="242"/>
      <c r="K340" s="242"/>
      <c r="L340" s="242"/>
    </row>
    <row r="341" spans="1:12">
      <c r="A341" s="298"/>
      <c r="B341" s="227"/>
      <c r="C341" s="263"/>
      <c r="D341" s="263"/>
      <c r="E341" s="263"/>
      <c r="F341" s="263"/>
      <c r="G341" s="263"/>
      <c r="H341" s="263"/>
      <c r="I341" s="263"/>
      <c r="J341" s="242"/>
      <c r="K341" s="242"/>
      <c r="L341" s="242"/>
    </row>
    <row r="342" spans="1:12">
      <c r="A342" s="298"/>
      <c r="B342" s="227"/>
      <c r="C342" s="263"/>
      <c r="D342" s="263"/>
      <c r="E342" s="263"/>
      <c r="F342" s="263"/>
      <c r="G342" s="263"/>
      <c r="H342" s="263"/>
      <c r="I342" s="263"/>
      <c r="J342" s="242"/>
      <c r="K342" s="242"/>
      <c r="L342" s="242"/>
    </row>
    <row r="343" spans="1:12">
      <c r="A343" s="298"/>
      <c r="B343" s="227"/>
      <c r="C343" s="263"/>
      <c r="D343" s="263"/>
      <c r="E343" s="263"/>
      <c r="F343" s="263"/>
      <c r="G343" s="263"/>
      <c r="H343" s="263"/>
      <c r="I343" s="263"/>
      <c r="J343" s="242"/>
      <c r="K343" s="242"/>
      <c r="L343" s="242"/>
    </row>
    <row r="344" spans="1:12">
      <c r="A344" s="298"/>
      <c r="B344" s="227"/>
      <c r="C344" s="263"/>
      <c r="D344" s="263"/>
      <c r="E344" s="263"/>
      <c r="F344" s="263"/>
      <c r="G344" s="263"/>
      <c r="H344" s="263"/>
      <c r="I344" s="263"/>
      <c r="J344" s="242"/>
      <c r="K344" s="242"/>
      <c r="L344" s="242"/>
    </row>
    <row r="345" spans="1:12">
      <c r="A345" s="298"/>
      <c r="B345" s="227"/>
      <c r="C345" s="263"/>
      <c r="D345" s="263"/>
      <c r="E345" s="263"/>
      <c r="F345" s="263"/>
      <c r="G345" s="263"/>
      <c r="H345" s="263"/>
      <c r="I345" s="263"/>
      <c r="J345" s="242"/>
      <c r="K345" s="242"/>
      <c r="L345" s="242"/>
    </row>
    <row r="346" spans="1:12">
      <c r="A346" s="298"/>
      <c r="B346" s="227"/>
      <c r="C346" s="263"/>
      <c r="D346" s="263"/>
      <c r="E346" s="263"/>
      <c r="F346" s="263"/>
      <c r="G346" s="263"/>
      <c r="H346" s="263"/>
      <c r="I346" s="263"/>
      <c r="J346" s="242"/>
      <c r="K346" s="242"/>
      <c r="L346" s="242"/>
    </row>
    <row r="347" spans="1:12">
      <c r="A347" s="298"/>
      <c r="B347" s="227"/>
      <c r="C347" s="263"/>
      <c r="D347" s="263"/>
      <c r="E347" s="263"/>
      <c r="F347" s="263"/>
      <c r="G347" s="263"/>
      <c r="H347" s="263"/>
      <c r="I347" s="263"/>
      <c r="J347" s="242"/>
      <c r="K347" s="242"/>
      <c r="L347" s="242"/>
    </row>
    <row r="348" spans="1:12">
      <c r="A348" s="298"/>
      <c r="B348" s="227"/>
      <c r="C348" s="263"/>
      <c r="D348" s="263"/>
      <c r="E348" s="263"/>
      <c r="F348" s="263"/>
      <c r="G348" s="263"/>
      <c r="H348" s="263"/>
      <c r="I348" s="263"/>
      <c r="J348" s="242"/>
      <c r="K348" s="242"/>
      <c r="L348" s="242"/>
    </row>
    <row r="349" spans="1:12">
      <c r="A349" s="298"/>
      <c r="B349" s="227"/>
      <c r="C349" s="263"/>
      <c r="D349" s="263"/>
      <c r="E349" s="263"/>
      <c r="F349" s="263"/>
      <c r="G349" s="263"/>
      <c r="H349" s="263"/>
      <c r="I349" s="263"/>
      <c r="J349" s="242"/>
      <c r="K349" s="242"/>
      <c r="L349" s="242"/>
    </row>
    <row r="350" spans="1:12">
      <c r="A350" s="298"/>
      <c r="B350" s="227"/>
      <c r="C350" s="263"/>
      <c r="D350" s="263"/>
      <c r="E350" s="263"/>
      <c r="F350" s="263"/>
      <c r="G350" s="263"/>
      <c r="H350" s="263"/>
      <c r="I350" s="263"/>
      <c r="J350" s="242"/>
      <c r="K350" s="242"/>
      <c r="L350" s="242"/>
    </row>
    <row r="351" spans="1:12">
      <c r="A351" s="298"/>
      <c r="B351" s="227"/>
      <c r="C351" s="263"/>
      <c r="D351" s="263"/>
      <c r="E351" s="263"/>
      <c r="F351" s="263"/>
      <c r="G351" s="263"/>
      <c r="H351" s="263"/>
      <c r="I351" s="263"/>
      <c r="J351" s="242"/>
      <c r="K351" s="242"/>
      <c r="L351" s="242"/>
    </row>
    <row r="352" spans="1:12">
      <c r="A352" s="298"/>
      <c r="B352" s="227"/>
      <c r="C352" s="263"/>
      <c r="D352" s="263"/>
      <c r="E352" s="263"/>
      <c r="F352" s="263"/>
      <c r="G352" s="263"/>
      <c r="H352" s="263"/>
      <c r="I352" s="263"/>
      <c r="J352" s="242"/>
      <c r="K352" s="242"/>
      <c r="L352" s="242"/>
    </row>
    <row r="353" spans="1:12">
      <c r="A353" s="298"/>
      <c r="B353" s="227"/>
      <c r="C353" s="263"/>
      <c r="D353" s="263"/>
      <c r="E353" s="263"/>
      <c r="F353" s="263"/>
      <c r="G353" s="263"/>
      <c r="H353" s="263"/>
      <c r="I353" s="263"/>
      <c r="J353" s="242"/>
      <c r="K353" s="242"/>
      <c r="L353" s="242"/>
    </row>
    <row r="354" spans="1:12">
      <c r="A354" s="298"/>
      <c r="B354" s="227"/>
      <c r="C354" s="263"/>
      <c r="D354" s="263"/>
      <c r="E354" s="263"/>
      <c r="F354" s="263"/>
      <c r="G354" s="263"/>
      <c r="H354" s="263"/>
      <c r="I354" s="263"/>
      <c r="J354" s="242"/>
      <c r="K354" s="242"/>
      <c r="L354" s="242"/>
    </row>
    <row r="355" spans="1:12">
      <c r="A355" s="298"/>
      <c r="B355" s="227"/>
      <c r="C355" s="263"/>
      <c r="D355" s="263"/>
      <c r="E355" s="263"/>
      <c r="F355" s="263"/>
      <c r="G355" s="263"/>
      <c r="H355" s="263"/>
      <c r="I355" s="263"/>
      <c r="J355" s="242"/>
      <c r="K355" s="242"/>
      <c r="L355" s="242"/>
    </row>
    <row r="356" spans="1:12">
      <c r="A356" s="298"/>
      <c r="B356" s="227"/>
      <c r="C356" s="263"/>
      <c r="D356" s="263"/>
      <c r="E356" s="263"/>
      <c r="F356" s="263"/>
      <c r="G356" s="263"/>
      <c r="H356" s="263"/>
      <c r="I356" s="263"/>
      <c r="J356" s="242"/>
      <c r="K356" s="242"/>
      <c r="L356" s="242"/>
    </row>
    <row r="357" spans="1:12">
      <c r="A357" s="298"/>
      <c r="B357" s="227"/>
      <c r="C357" s="263"/>
      <c r="D357" s="263"/>
      <c r="E357" s="263"/>
      <c r="F357" s="263"/>
      <c r="G357" s="263"/>
      <c r="H357" s="263"/>
      <c r="I357" s="263"/>
      <c r="J357" s="242"/>
      <c r="K357" s="242"/>
      <c r="L357" s="242"/>
    </row>
    <row r="358" spans="1:12">
      <c r="A358" s="298"/>
      <c r="B358" s="227"/>
      <c r="C358" s="263"/>
      <c r="D358" s="263"/>
      <c r="E358" s="263"/>
      <c r="F358" s="263"/>
      <c r="G358" s="263"/>
      <c r="H358" s="263"/>
      <c r="I358" s="263"/>
      <c r="J358" s="242"/>
      <c r="K358" s="242"/>
      <c r="L358" s="242"/>
    </row>
    <row r="359" spans="1:12">
      <c r="A359" s="298"/>
      <c r="B359" s="227"/>
      <c r="C359" s="263"/>
      <c r="D359" s="263"/>
      <c r="E359" s="263"/>
      <c r="F359" s="263"/>
      <c r="G359" s="263"/>
      <c r="H359" s="263"/>
      <c r="I359" s="263"/>
      <c r="J359" s="242"/>
      <c r="K359" s="242"/>
      <c r="L359" s="242"/>
    </row>
    <row r="360" spans="1:12">
      <c r="A360" s="298"/>
      <c r="B360" s="227"/>
      <c r="C360" s="263"/>
      <c r="D360" s="263"/>
      <c r="E360" s="263"/>
      <c r="F360" s="263"/>
      <c r="G360" s="263"/>
      <c r="H360" s="263"/>
      <c r="I360" s="263"/>
      <c r="J360" s="242"/>
      <c r="K360" s="242"/>
      <c r="L360" s="242"/>
    </row>
    <row r="361" spans="1:12">
      <c r="A361" s="298"/>
      <c r="B361" s="227"/>
      <c r="C361" s="263"/>
      <c r="D361" s="263"/>
      <c r="E361" s="263"/>
      <c r="F361" s="263"/>
      <c r="G361" s="263"/>
      <c r="H361" s="263"/>
      <c r="I361" s="263"/>
      <c r="J361" s="242"/>
      <c r="K361" s="242"/>
      <c r="L361" s="242"/>
    </row>
    <row r="362" spans="1:12">
      <c r="A362" s="298"/>
      <c r="B362" s="227"/>
      <c r="C362" s="263"/>
      <c r="D362" s="263"/>
      <c r="E362" s="263"/>
      <c r="F362" s="263"/>
      <c r="G362" s="263"/>
      <c r="H362" s="263"/>
      <c r="I362" s="263"/>
      <c r="J362" s="242"/>
      <c r="K362" s="242"/>
      <c r="L362" s="242"/>
    </row>
    <row r="363" spans="1:12">
      <c r="A363" s="298"/>
      <c r="B363" s="227"/>
      <c r="C363" s="263"/>
      <c r="D363" s="263"/>
      <c r="E363" s="263"/>
      <c r="F363" s="263"/>
      <c r="G363" s="263"/>
      <c r="H363" s="263"/>
      <c r="I363" s="263"/>
      <c r="J363" s="242"/>
      <c r="K363" s="242"/>
      <c r="L363" s="242"/>
    </row>
    <row r="364" spans="1:12">
      <c r="A364" s="298"/>
      <c r="B364" s="227"/>
      <c r="C364" s="263"/>
      <c r="D364" s="263"/>
      <c r="E364" s="263"/>
      <c r="F364" s="263"/>
      <c r="G364" s="263"/>
      <c r="H364" s="263"/>
      <c r="I364" s="263"/>
      <c r="J364" s="242"/>
      <c r="K364" s="242"/>
      <c r="L364" s="242"/>
    </row>
    <row r="365" spans="1:12">
      <c r="A365" s="298"/>
      <c r="B365" s="227"/>
      <c r="C365" s="263"/>
      <c r="D365" s="263"/>
      <c r="E365" s="263"/>
      <c r="F365" s="263"/>
      <c r="G365" s="263"/>
      <c r="H365" s="263"/>
      <c r="I365" s="263"/>
      <c r="J365" s="242"/>
      <c r="K365" s="242"/>
      <c r="L365" s="242"/>
    </row>
    <row r="366" spans="1:12">
      <c r="A366" s="298"/>
      <c r="B366" s="227"/>
      <c r="C366" s="263"/>
      <c r="D366" s="263"/>
      <c r="E366" s="263"/>
      <c r="F366" s="263"/>
      <c r="G366" s="263"/>
      <c r="H366" s="263"/>
      <c r="I366" s="263"/>
      <c r="J366" s="242"/>
      <c r="K366" s="242"/>
      <c r="L366" s="242"/>
    </row>
    <row r="367" spans="1:12">
      <c r="A367" s="298"/>
      <c r="B367" s="227"/>
      <c r="C367" s="263"/>
      <c r="D367" s="263"/>
      <c r="E367" s="263"/>
      <c r="F367" s="263"/>
      <c r="G367" s="263"/>
      <c r="H367" s="263"/>
      <c r="I367" s="263"/>
      <c r="J367" s="242"/>
      <c r="K367" s="242"/>
      <c r="L367" s="242"/>
    </row>
    <row r="368" spans="1:12">
      <c r="A368" s="298"/>
      <c r="B368" s="227"/>
      <c r="C368" s="263"/>
      <c r="D368" s="263"/>
      <c r="E368" s="263"/>
      <c r="F368" s="263"/>
      <c r="G368" s="263"/>
      <c r="H368" s="263"/>
      <c r="I368" s="263"/>
      <c r="J368" s="242"/>
      <c r="K368" s="242"/>
      <c r="L368" s="242"/>
    </row>
    <row r="369" spans="1:12">
      <c r="A369" s="298"/>
      <c r="B369" s="227"/>
      <c r="C369" s="263"/>
      <c r="D369" s="263"/>
      <c r="E369" s="263"/>
      <c r="F369" s="263"/>
      <c r="G369" s="263"/>
      <c r="H369" s="263"/>
      <c r="I369" s="263"/>
      <c r="J369" s="242"/>
      <c r="K369" s="242"/>
      <c r="L369" s="242"/>
    </row>
    <row r="370" spans="1:12">
      <c r="A370" s="298"/>
      <c r="B370" s="227"/>
      <c r="C370" s="263"/>
      <c r="D370" s="263"/>
      <c r="E370" s="263"/>
      <c r="F370" s="263"/>
      <c r="G370" s="263"/>
      <c r="H370" s="263"/>
      <c r="I370" s="263"/>
      <c r="J370" s="242"/>
      <c r="K370" s="242"/>
      <c r="L370" s="242"/>
    </row>
    <row r="371" spans="1:12">
      <c r="A371" s="298"/>
      <c r="B371" s="227"/>
      <c r="C371" s="263"/>
      <c r="D371" s="263"/>
      <c r="E371" s="263"/>
      <c r="F371" s="263"/>
      <c r="G371" s="263"/>
      <c r="H371" s="263"/>
      <c r="I371" s="263"/>
      <c r="J371" s="242"/>
      <c r="K371" s="242"/>
      <c r="L371" s="242"/>
    </row>
    <row r="372" spans="1:12">
      <c r="A372" s="298"/>
      <c r="B372" s="227"/>
      <c r="C372" s="263"/>
      <c r="D372" s="263"/>
      <c r="E372" s="263"/>
      <c r="F372" s="263"/>
      <c r="G372" s="263"/>
      <c r="H372" s="263"/>
      <c r="I372" s="263"/>
      <c r="J372" s="242"/>
      <c r="K372" s="242"/>
      <c r="L372" s="242"/>
    </row>
    <row r="373" spans="1:12">
      <c r="A373" s="298"/>
      <c r="B373" s="227"/>
      <c r="C373" s="263"/>
      <c r="D373" s="263"/>
      <c r="E373" s="263"/>
      <c r="F373" s="263"/>
      <c r="G373" s="263"/>
      <c r="H373" s="263"/>
      <c r="I373" s="263"/>
      <c r="J373" s="242"/>
      <c r="K373" s="242"/>
      <c r="L373" s="242"/>
    </row>
    <row r="374" spans="1:12">
      <c r="A374" s="298"/>
      <c r="B374" s="227"/>
      <c r="C374" s="263"/>
      <c r="D374" s="263"/>
      <c r="E374" s="263"/>
      <c r="F374" s="263"/>
      <c r="G374" s="263"/>
      <c r="H374" s="263"/>
      <c r="I374" s="263"/>
      <c r="J374" s="242"/>
      <c r="K374" s="242"/>
      <c r="L374" s="242"/>
    </row>
    <row r="375" spans="1:12">
      <c r="A375" s="298"/>
      <c r="B375" s="227"/>
      <c r="C375" s="263"/>
      <c r="D375" s="263"/>
      <c r="E375" s="263"/>
      <c r="F375" s="263"/>
      <c r="G375" s="263"/>
      <c r="H375" s="263"/>
      <c r="I375" s="263"/>
      <c r="J375" s="242"/>
      <c r="K375" s="242"/>
      <c r="L375" s="242"/>
    </row>
    <row r="376" spans="1:12">
      <c r="A376" s="298"/>
      <c r="B376" s="227"/>
      <c r="C376" s="263"/>
      <c r="D376" s="263"/>
      <c r="E376" s="263"/>
      <c r="F376" s="263"/>
      <c r="G376" s="263"/>
      <c r="H376" s="263"/>
      <c r="I376" s="263"/>
      <c r="J376" s="242"/>
      <c r="K376" s="242"/>
      <c r="L376" s="242"/>
    </row>
    <row r="377" spans="1:12">
      <c r="A377" s="298"/>
      <c r="B377" s="227"/>
      <c r="C377" s="263"/>
      <c r="D377" s="263"/>
      <c r="E377" s="263"/>
      <c r="F377" s="263"/>
      <c r="G377" s="263"/>
      <c r="H377" s="263"/>
      <c r="I377" s="263"/>
      <c r="J377" s="242"/>
      <c r="K377" s="242"/>
      <c r="L377" s="242"/>
    </row>
    <row r="378" spans="1:12">
      <c r="A378" s="298"/>
      <c r="B378" s="227"/>
      <c r="C378" s="263"/>
      <c r="D378" s="263"/>
      <c r="E378" s="263"/>
      <c r="F378" s="263"/>
      <c r="G378" s="263"/>
      <c r="H378" s="263"/>
      <c r="I378" s="263"/>
      <c r="J378" s="242"/>
      <c r="K378" s="242"/>
      <c r="L378" s="242"/>
    </row>
    <row r="379" spans="1:12">
      <c r="A379" s="298"/>
      <c r="B379" s="227"/>
      <c r="C379" s="263"/>
      <c r="D379" s="263"/>
      <c r="E379" s="263"/>
      <c r="F379" s="263"/>
      <c r="G379" s="263"/>
      <c r="H379" s="263"/>
      <c r="I379" s="263"/>
      <c r="J379" s="242"/>
      <c r="K379" s="242"/>
      <c r="L379" s="242"/>
    </row>
    <row r="380" spans="1:12">
      <c r="A380" s="298"/>
      <c r="B380" s="227"/>
      <c r="C380" s="263"/>
      <c r="D380" s="263"/>
      <c r="E380" s="263"/>
      <c r="F380" s="263"/>
      <c r="G380" s="263"/>
      <c r="H380" s="263"/>
      <c r="I380" s="263"/>
      <c r="J380" s="242"/>
      <c r="K380" s="242"/>
      <c r="L380" s="242"/>
    </row>
    <row r="381" spans="1:12">
      <c r="A381" s="298"/>
      <c r="B381" s="227"/>
      <c r="C381" s="263"/>
      <c r="D381" s="263"/>
      <c r="E381" s="263"/>
      <c r="F381" s="263"/>
      <c r="G381" s="263"/>
      <c r="H381" s="263"/>
      <c r="I381" s="263"/>
      <c r="J381" s="242"/>
      <c r="K381" s="242"/>
      <c r="L381" s="242"/>
    </row>
    <row r="382" spans="1:12">
      <c r="A382" s="298"/>
      <c r="B382" s="227"/>
      <c r="C382" s="263"/>
      <c r="D382" s="263"/>
      <c r="E382" s="263"/>
      <c r="F382" s="263"/>
      <c r="G382" s="263"/>
      <c r="H382" s="263"/>
      <c r="I382" s="263"/>
      <c r="J382" s="242"/>
      <c r="K382" s="242"/>
      <c r="L382" s="242"/>
    </row>
    <row r="383" spans="1:12">
      <c r="A383" s="298"/>
      <c r="B383" s="227"/>
      <c r="C383" s="263"/>
      <c r="D383" s="263"/>
      <c r="E383" s="263"/>
      <c r="F383" s="263"/>
      <c r="G383" s="263"/>
      <c r="H383" s="263"/>
      <c r="I383" s="263"/>
      <c r="J383" s="242"/>
      <c r="K383" s="242"/>
      <c r="L383" s="242"/>
    </row>
    <row r="384" spans="1:12">
      <c r="A384" s="298"/>
      <c r="B384" s="227"/>
      <c r="C384" s="263"/>
      <c r="D384" s="263"/>
      <c r="E384" s="263"/>
      <c r="F384" s="263"/>
      <c r="G384" s="263"/>
      <c r="H384" s="263"/>
      <c r="I384" s="263"/>
      <c r="J384" s="242"/>
      <c r="K384" s="242"/>
      <c r="L384" s="242"/>
    </row>
    <row r="385" spans="1:12">
      <c r="A385" s="298"/>
      <c r="B385" s="227"/>
      <c r="C385" s="263"/>
      <c r="D385" s="263"/>
      <c r="E385" s="263"/>
      <c r="F385" s="263"/>
      <c r="G385" s="263"/>
      <c r="H385" s="263"/>
      <c r="I385" s="263"/>
      <c r="J385" s="242"/>
      <c r="K385" s="242"/>
      <c r="L385" s="242"/>
    </row>
    <row r="386" spans="1:12">
      <c r="A386" s="298"/>
      <c r="B386" s="227"/>
      <c r="C386" s="263"/>
      <c r="D386" s="263"/>
      <c r="E386" s="263"/>
      <c r="F386" s="263"/>
      <c r="G386" s="263"/>
      <c r="H386" s="263"/>
      <c r="I386" s="263"/>
      <c r="J386" s="242"/>
      <c r="K386" s="242"/>
      <c r="L386" s="242"/>
    </row>
    <row r="387" spans="1:12">
      <c r="A387" s="298"/>
      <c r="B387" s="227"/>
      <c r="C387" s="263"/>
      <c r="D387" s="263"/>
      <c r="E387" s="263"/>
      <c r="F387" s="263"/>
      <c r="G387" s="263"/>
      <c r="H387" s="263"/>
      <c r="I387" s="263"/>
      <c r="J387" s="242"/>
      <c r="K387" s="242"/>
      <c r="L387" s="242"/>
    </row>
    <row r="388" spans="1:12">
      <c r="A388" s="298"/>
      <c r="B388" s="227"/>
      <c r="C388" s="263"/>
      <c r="D388" s="263"/>
      <c r="E388" s="263"/>
      <c r="F388" s="263"/>
      <c r="G388" s="263"/>
      <c r="H388" s="263"/>
      <c r="I388" s="263"/>
      <c r="J388" s="242"/>
      <c r="K388" s="242"/>
      <c r="L388" s="242"/>
    </row>
    <row r="389" spans="1:12">
      <c r="A389" s="298"/>
      <c r="B389" s="227"/>
      <c r="C389" s="263"/>
      <c r="D389" s="263"/>
      <c r="E389" s="263"/>
      <c r="F389" s="263"/>
      <c r="G389" s="263"/>
      <c r="H389" s="263"/>
      <c r="I389" s="263"/>
      <c r="J389" s="242"/>
      <c r="K389" s="242"/>
      <c r="L389" s="242"/>
    </row>
    <row r="390" spans="1:12">
      <c r="A390" s="298"/>
      <c r="B390" s="227"/>
      <c r="C390" s="263"/>
      <c r="D390" s="263"/>
      <c r="E390" s="263"/>
      <c r="F390" s="263"/>
      <c r="G390" s="263"/>
      <c r="H390" s="263"/>
      <c r="I390" s="263"/>
      <c r="J390" s="242"/>
      <c r="K390" s="242"/>
      <c r="L390" s="242"/>
    </row>
    <row r="391" spans="1:12">
      <c r="A391" s="298"/>
      <c r="B391" s="227"/>
      <c r="C391" s="263"/>
      <c r="D391" s="263"/>
      <c r="E391" s="263"/>
      <c r="F391" s="263"/>
      <c r="G391" s="263"/>
      <c r="H391" s="263"/>
      <c r="I391" s="263"/>
      <c r="J391" s="242"/>
      <c r="K391" s="242"/>
      <c r="L391" s="242"/>
    </row>
    <row r="392" spans="1:12">
      <c r="A392" s="298"/>
      <c r="B392" s="227"/>
      <c r="C392" s="263"/>
      <c r="D392" s="263"/>
      <c r="E392" s="263"/>
      <c r="F392" s="263"/>
      <c r="G392" s="263"/>
      <c r="H392" s="263"/>
      <c r="I392" s="263"/>
      <c r="J392" s="242"/>
      <c r="K392" s="242"/>
      <c r="L392" s="242"/>
    </row>
    <row r="393" spans="1:12">
      <c r="A393" s="298"/>
      <c r="B393" s="227"/>
      <c r="C393" s="263"/>
      <c r="D393" s="263"/>
      <c r="E393" s="263"/>
      <c r="F393" s="263"/>
      <c r="G393" s="263"/>
      <c r="H393" s="263"/>
      <c r="I393" s="263"/>
      <c r="J393" s="242"/>
      <c r="K393" s="242"/>
      <c r="L393" s="242"/>
    </row>
    <row r="394" spans="1:12">
      <c r="A394" s="298"/>
      <c r="B394" s="227"/>
      <c r="C394" s="263"/>
      <c r="D394" s="263"/>
      <c r="E394" s="263"/>
      <c r="F394" s="263"/>
      <c r="G394" s="263"/>
      <c r="H394" s="263"/>
      <c r="I394" s="263"/>
      <c r="J394" s="242"/>
      <c r="K394" s="242"/>
      <c r="L394" s="242"/>
    </row>
    <row r="395" spans="1:12">
      <c r="A395" s="298"/>
      <c r="B395" s="227"/>
      <c r="C395" s="263"/>
      <c r="D395" s="263"/>
      <c r="E395" s="263"/>
      <c r="F395" s="263"/>
      <c r="G395" s="263"/>
      <c r="H395" s="263"/>
      <c r="I395" s="263"/>
      <c r="J395" s="242"/>
      <c r="K395" s="242"/>
      <c r="L395" s="242"/>
    </row>
    <row r="396" spans="1:12">
      <c r="A396" s="298"/>
      <c r="B396" s="227"/>
      <c r="C396" s="263"/>
      <c r="D396" s="263"/>
      <c r="E396" s="263"/>
      <c r="F396" s="263"/>
      <c r="G396" s="263"/>
      <c r="H396" s="263"/>
      <c r="I396" s="263"/>
      <c r="J396" s="242"/>
      <c r="K396" s="242"/>
      <c r="L396" s="242"/>
    </row>
    <row r="397" spans="1:12">
      <c r="A397" s="298"/>
      <c r="B397" s="227"/>
      <c r="C397" s="263"/>
      <c r="D397" s="263"/>
      <c r="E397" s="263"/>
      <c r="F397" s="263"/>
      <c r="G397" s="263"/>
      <c r="H397" s="263"/>
      <c r="I397" s="263"/>
      <c r="J397" s="242"/>
      <c r="K397" s="242"/>
      <c r="L397" s="242"/>
    </row>
    <row r="398" spans="1:12">
      <c r="A398" s="298"/>
      <c r="B398" s="227"/>
      <c r="C398" s="263"/>
      <c r="D398" s="263"/>
      <c r="E398" s="263"/>
      <c r="F398" s="263"/>
      <c r="G398" s="263"/>
      <c r="H398" s="263"/>
      <c r="I398" s="263"/>
      <c r="J398" s="242"/>
      <c r="K398" s="242"/>
      <c r="L398" s="242"/>
    </row>
    <row r="399" spans="1:12">
      <c r="A399" s="298"/>
      <c r="B399" s="227"/>
      <c r="C399" s="263"/>
      <c r="D399" s="263"/>
      <c r="E399" s="263"/>
      <c r="F399" s="263"/>
      <c r="G399" s="263"/>
      <c r="H399" s="263"/>
      <c r="I399" s="263"/>
      <c r="J399" s="242"/>
      <c r="K399" s="242"/>
      <c r="L399" s="242"/>
    </row>
    <row r="400" spans="1:12">
      <c r="A400" s="298"/>
      <c r="B400" s="227"/>
      <c r="C400" s="263"/>
      <c r="D400" s="263"/>
      <c r="E400" s="263"/>
      <c r="F400" s="263"/>
      <c r="G400" s="263"/>
      <c r="H400" s="263"/>
      <c r="I400" s="263"/>
      <c r="J400" s="242"/>
      <c r="K400" s="242"/>
      <c r="L400" s="242"/>
    </row>
    <row r="401" spans="1:12">
      <c r="A401" s="298"/>
      <c r="B401" s="227"/>
      <c r="C401" s="263"/>
      <c r="D401" s="263"/>
      <c r="E401" s="263"/>
      <c r="F401" s="263"/>
      <c r="G401" s="263"/>
      <c r="H401" s="263"/>
      <c r="I401" s="263"/>
      <c r="J401" s="242"/>
      <c r="K401" s="242"/>
      <c r="L401" s="242"/>
    </row>
    <row r="402" spans="1:12">
      <c r="A402" s="298"/>
      <c r="B402" s="227"/>
      <c r="C402" s="263"/>
      <c r="D402" s="263"/>
      <c r="E402" s="263"/>
      <c r="F402" s="263"/>
      <c r="G402" s="263"/>
      <c r="H402" s="263"/>
      <c r="I402" s="263"/>
      <c r="J402" s="242"/>
      <c r="K402" s="242"/>
      <c r="L402" s="242"/>
    </row>
    <row r="403" spans="1:12">
      <c r="A403" s="298"/>
      <c r="B403" s="227"/>
      <c r="C403" s="263"/>
      <c r="D403" s="263"/>
      <c r="E403" s="263"/>
      <c r="F403" s="263"/>
      <c r="G403" s="263"/>
      <c r="H403" s="263"/>
      <c r="I403" s="263"/>
      <c r="J403" s="242"/>
      <c r="K403" s="242"/>
      <c r="L403" s="242"/>
    </row>
    <row r="404" spans="1:12">
      <c r="A404" s="298"/>
      <c r="B404" s="227"/>
      <c r="C404" s="263"/>
      <c r="D404" s="263"/>
      <c r="E404" s="263"/>
      <c r="F404" s="263"/>
      <c r="G404" s="263"/>
      <c r="H404" s="263"/>
      <c r="I404" s="263"/>
      <c r="J404" s="242"/>
      <c r="K404" s="242"/>
      <c r="L404" s="242"/>
    </row>
    <row r="405" spans="1:12">
      <c r="A405" s="298"/>
      <c r="B405" s="227"/>
      <c r="C405" s="263"/>
      <c r="D405" s="263"/>
      <c r="E405" s="263"/>
      <c r="F405" s="263"/>
      <c r="G405" s="263"/>
      <c r="H405" s="263"/>
      <c r="I405" s="263"/>
      <c r="J405" s="242"/>
      <c r="K405" s="242"/>
      <c r="L405" s="242"/>
    </row>
    <row r="406" spans="1:12">
      <c r="A406" s="298"/>
      <c r="B406" s="227"/>
      <c r="C406" s="263"/>
      <c r="D406" s="263"/>
      <c r="E406" s="263"/>
      <c r="F406" s="263"/>
      <c r="G406" s="263"/>
      <c r="H406" s="263"/>
      <c r="I406" s="263"/>
      <c r="J406" s="242"/>
      <c r="K406" s="242"/>
      <c r="L406" s="242"/>
    </row>
    <row r="407" spans="1:12">
      <c r="A407" s="298"/>
      <c r="B407" s="227"/>
      <c r="C407" s="263"/>
      <c r="D407" s="263"/>
      <c r="E407" s="263"/>
      <c r="F407" s="263"/>
      <c r="G407" s="263"/>
      <c r="H407" s="263"/>
      <c r="I407" s="263"/>
      <c r="J407" s="242"/>
      <c r="K407" s="242"/>
      <c r="L407" s="242"/>
    </row>
    <row r="408" spans="1:12">
      <c r="A408" s="298"/>
      <c r="B408" s="227"/>
      <c r="C408" s="263"/>
      <c r="D408" s="263"/>
      <c r="E408" s="263"/>
      <c r="F408" s="263"/>
      <c r="G408" s="263"/>
      <c r="H408" s="263"/>
      <c r="I408" s="263"/>
      <c r="J408" s="242"/>
      <c r="K408" s="242"/>
      <c r="L408" s="242"/>
    </row>
    <row r="409" spans="1:12">
      <c r="A409" s="298"/>
      <c r="B409" s="227"/>
      <c r="C409" s="263"/>
      <c r="D409" s="263"/>
      <c r="E409" s="263"/>
      <c r="F409" s="263"/>
      <c r="G409" s="263"/>
      <c r="H409" s="263"/>
      <c r="I409" s="263"/>
      <c r="J409" s="242"/>
      <c r="K409" s="242"/>
      <c r="L409" s="242"/>
    </row>
    <row r="410" spans="1:12">
      <c r="A410" s="298"/>
      <c r="B410" s="227"/>
      <c r="C410" s="263"/>
      <c r="D410" s="263"/>
      <c r="E410" s="263"/>
      <c r="F410" s="263"/>
      <c r="G410" s="263"/>
      <c r="H410" s="263"/>
      <c r="I410" s="263"/>
      <c r="J410" s="242"/>
      <c r="K410" s="242"/>
      <c r="L410" s="242"/>
    </row>
    <row r="411" spans="1:12">
      <c r="A411" s="298"/>
      <c r="B411" s="227"/>
      <c r="C411" s="263"/>
      <c r="D411" s="263"/>
      <c r="E411" s="263"/>
      <c r="F411" s="263"/>
      <c r="G411" s="263"/>
      <c r="H411" s="263"/>
      <c r="I411" s="263"/>
      <c r="J411" s="242"/>
      <c r="K411" s="242"/>
      <c r="L411" s="242"/>
    </row>
    <row r="412" spans="1:12">
      <c r="A412" s="298"/>
      <c r="B412" s="227"/>
      <c r="C412" s="263"/>
      <c r="D412" s="263"/>
      <c r="E412" s="263"/>
      <c r="F412" s="263"/>
      <c r="G412" s="263"/>
      <c r="H412" s="263"/>
      <c r="I412" s="263"/>
      <c r="J412" s="242"/>
      <c r="K412" s="242"/>
      <c r="L412" s="242"/>
    </row>
    <row r="413" spans="1:12">
      <c r="A413" s="298"/>
      <c r="B413" s="227"/>
      <c r="C413" s="263"/>
      <c r="D413" s="263"/>
      <c r="E413" s="263"/>
      <c r="F413" s="263"/>
      <c r="G413" s="263"/>
      <c r="H413" s="263"/>
      <c r="I413" s="263"/>
      <c r="J413" s="242"/>
      <c r="K413" s="242"/>
      <c r="L413" s="242"/>
    </row>
    <row r="414" spans="1:12">
      <c r="A414" s="298"/>
      <c r="B414" s="227"/>
      <c r="C414" s="263"/>
      <c r="D414" s="263"/>
      <c r="E414" s="263"/>
      <c r="F414" s="263"/>
      <c r="G414" s="263"/>
      <c r="H414" s="263"/>
      <c r="I414" s="263"/>
      <c r="J414" s="242"/>
      <c r="K414" s="242"/>
      <c r="L414" s="242"/>
    </row>
    <row r="415" spans="1:12">
      <c r="A415" s="298"/>
      <c r="B415" s="227"/>
      <c r="C415" s="263"/>
      <c r="D415" s="263"/>
      <c r="E415" s="263"/>
      <c r="F415" s="263"/>
      <c r="G415" s="263"/>
      <c r="H415" s="263"/>
      <c r="I415" s="263"/>
      <c r="J415" s="242"/>
      <c r="K415" s="242"/>
      <c r="L415" s="242"/>
    </row>
    <row r="416" spans="1:12">
      <c r="A416" s="298"/>
      <c r="B416" s="227"/>
      <c r="C416" s="263"/>
      <c r="D416" s="263"/>
      <c r="E416" s="263"/>
      <c r="F416" s="263"/>
      <c r="G416" s="263"/>
      <c r="H416" s="263"/>
      <c r="I416" s="263"/>
      <c r="J416" s="242"/>
      <c r="K416" s="242"/>
      <c r="L416" s="242"/>
    </row>
    <row r="417" spans="1:12">
      <c r="A417" s="298"/>
      <c r="B417" s="227"/>
      <c r="C417" s="263"/>
      <c r="D417" s="263"/>
      <c r="E417" s="263"/>
      <c r="F417" s="263"/>
      <c r="G417" s="263"/>
      <c r="H417" s="263"/>
      <c r="I417" s="263"/>
      <c r="J417" s="242"/>
      <c r="K417" s="242"/>
      <c r="L417" s="242"/>
    </row>
    <row r="418" spans="1:12">
      <c r="A418" s="298"/>
      <c r="B418" s="227"/>
      <c r="C418" s="263"/>
      <c r="D418" s="263"/>
      <c r="E418" s="263"/>
      <c r="F418" s="263"/>
      <c r="G418" s="263"/>
      <c r="H418" s="263"/>
      <c r="I418" s="263"/>
      <c r="J418" s="242"/>
      <c r="K418" s="242"/>
      <c r="L418" s="242"/>
    </row>
    <row r="419" spans="1:12">
      <c r="A419" s="298"/>
      <c r="B419" s="227"/>
      <c r="C419" s="263"/>
      <c r="D419" s="263"/>
      <c r="E419" s="263"/>
      <c r="F419" s="263"/>
      <c r="G419" s="263"/>
      <c r="H419" s="263"/>
      <c r="I419" s="263"/>
      <c r="J419" s="242"/>
      <c r="K419" s="242"/>
      <c r="L419" s="242"/>
    </row>
    <row r="420" spans="1:12">
      <c r="A420" s="298"/>
      <c r="B420" s="227"/>
      <c r="C420" s="263"/>
      <c r="D420" s="263"/>
      <c r="E420" s="263"/>
      <c r="F420" s="263"/>
      <c r="G420" s="263"/>
      <c r="H420" s="263"/>
      <c r="I420" s="263"/>
      <c r="J420" s="242"/>
      <c r="K420" s="242"/>
      <c r="L420" s="242"/>
    </row>
    <row r="421" spans="1:12">
      <c r="A421" s="298"/>
      <c r="B421" s="227"/>
      <c r="C421" s="263"/>
      <c r="D421" s="263"/>
      <c r="E421" s="263"/>
      <c r="F421" s="263"/>
      <c r="G421" s="263"/>
      <c r="H421" s="263"/>
      <c r="I421" s="263"/>
      <c r="J421" s="242"/>
      <c r="K421" s="242"/>
      <c r="L421" s="242"/>
    </row>
    <row r="422" spans="1:12">
      <c r="A422" s="298"/>
      <c r="B422" s="227"/>
      <c r="C422" s="263"/>
      <c r="D422" s="263"/>
      <c r="E422" s="263"/>
      <c r="F422" s="263"/>
      <c r="G422" s="263"/>
      <c r="H422" s="263"/>
      <c r="I422" s="263"/>
      <c r="J422" s="242"/>
      <c r="K422" s="242"/>
      <c r="L422" s="242"/>
    </row>
    <row r="423" spans="1:12">
      <c r="A423" s="298"/>
      <c r="B423" s="227"/>
      <c r="C423" s="263"/>
      <c r="D423" s="263"/>
      <c r="E423" s="263"/>
      <c r="F423" s="263"/>
      <c r="G423" s="263"/>
      <c r="H423" s="263"/>
      <c r="I423" s="263"/>
      <c r="J423" s="242"/>
      <c r="K423" s="242"/>
      <c r="L423" s="242"/>
    </row>
    <row r="424" spans="1:12">
      <c r="A424" s="298"/>
      <c r="B424" s="227"/>
      <c r="C424" s="263"/>
      <c r="D424" s="263"/>
      <c r="E424" s="263"/>
      <c r="F424" s="263"/>
      <c r="G424" s="263"/>
      <c r="H424" s="263"/>
      <c r="I424" s="263"/>
      <c r="J424" s="242"/>
      <c r="K424" s="242"/>
      <c r="L424" s="242"/>
    </row>
    <row r="425" spans="1:12">
      <c r="A425" s="298"/>
      <c r="B425" s="227"/>
      <c r="C425" s="263"/>
      <c r="D425" s="263"/>
      <c r="E425" s="263"/>
      <c r="F425" s="263"/>
      <c r="G425" s="263"/>
      <c r="H425" s="263"/>
      <c r="I425" s="263"/>
      <c r="J425" s="242"/>
      <c r="K425" s="242"/>
      <c r="L425" s="242"/>
    </row>
    <row r="426" spans="1:12">
      <c r="A426" s="298"/>
      <c r="B426" s="227"/>
      <c r="C426" s="263"/>
      <c r="D426" s="263"/>
      <c r="E426" s="263"/>
      <c r="F426" s="263"/>
      <c r="G426" s="263"/>
      <c r="H426" s="263"/>
      <c r="I426" s="263"/>
      <c r="J426" s="242"/>
      <c r="K426" s="242"/>
      <c r="L426" s="242"/>
    </row>
    <row r="427" spans="1:12">
      <c r="A427" s="298"/>
      <c r="B427" s="227"/>
      <c r="C427" s="263"/>
      <c r="D427" s="263"/>
      <c r="E427" s="263"/>
      <c r="F427" s="263"/>
      <c r="G427" s="263"/>
      <c r="H427" s="263"/>
      <c r="I427" s="263"/>
      <c r="J427" s="242"/>
      <c r="K427" s="242"/>
      <c r="L427" s="242"/>
    </row>
    <row r="428" spans="1:12">
      <c r="A428" s="298"/>
      <c r="B428" s="227"/>
      <c r="C428" s="263"/>
      <c r="D428" s="263"/>
      <c r="E428" s="263"/>
      <c r="F428" s="263"/>
      <c r="G428" s="263"/>
      <c r="H428" s="263"/>
      <c r="I428" s="263"/>
      <c r="J428" s="242"/>
      <c r="K428" s="242"/>
      <c r="L428" s="242"/>
    </row>
    <row r="429" spans="1:12">
      <c r="A429" s="298"/>
      <c r="B429" s="227"/>
      <c r="C429" s="263"/>
      <c r="D429" s="263"/>
      <c r="E429" s="263"/>
      <c r="F429" s="263"/>
      <c r="G429" s="263"/>
      <c r="H429" s="263"/>
      <c r="I429" s="263"/>
      <c r="J429" s="242"/>
      <c r="K429" s="242"/>
      <c r="L429" s="242"/>
    </row>
    <row r="430" spans="1:12">
      <c r="A430" s="298"/>
      <c r="B430" s="227"/>
      <c r="C430" s="263"/>
      <c r="D430" s="263"/>
      <c r="E430" s="263"/>
      <c r="F430" s="263"/>
      <c r="G430" s="263"/>
      <c r="H430" s="263"/>
      <c r="I430" s="263"/>
      <c r="J430" s="242"/>
      <c r="K430" s="242"/>
      <c r="L430" s="242"/>
    </row>
    <row r="431" spans="1:12">
      <c r="A431" s="298"/>
      <c r="B431" s="227"/>
      <c r="C431" s="263"/>
      <c r="D431" s="263"/>
      <c r="E431" s="263"/>
      <c r="F431" s="263"/>
      <c r="G431" s="263"/>
      <c r="H431" s="263"/>
      <c r="I431" s="263"/>
      <c r="J431" s="242"/>
      <c r="K431" s="242"/>
      <c r="L431" s="242"/>
    </row>
    <row r="432" spans="1:12">
      <c r="A432" s="298"/>
      <c r="B432" s="227"/>
      <c r="C432" s="263"/>
      <c r="D432" s="263"/>
      <c r="E432" s="263"/>
      <c r="F432" s="263"/>
      <c r="G432" s="263"/>
      <c r="H432" s="263"/>
      <c r="I432" s="263"/>
      <c r="J432" s="242"/>
      <c r="K432" s="242"/>
      <c r="L432" s="242"/>
    </row>
    <row r="433" spans="1:12">
      <c r="A433" s="298"/>
      <c r="B433" s="227"/>
      <c r="C433" s="263"/>
      <c r="D433" s="263"/>
      <c r="E433" s="263"/>
      <c r="F433" s="263"/>
      <c r="G433" s="263"/>
      <c r="H433" s="263"/>
      <c r="I433" s="263"/>
      <c r="J433" s="242"/>
      <c r="K433" s="242"/>
      <c r="L433" s="242"/>
    </row>
    <row r="434" spans="1:12">
      <c r="A434" s="298"/>
      <c r="B434" s="227"/>
      <c r="C434" s="263"/>
      <c r="D434" s="263"/>
      <c r="E434" s="263"/>
      <c r="F434" s="263"/>
      <c r="G434" s="263"/>
      <c r="H434" s="263"/>
      <c r="I434" s="263"/>
      <c r="J434" s="242"/>
      <c r="K434" s="242"/>
      <c r="L434" s="242"/>
    </row>
    <row r="435" spans="1:12">
      <c r="A435" s="298"/>
      <c r="B435" s="227"/>
      <c r="C435" s="263"/>
      <c r="D435" s="263"/>
      <c r="E435" s="263"/>
      <c r="F435" s="263"/>
      <c r="G435" s="263"/>
      <c r="H435" s="263"/>
      <c r="I435" s="263"/>
      <c r="J435" s="242"/>
      <c r="K435" s="242"/>
      <c r="L435" s="242"/>
    </row>
    <row r="436" spans="1:12">
      <c r="A436" s="298"/>
      <c r="B436" s="227"/>
      <c r="C436" s="263"/>
      <c r="D436" s="263"/>
      <c r="E436" s="263"/>
      <c r="F436" s="263"/>
      <c r="G436" s="263"/>
      <c r="H436" s="263"/>
      <c r="I436" s="263"/>
      <c r="J436" s="242"/>
      <c r="K436" s="242"/>
      <c r="L436" s="242"/>
    </row>
    <row r="437" spans="1:12">
      <c r="A437" s="298"/>
      <c r="B437" s="227"/>
      <c r="C437" s="263"/>
      <c r="D437" s="263"/>
      <c r="E437" s="263"/>
      <c r="F437" s="263"/>
      <c r="G437" s="263"/>
      <c r="H437" s="263"/>
      <c r="I437" s="263"/>
      <c r="J437" s="242"/>
      <c r="K437" s="242"/>
      <c r="L437" s="242"/>
    </row>
    <row r="438" spans="1:12">
      <c r="A438" s="298"/>
      <c r="B438" s="227"/>
      <c r="C438" s="263"/>
      <c r="D438" s="263"/>
      <c r="E438" s="263"/>
      <c r="F438" s="263"/>
      <c r="G438" s="263"/>
      <c r="H438" s="263"/>
      <c r="I438" s="263"/>
      <c r="J438" s="242"/>
      <c r="K438" s="242"/>
      <c r="L438" s="242"/>
    </row>
    <row r="439" spans="1:12">
      <c r="A439" s="298"/>
      <c r="B439" s="227"/>
      <c r="C439" s="263"/>
      <c r="D439" s="263"/>
      <c r="E439" s="263"/>
      <c r="F439" s="263"/>
      <c r="G439" s="263"/>
      <c r="H439" s="263"/>
      <c r="I439" s="263"/>
      <c r="J439" s="242"/>
      <c r="K439" s="242"/>
      <c r="L439" s="242"/>
    </row>
    <row r="440" spans="1:12">
      <c r="A440" s="298"/>
      <c r="B440" s="227"/>
      <c r="C440" s="263"/>
      <c r="D440" s="263"/>
      <c r="E440" s="263"/>
      <c r="F440" s="263"/>
      <c r="G440" s="263"/>
      <c r="H440" s="263"/>
      <c r="I440" s="263"/>
      <c r="J440" s="242"/>
      <c r="K440" s="242"/>
      <c r="L440" s="242"/>
    </row>
    <row r="441" spans="1:12">
      <c r="A441" s="298"/>
      <c r="B441" s="227"/>
      <c r="C441" s="263"/>
      <c r="D441" s="263"/>
      <c r="E441" s="263"/>
      <c r="F441" s="263"/>
      <c r="G441" s="263"/>
      <c r="H441" s="263"/>
      <c r="I441" s="263"/>
      <c r="J441" s="242"/>
      <c r="K441" s="242"/>
      <c r="L441" s="242"/>
    </row>
    <row r="442" spans="1:12">
      <c r="A442" s="298"/>
      <c r="B442" s="227"/>
      <c r="C442" s="263"/>
      <c r="D442" s="263"/>
      <c r="E442" s="263"/>
      <c r="F442" s="263"/>
      <c r="G442" s="263"/>
      <c r="H442" s="263"/>
      <c r="I442" s="263"/>
      <c r="J442" s="242"/>
      <c r="K442" s="242"/>
      <c r="L442" s="242"/>
    </row>
    <row r="443" spans="1:12">
      <c r="A443" s="298"/>
      <c r="B443" s="227"/>
      <c r="C443" s="263"/>
      <c r="D443" s="263"/>
      <c r="E443" s="263"/>
      <c r="F443" s="263"/>
      <c r="G443" s="263"/>
      <c r="H443" s="263"/>
      <c r="I443" s="263"/>
      <c r="J443" s="242"/>
      <c r="K443" s="242"/>
      <c r="L443" s="242"/>
    </row>
    <row r="444" spans="1:12">
      <c r="A444" s="298"/>
      <c r="B444" s="227"/>
      <c r="C444" s="263"/>
      <c r="D444" s="263"/>
      <c r="E444" s="263"/>
      <c r="F444" s="263"/>
      <c r="G444" s="263"/>
      <c r="H444" s="263"/>
      <c r="I444" s="263"/>
      <c r="J444" s="242"/>
      <c r="K444" s="242"/>
      <c r="L444" s="242"/>
    </row>
    <row r="445" spans="1:12">
      <c r="A445" s="298"/>
      <c r="B445" s="227"/>
      <c r="C445" s="263"/>
      <c r="D445" s="263"/>
      <c r="E445" s="263"/>
      <c r="F445" s="263"/>
      <c r="G445" s="263"/>
      <c r="H445" s="263"/>
      <c r="I445" s="263"/>
      <c r="J445" s="242"/>
      <c r="K445" s="242"/>
      <c r="L445" s="242"/>
    </row>
    <row r="446" spans="1:12">
      <c r="A446" s="298"/>
      <c r="B446" s="227"/>
      <c r="C446" s="263"/>
      <c r="D446" s="263"/>
      <c r="E446" s="263"/>
      <c r="F446" s="263"/>
      <c r="G446" s="263"/>
      <c r="H446" s="263"/>
      <c r="I446" s="263"/>
      <c r="J446" s="242"/>
      <c r="K446" s="242"/>
      <c r="L446" s="242"/>
    </row>
    <row r="447" spans="1:12">
      <c r="A447" s="298"/>
      <c r="B447" s="227"/>
      <c r="C447" s="263"/>
      <c r="D447" s="263"/>
      <c r="E447" s="263"/>
      <c r="F447" s="263"/>
      <c r="G447" s="263"/>
      <c r="H447" s="263"/>
      <c r="I447" s="263"/>
      <c r="J447" s="242"/>
      <c r="K447" s="242"/>
      <c r="L447" s="242"/>
    </row>
    <row r="448" spans="1:12">
      <c r="A448" s="298"/>
      <c r="B448" s="227"/>
      <c r="C448" s="263"/>
      <c r="D448" s="263"/>
      <c r="E448" s="263"/>
      <c r="F448" s="263"/>
      <c r="G448" s="263"/>
      <c r="H448" s="263"/>
      <c r="I448" s="263"/>
      <c r="J448" s="242"/>
      <c r="K448" s="242"/>
      <c r="L448" s="242"/>
    </row>
    <row r="449" spans="1:12">
      <c r="A449" s="298"/>
      <c r="B449" s="227"/>
      <c r="C449" s="263"/>
      <c r="D449" s="263"/>
      <c r="E449" s="263"/>
      <c r="F449" s="263"/>
      <c r="G449" s="263"/>
      <c r="H449" s="263"/>
      <c r="I449" s="263"/>
      <c r="J449" s="242"/>
      <c r="K449" s="242"/>
      <c r="L449" s="242"/>
    </row>
    <row r="450" spans="1:12">
      <c r="A450" s="298"/>
      <c r="B450" s="227"/>
      <c r="C450" s="263"/>
      <c r="D450" s="263"/>
      <c r="E450" s="263"/>
      <c r="F450" s="263"/>
      <c r="G450" s="263"/>
      <c r="H450" s="263"/>
      <c r="I450" s="263"/>
      <c r="J450" s="242"/>
      <c r="K450" s="242"/>
      <c r="L450" s="242"/>
    </row>
    <row r="451" spans="1:12">
      <c r="A451" s="298"/>
      <c r="B451" s="227"/>
      <c r="C451" s="263"/>
      <c r="D451" s="263"/>
      <c r="E451" s="263"/>
      <c r="F451" s="263"/>
      <c r="G451" s="263"/>
      <c r="H451" s="263"/>
      <c r="I451" s="263"/>
      <c r="J451" s="242"/>
      <c r="K451" s="242"/>
      <c r="L451" s="242"/>
    </row>
    <row r="452" spans="1:12">
      <c r="A452" s="298"/>
      <c r="B452" s="227"/>
      <c r="C452" s="263"/>
      <c r="D452" s="263"/>
      <c r="E452" s="263"/>
      <c r="F452" s="263"/>
      <c r="G452" s="263"/>
      <c r="H452" s="263"/>
      <c r="I452" s="263"/>
      <c r="J452" s="242"/>
      <c r="K452" s="242"/>
      <c r="L452" s="242"/>
    </row>
    <row r="453" spans="1:12">
      <c r="A453" s="298"/>
      <c r="B453" s="227"/>
      <c r="C453" s="263"/>
      <c r="D453" s="263"/>
      <c r="E453" s="263"/>
      <c r="F453" s="263"/>
      <c r="G453" s="263"/>
      <c r="H453" s="263"/>
      <c r="I453" s="263"/>
      <c r="J453" s="242"/>
      <c r="K453" s="242"/>
      <c r="L453" s="242"/>
    </row>
    <row r="454" spans="1:12">
      <c r="A454" s="298"/>
      <c r="B454" s="227"/>
      <c r="C454" s="263"/>
      <c r="D454" s="263"/>
      <c r="E454" s="263"/>
      <c r="F454" s="263"/>
      <c r="G454" s="263"/>
      <c r="H454" s="263"/>
      <c r="I454" s="263"/>
      <c r="J454" s="242"/>
      <c r="K454" s="242"/>
      <c r="L454" s="242"/>
    </row>
    <row r="455" spans="1:12">
      <c r="A455" s="298"/>
      <c r="B455" s="227"/>
      <c r="C455" s="263"/>
      <c r="D455" s="263"/>
      <c r="E455" s="263"/>
      <c r="F455" s="263"/>
      <c r="G455" s="263"/>
      <c r="H455" s="263"/>
      <c r="I455" s="263"/>
      <c r="J455" s="242"/>
      <c r="K455" s="242"/>
      <c r="L455" s="242"/>
    </row>
    <row r="456" spans="1:12">
      <c r="A456" s="298"/>
      <c r="B456" s="227"/>
      <c r="C456" s="263"/>
      <c r="D456" s="263"/>
      <c r="E456" s="263"/>
      <c r="F456" s="263"/>
      <c r="G456" s="263"/>
      <c r="H456" s="263"/>
      <c r="I456" s="263"/>
      <c r="J456" s="242"/>
      <c r="K456" s="242"/>
      <c r="L456" s="242"/>
    </row>
    <row r="457" spans="1:12">
      <c r="A457" s="298"/>
      <c r="B457" s="227"/>
      <c r="C457" s="263"/>
      <c r="D457" s="263"/>
      <c r="E457" s="263"/>
      <c r="F457" s="263"/>
      <c r="G457" s="263"/>
      <c r="H457" s="263"/>
      <c r="I457" s="263"/>
      <c r="J457" s="242"/>
      <c r="K457" s="242"/>
      <c r="L457" s="242"/>
    </row>
    <row r="458" spans="1:12">
      <c r="A458" s="298"/>
      <c r="B458" s="227"/>
      <c r="C458" s="263"/>
      <c r="D458" s="263"/>
      <c r="E458" s="263"/>
      <c r="F458" s="263"/>
      <c r="G458" s="263"/>
      <c r="H458" s="263"/>
      <c r="I458" s="263"/>
      <c r="J458" s="242"/>
      <c r="K458" s="242"/>
      <c r="L458" s="242"/>
    </row>
    <row r="459" spans="1:12">
      <c r="A459" s="298"/>
      <c r="B459" s="227"/>
      <c r="C459" s="263"/>
      <c r="D459" s="263"/>
      <c r="E459" s="263"/>
      <c r="F459" s="263"/>
      <c r="G459" s="263"/>
      <c r="H459" s="263"/>
      <c r="I459" s="263"/>
      <c r="J459" s="242"/>
      <c r="K459" s="242"/>
      <c r="L459" s="242"/>
    </row>
    <row r="460" spans="1:12">
      <c r="A460" s="298"/>
      <c r="B460" s="227"/>
      <c r="C460" s="263"/>
      <c r="D460" s="263"/>
      <c r="E460" s="263"/>
      <c r="F460" s="263"/>
      <c r="G460" s="263"/>
      <c r="H460" s="263"/>
      <c r="I460" s="263"/>
      <c r="J460" s="242"/>
      <c r="K460" s="242"/>
      <c r="L460" s="242"/>
    </row>
    <row r="461" spans="1:12">
      <c r="A461" s="298"/>
      <c r="B461" s="227"/>
      <c r="C461" s="263"/>
      <c r="D461" s="263"/>
      <c r="E461" s="263"/>
      <c r="F461" s="263"/>
      <c r="G461" s="263"/>
      <c r="H461" s="263"/>
      <c r="I461" s="263"/>
      <c r="J461" s="242"/>
      <c r="K461" s="242"/>
      <c r="L461" s="242"/>
    </row>
    <row r="462" spans="1:12">
      <c r="A462" s="298"/>
      <c r="B462" s="227"/>
      <c r="C462" s="263"/>
      <c r="D462" s="263"/>
      <c r="E462" s="263"/>
      <c r="F462" s="263"/>
      <c r="G462" s="263"/>
      <c r="H462" s="263"/>
      <c r="I462" s="263"/>
      <c r="J462" s="242"/>
      <c r="K462" s="242"/>
      <c r="L462" s="242"/>
    </row>
    <row r="463" spans="1:12">
      <c r="A463" s="298"/>
      <c r="B463" s="227"/>
      <c r="C463" s="263"/>
      <c r="D463" s="263"/>
      <c r="E463" s="263"/>
      <c r="F463" s="263"/>
      <c r="G463" s="263"/>
      <c r="H463" s="263"/>
      <c r="I463" s="263"/>
      <c r="J463" s="242"/>
      <c r="K463" s="242"/>
      <c r="L463" s="242"/>
    </row>
    <row r="464" spans="1:12">
      <c r="A464" s="298"/>
      <c r="B464" s="227"/>
      <c r="C464" s="263"/>
      <c r="D464" s="263"/>
      <c r="E464" s="263"/>
      <c r="F464" s="263"/>
      <c r="G464" s="263"/>
      <c r="H464" s="263"/>
      <c r="I464" s="263"/>
      <c r="J464" s="242"/>
      <c r="K464" s="242"/>
      <c r="L464" s="242"/>
    </row>
    <row r="465" spans="1:12">
      <c r="A465" s="298"/>
      <c r="B465" s="227"/>
      <c r="C465" s="263"/>
      <c r="D465" s="263"/>
      <c r="E465" s="263"/>
      <c r="F465" s="263"/>
      <c r="G465" s="263"/>
      <c r="H465" s="263"/>
      <c r="I465" s="263"/>
      <c r="J465" s="242"/>
      <c r="K465" s="242"/>
      <c r="L465" s="242"/>
    </row>
    <row r="466" spans="1:12">
      <c r="A466" s="298"/>
      <c r="B466" s="227"/>
      <c r="C466" s="263"/>
      <c r="D466" s="263"/>
      <c r="E466" s="263"/>
      <c r="F466" s="263"/>
      <c r="G466" s="263"/>
      <c r="H466" s="263"/>
      <c r="I466" s="263"/>
      <c r="J466" s="242"/>
      <c r="K466" s="242"/>
      <c r="L466" s="242"/>
    </row>
    <row r="467" spans="1:12">
      <c r="A467" s="298"/>
      <c r="B467" s="227"/>
      <c r="C467" s="263"/>
      <c r="D467" s="263"/>
      <c r="E467" s="263"/>
      <c r="F467" s="263"/>
      <c r="G467" s="263"/>
      <c r="H467" s="263"/>
      <c r="I467" s="263"/>
      <c r="J467" s="242"/>
      <c r="K467" s="242"/>
      <c r="L467" s="242"/>
    </row>
    <row r="468" spans="1:12">
      <c r="A468" s="298"/>
      <c r="B468" s="227"/>
      <c r="C468" s="263"/>
      <c r="D468" s="263"/>
      <c r="E468" s="263"/>
      <c r="F468" s="263"/>
      <c r="G468" s="263"/>
      <c r="H468" s="263"/>
      <c r="I468" s="263"/>
      <c r="J468" s="242"/>
      <c r="K468" s="242"/>
      <c r="L468" s="242"/>
    </row>
    <row r="469" spans="1:12">
      <c r="A469" s="298"/>
      <c r="B469" s="227"/>
      <c r="C469" s="263"/>
      <c r="D469" s="263"/>
      <c r="E469" s="263"/>
      <c r="F469" s="263"/>
      <c r="G469" s="263"/>
      <c r="H469" s="263"/>
      <c r="I469" s="263"/>
      <c r="J469" s="242"/>
      <c r="K469" s="242"/>
      <c r="L469" s="242"/>
    </row>
    <row r="470" spans="1:12">
      <c r="A470" s="298"/>
      <c r="B470" s="227"/>
      <c r="C470" s="263"/>
      <c r="D470" s="263"/>
      <c r="E470" s="263"/>
      <c r="F470" s="263"/>
      <c r="G470" s="263"/>
      <c r="H470" s="263"/>
      <c r="I470" s="263"/>
      <c r="J470" s="242"/>
      <c r="K470" s="242"/>
      <c r="L470" s="242"/>
    </row>
    <row r="471" spans="1:12">
      <c r="A471" s="298"/>
      <c r="B471" s="227"/>
      <c r="C471" s="263"/>
      <c r="D471" s="263"/>
      <c r="E471" s="263"/>
      <c r="F471" s="263"/>
      <c r="G471" s="263"/>
      <c r="H471" s="263"/>
      <c r="I471" s="263"/>
      <c r="J471" s="242"/>
      <c r="K471" s="242"/>
      <c r="L471" s="242"/>
    </row>
    <row r="472" spans="1:12">
      <c r="A472" s="298"/>
      <c r="B472" s="227"/>
      <c r="C472" s="263"/>
      <c r="D472" s="263"/>
      <c r="E472" s="263"/>
      <c r="F472" s="263"/>
      <c r="G472" s="263"/>
      <c r="H472" s="263"/>
      <c r="I472" s="263"/>
      <c r="J472" s="242"/>
      <c r="K472" s="242"/>
      <c r="L472" s="242"/>
    </row>
    <row r="473" spans="1:12">
      <c r="A473" s="298"/>
      <c r="B473" s="227"/>
      <c r="C473" s="263"/>
      <c r="D473" s="263"/>
      <c r="E473" s="263"/>
      <c r="F473" s="263"/>
      <c r="G473" s="263"/>
      <c r="H473" s="263"/>
      <c r="I473" s="263"/>
      <c r="J473" s="242"/>
      <c r="K473" s="242"/>
      <c r="L473" s="242"/>
    </row>
    <row r="474" spans="1:12">
      <c r="A474" s="298"/>
      <c r="B474" s="227"/>
      <c r="C474" s="263"/>
      <c r="D474" s="263"/>
      <c r="E474" s="263"/>
      <c r="F474" s="263"/>
      <c r="G474" s="263"/>
      <c r="H474" s="263"/>
      <c r="I474" s="263"/>
      <c r="J474" s="242"/>
      <c r="K474" s="242"/>
      <c r="L474" s="242"/>
    </row>
    <row r="475" spans="1:12">
      <c r="A475" s="298"/>
      <c r="B475" s="227"/>
      <c r="C475" s="263"/>
      <c r="D475" s="263"/>
      <c r="E475" s="263"/>
      <c r="F475" s="263"/>
      <c r="G475" s="263"/>
      <c r="H475" s="263"/>
      <c r="I475" s="263"/>
      <c r="J475" s="242"/>
      <c r="K475" s="242"/>
      <c r="L475" s="242"/>
    </row>
    <row r="476" spans="1:12">
      <c r="A476" s="298"/>
      <c r="B476" s="227"/>
      <c r="C476" s="263"/>
      <c r="D476" s="263"/>
      <c r="E476" s="263"/>
      <c r="F476" s="263"/>
      <c r="G476" s="263"/>
      <c r="H476" s="263"/>
      <c r="I476" s="263"/>
      <c r="J476" s="242"/>
      <c r="K476" s="242"/>
      <c r="L476" s="242"/>
    </row>
    <row r="477" spans="1:12">
      <c r="A477" s="298"/>
      <c r="B477" s="227"/>
      <c r="C477" s="263"/>
      <c r="D477" s="263"/>
      <c r="E477" s="263"/>
      <c r="F477" s="263"/>
      <c r="G477" s="263"/>
      <c r="H477" s="263"/>
      <c r="I477" s="263"/>
      <c r="J477" s="242"/>
      <c r="K477" s="242"/>
      <c r="L477" s="242"/>
    </row>
    <row r="478" spans="1:12">
      <c r="A478" s="298"/>
      <c r="B478" s="227"/>
      <c r="C478" s="263"/>
      <c r="D478" s="263"/>
      <c r="E478" s="263"/>
      <c r="F478" s="263"/>
      <c r="G478" s="263"/>
      <c r="H478" s="263"/>
      <c r="I478" s="263"/>
      <c r="J478" s="242"/>
      <c r="K478" s="242"/>
      <c r="L478" s="242"/>
    </row>
    <row r="479" spans="1:12">
      <c r="A479" s="298"/>
      <c r="B479" s="227"/>
      <c r="C479" s="263"/>
      <c r="D479" s="263"/>
      <c r="E479" s="263"/>
      <c r="F479" s="263"/>
      <c r="G479" s="263"/>
      <c r="H479" s="263"/>
      <c r="I479" s="263"/>
      <c r="J479" s="242"/>
      <c r="K479" s="242"/>
      <c r="L479" s="242"/>
    </row>
    <row r="480" spans="1:12">
      <c r="A480" s="298"/>
      <c r="B480" s="227"/>
      <c r="C480" s="263"/>
      <c r="D480" s="263"/>
      <c r="E480" s="263"/>
      <c r="F480" s="263"/>
      <c r="G480" s="263"/>
      <c r="H480" s="263"/>
      <c r="I480" s="263"/>
      <c r="J480" s="242"/>
      <c r="K480" s="242"/>
      <c r="L480" s="242"/>
    </row>
    <row r="481" spans="1:12">
      <c r="A481" s="298"/>
      <c r="B481" s="227"/>
      <c r="C481" s="263"/>
      <c r="D481" s="263"/>
      <c r="E481" s="263"/>
      <c r="F481" s="263"/>
      <c r="G481" s="263"/>
      <c r="H481" s="263"/>
      <c r="I481" s="263"/>
      <c r="J481" s="242"/>
      <c r="K481" s="242"/>
      <c r="L481" s="242"/>
    </row>
    <row r="482" spans="1:12">
      <c r="A482" s="298"/>
      <c r="B482" s="227"/>
      <c r="C482" s="263"/>
      <c r="D482" s="263"/>
      <c r="E482" s="263"/>
      <c r="F482" s="263"/>
      <c r="G482" s="263"/>
      <c r="H482" s="263"/>
      <c r="I482" s="263"/>
      <c r="J482" s="242"/>
      <c r="K482" s="242"/>
      <c r="L482" s="242"/>
    </row>
    <row r="483" spans="1:12">
      <c r="A483" s="298"/>
      <c r="B483" s="227"/>
      <c r="C483" s="263"/>
      <c r="D483" s="263"/>
      <c r="E483" s="263"/>
      <c r="F483" s="263"/>
      <c r="G483" s="263"/>
      <c r="H483" s="263"/>
      <c r="I483" s="263"/>
      <c r="J483" s="242"/>
      <c r="K483" s="242"/>
      <c r="L483" s="242"/>
    </row>
    <row r="484" spans="1:12">
      <c r="A484" s="298"/>
      <c r="B484" s="227"/>
      <c r="C484" s="263"/>
      <c r="D484" s="263"/>
      <c r="E484" s="263"/>
      <c r="F484" s="263"/>
      <c r="G484" s="263"/>
      <c r="H484" s="263"/>
      <c r="I484" s="263"/>
      <c r="J484" s="242"/>
      <c r="K484" s="242"/>
      <c r="L484" s="242"/>
    </row>
    <row r="485" spans="1:12">
      <c r="A485" s="298"/>
      <c r="B485" s="227"/>
      <c r="C485" s="263"/>
      <c r="D485" s="263"/>
      <c r="E485" s="263"/>
      <c r="F485" s="263"/>
      <c r="G485" s="263"/>
      <c r="H485" s="263"/>
      <c r="I485" s="263"/>
      <c r="J485" s="242"/>
      <c r="K485" s="242"/>
      <c r="L485" s="242"/>
    </row>
    <row r="486" spans="1:12">
      <c r="A486" s="298"/>
      <c r="B486" s="227"/>
      <c r="C486" s="263"/>
      <c r="D486" s="263"/>
      <c r="E486" s="263"/>
      <c r="F486" s="263"/>
      <c r="G486" s="263"/>
      <c r="H486" s="263"/>
      <c r="I486" s="263"/>
      <c r="J486" s="242"/>
      <c r="K486" s="242"/>
      <c r="L486" s="242"/>
    </row>
    <row r="487" spans="1:12">
      <c r="A487" s="298"/>
      <c r="B487" s="227"/>
      <c r="C487" s="263"/>
      <c r="D487" s="263"/>
      <c r="E487" s="263"/>
      <c r="F487" s="263"/>
      <c r="G487" s="263"/>
      <c r="H487" s="263"/>
      <c r="I487" s="263"/>
      <c r="J487" s="242"/>
      <c r="K487" s="242"/>
      <c r="L487" s="242"/>
    </row>
    <row r="488" spans="1:12">
      <c r="A488" s="298"/>
      <c r="B488" s="227"/>
      <c r="C488" s="263"/>
      <c r="D488" s="263"/>
      <c r="E488" s="263"/>
      <c r="F488" s="263"/>
      <c r="G488" s="263"/>
      <c r="H488" s="263"/>
      <c r="I488" s="263"/>
      <c r="J488" s="242"/>
      <c r="K488" s="242"/>
      <c r="L488" s="242"/>
    </row>
    <row r="489" spans="1:12">
      <c r="A489" s="298"/>
      <c r="B489" s="227"/>
      <c r="C489" s="263"/>
      <c r="D489" s="263"/>
      <c r="E489" s="263"/>
      <c r="F489" s="263"/>
      <c r="G489" s="263"/>
      <c r="H489" s="263"/>
      <c r="I489" s="263"/>
      <c r="J489" s="242"/>
      <c r="K489" s="242"/>
      <c r="L489" s="242"/>
    </row>
    <row r="490" spans="1:12">
      <c r="A490" s="298"/>
      <c r="B490" s="227"/>
      <c r="C490" s="263"/>
      <c r="D490" s="263"/>
      <c r="E490" s="263"/>
      <c r="F490" s="263"/>
      <c r="G490" s="263"/>
      <c r="H490" s="263"/>
      <c r="I490" s="263"/>
      <c r="J490" s="242"/>
      <c r="K490" s="242"/>
      <c r="L490" s="242"/>
    </row>
    <row r="491" spans="1:12">
      <c r="A491" s="298"/>
      <c r="B491" s="227"/>
      <c r="C491" s="263"/>
      <c r="D491" s="263"/>
      <c r="E491" s="263"/>
      <c r="F491" s="263"/>
      <c r="G491" s="263"/>
      <c r="H491" s="263"/>
      <c r="I491" s="263"/>
      <c r="J491" s="242"/>
      <c r="K491" s="242"/>
      <c r="L491" s="242"/>
    </row>
    <row r="492" spans="1:12">
      <c r="A492" s="298"/>
      <c r="B492" s="227"/>
      <c r="C492" s="263"/>
      <c r="D492" s="263"/>
      <c r="E492" s="263"/>
      <c r="F492" s="263"/>
      <c r="G492" s="263"/>
      <c r="H492" s="263"/>
      <c r="I492" s="263"/>
      <c r="J492" s="242"/>
      <c r="K492" s="242"/>
      <c r="L492" s="242"/>
    </row>
    <row r="493" spans="1:12">
      <c r="A493" s="298"/>
      <c r="B493" s="227"/>
      <c r="C493" s="263"/>
      <c r="D493" s="263"/>
      <c r="E493" s="263"/>
      <c r="F493" s="263"/>
      <c r="G493" s="263"/>
      <c r="H493" s="263"/>
      <c r="I493" s="263"/>
      <c r="J493" s="242"/>
      <c r="K493" s="242"/>
      <c r="L493" s="242"/>
    </row>
    <row r="494" spans="1:12">
      <c r="A494" s="298"/>
      <c r="B494" s="227"/>
      <c r="C494" s="263"/>
      <c r="D494" s="263"/>
      <c r="E494" s="263"/>
      <c r="F494" s="263"/>
      <c r="G494" s="263"/>
      <c r="H494" s="263"/>
      <c r="I494" s="263"/>
      <c r="J494" s="242"/>
      <c r="K494" s="242"/>
      <c r="L494" s="242"/>
    </row>
    <row r="495" spans="1:12">
      <c r="A495" s="298"/>
      <c r="B495" s="227"/>
      <c r="C495" s="263"/>
      <c r="D495" s="263"/>
      <c r="E495" s="263"/>
      <c r="F495" s="263"/>
      <c r="G495" s="263"/>
      <c r="H495" s="263"/>
      <c r="I495" s="263"/>
      <c r="J495" s="242"/>
      <c r="K495" s="242"/>
      <c r="L495" s="242"/>
    </row>
    <row r="496" spans="1:12">
      <c r="A496" s="298"/>
      <c r="B496" s="227"/>
      <c r="C496" s="263"/>
      <c r="D496" s="263"/>
      <c r="E496" s="263"/>
      <c r="F496" s="263"/>
      <c r="G496" s="263"/>
      <c r="H496" s="263"/>
      <c r="I496" s="263"/>
      <c r="J496" s="242"/>
      <c r="K496" s="242"/>
      <c r="L496" s="242"/>
    </row>
    <row r="497" spans="1:12">
      <c r="A497" s="298"/>
      <c r="B497" s="227"/>
      <c r="C497" s="263"/>
      <c r="D497" s="263"/>
      <c r="E497" s="263"/>
      <c r="F497" s="263"/>
      <c r="G497" s="263"/>
      <c r="H497" s="263"/>
      <c r="I497" s="263"/>
      <c r="J497" s="242"/>
      <c r="K497" s="242"/>
      <c r="L497" s="242"/>
    </row>
    <row r="498" spans="1:12">
      <c r="A498" s="298"/>
      <c r="B498" s="227"/>
      <c r="C498" s="263"/>
      <c r="D498" s="263"/>
      <c r="E498" s="263"/>
      <c r="F498" s="263"/>
      <c r="G498" s="263"/>
      <c r="H498" s="263"/>
      <c r="I498" s="263"/>
      <c r="J498" s="242"/>
      <c r="K498" s="242"/>
      <c r="L498" s="242"/>
    </row>
    <row r="499" spans="1:12">
      <c r="A499" s="298"/>
      <c r="B499" s="227"/>
      <c r="C499" s="263"/>
      <c r="D499" s="263"/>
      <c r="E499" s="263"/>
      <c r="F499" s="263"/>
      <c r="G499" s="263"/>
      <c r="H499" s="263"/>
      <c r="I499" s="263"/>
      <c r="J499" s="242"/>
      <c r="K499" s="242"/>
      <c r="L499" s="242"/>
    </row>
    <row r="500" spans="1:12">
      <c r="A500" s="298"/>
      <c r="B500" s="227"/>
      <c r="C500" s="263"/>
      <c r="D500" s="263"/>
      <c r="E500" s="263"/>
      <c r="F500" s="263"/>
      <c r="G500" s="263"/>
      <c r="H500" s="263"/>
      <c r="I500" s="263"/>
      <c r="J500" s="242"/>
      <c r="K500" s="242"/>
      <c r="L500" s="242"/>
    </row>
    <row r="501" spans="1:12">
      <c r="A501" s="298"/>
      <c r="B501" s="227"/>
      <c r="C501" s="263"/>
      <c r="D501" s="263"/>
      <c r="E501" s="263"/>
      <c r="F501" s="263"/>
      <c r="G501" s="263"/>
      <c r="H501" s="263"/>
      <c r="I501" s="263"/>
      <c r="J501" s="242"/>
      <c r="K501" s="242"/>
      <c r="L501" s="242"/>
    </row>
    <row r="502" spans="1:12">
      <c r="A502" s="298"/>
      <c r="B502" s="227"/>
      <c r="C502" s="263"/>
      <c r="D502" s="263"/>
      <c r="E502" s="263"/>
      <c r="F502" s="263"/>
      <c r="G502" s="263"/>
      <c r="H502" s="263"/>
      <c r="I502" s="263"/>
      <c r="J502" s="242"/>
      <c r="K502" s="242"/>
      <c r="L502" s="242"/>
    </row>
    <row r="503" spans="1:12">
      <c r="A503" s="298"/>
      <c r="B503" s="227"/>
      <c r="C503" s="263"/>
      <c r="D503" s="263"/>
      <c r="E503" s="263"/>
      <c r="F503" s="263"/>
      <c r="G503" s="263"/>
      <c r="H503" s="263"/>
      <c r="I503" s="263"/>
      <c r="J503" s="242"/>
      <c r="K503" s="242"/>
      <c r="L503" s="242"/>
    </row>
    <row r="504" spans="1:12">
      <c r="A504" s="298"/>
      <c r="B504" s="227"/>
      <c r="C504" s="263"/>
      <c r="D504" s="263"/>
      <c r="E504" s="263"/>
      <c r="F504" s="263"/>
      <c r="G504" s="263"/>
      <c r="H504" s="263"/>
      <c r="I504" s="263"/>
      <c r="J504" s="242"/>
      <c r="K504" s="242"/>
      <c r="L504" s="242"/>
    </row>
    <row r="505" spans="1:12">
      <c r="A505" s="298"/>
      <c r="B505" s="227"/>
      <c r="C505" s="263"/>
      <c r="D505" s="263"/>
      <c r="E505" s="263"/>
      <c r="F505" s="263"/>
      <c r="G505" s="263"/>
      <c r="H505" s="263"/>
      <c r="I505" s="263"/>
      <c r="J505" s="242"/>
      <c r="K505" s="242"/>
      <c r="L505" s="242"/>
    </row>
    <row r="506" spans="1:12">
      <c r="A506" s="298"/>
      <c r="B506" s="227"/>
      <c r="C506" s="263"/>
      <c r="D506" s="263"/>
      <c r="E506" s="263"/>
      <c r="F506" s="263"/>
      <c r="G506" s="263"/>
      <c r="H506" s="263"/>
      <c r="I506" s="263"/>
      <c r="J506" s="242"/>
      <c r="K506" s="242"/>
      <c r="L506" s="242"/>
    </row>
    <row r="507" spans="1:12">
      <c r="A507" s="298"/>
      <c r="B507" s="227"/>
      <c r="C507" s="263"/>
      <c r="D507" s="263"/>
      <c r="E507" s="263"/>
      <c r="F507" s="263"/>
      <c r="G507" s="263"/>
      <c r="H507" s="263"/>
      <c r="I507" s="263"/>
      <c r="J507" s="242"/>
      <c r="K507" s="242"/>
      <c r="L507" s="242"/>
    </row>
    <row r="508" spans="1:12">
      <c r="A508" s="298"/>
      <c r="B508" s="227"/>
      <c r="C508" s="263"/>
      <c r="D508" s="263"/>
      <c r="E508" s="263"/>
      <c r="F508" s="263"/>
      <c r="G508" s="263"/>
      <c r="H508" s="263"/>
      <c r="I508" s="263"/>
      <c r="J508" s="242"/>
      <c r="K508" s="242"/>
      <c r="L508" s="242"/>
    </row>
    <row r="509" spans="1:12">
      <c r="A509" s="298"/>
      <c r="B509" s="227"/>
      <c r="C509" s="263"/>
      <c r="D509" s="263"/>
      <c r="E509" s="263"/>
      <c r="F509" s="263"/>
      <c r="G509" s="263"/>
      <c r="H509" s="263"/>
      <c r="I509" s="263"/>
      <c r="J509" s="242"/>
      <c r="K509" s="242"/>
      <c r="L509" s="242"/>
    </row>
    <row r="510" spans="1:12">
      <c r="A510" s="298"/>
      <c r="B510" s="227"/>
      <c r="C510" s="263"/>
      <c r="D510" s="263"/>
      <c r="E510" s="263"/>
      <c r="F510" s="263"/>
      <c r="G510" s="263"/>
      <c r="H510" s="263"/>
      <c r="I510" s="263"/>
      <c r="J510" s="242"/>
      <c r="K510" s="242"/>
      <c r="L510" s="242"/>
    </row>
    <row r="511" spans="1:12">
      <c r="A511" s="298"/>
      <c r="B511" s="227"/>
      <c r="C511" s="263"/>
      <c r="D511" s="263"/>
      <c r="E511" s="263"/>
      <c r="F511" s="263"/>
      <c r="G511" s="263"/>
      <c r="H511" s="263"/>
      <c r="I511" s="263"/>
      <c r="J511" s="242"/>
      <c r="K511" s="242"/>
      <c r="L511" s="242"/>
    </row>
    <row r="512" spans="1:12">
      <c r="A512" s="298"/>
      <c r="B512" s="227"/>
      <c r="C512" s="263"/>
      <c r="D512" s="263"/>
      <c r="E512" s="263"/>
      <c r="F512" s="263"/>
      <c r="G512" s="263"/>
      <c r="H512" s="263"/>
      <c r="I512" s="263"/>
      <c r="J512" s="242"/>
      <c r="K512" s="242"/>
      <c r="L512" s="242"/>
    </row>
    <row r="513" spans="1:12">
      <c r="A513" s="298"/>
      <c r="B513" s="227"/>
      <c r="C513" s="263"/>
      <c r="D513" s="263"/>
      <c r="E513" s="263"/>
      <c r="F513" s="263"/>
      <c r="G513" s="263"/>
      <c r="H513" s="263"/>
      <c r="I513" s="263"/>
      <c r="J513" s="242"/>
      <c r="K513" s="242"/>
      <c r="L513" s="242"/>
    </row>
    <row r="514" spans="1:12">
      <c r="A514" s="298"/>
      <c r="B514" s="227"/>
      <c r="C514" s="263"/>
      <c r="D514" s="263"/>
      <c r="E514" s="263"/>
      <c r="F514" s="263"/>
      <c r="G514" s="263"/>
      <c r="H514" s="263"/>
      <c r="I514" s="263"/>
      <c r="J514" s="242"/>
      <c r="K514" s="242"/>
      <c r="L514" s="242"/>
    </row>
    <row r="515" spans="1:12">
      <c r="A515" s="298"/>
      <c r="B515" s="227"/>
      <c r="C515" s="263"/>
      <c r="D515" s="263"/>
      <c r="E515" s="263"/>
      <c r="F515" s="263"/>
      <c r="G515" s="263"/>
      <c r="H515" s="263"/>
      <c r="I515" s="263"/>
      <c r="J515" s="242"/>
      <c r="K515" s="242"/>
      <c r="L515" s="242"/>
    </row>
    <row r="516" spans="1:12">
      <c r="A516" s="298"/>
      <c r="B516" s="227"/>
      <c r="C516" s="263"/>
      <c r="D516" s="263"/>
      <c r="E516" s="263"/>
      <c r="F516" s="263"/>
      <c r="G516" s="263"/>
      <c r="H516" s="263"/>
      <c r="I516" s="263"/>
      <c r="J516" s="242"/>
      <c r="K516" s="242"/>
      <c r="L516" s="242"/>
    </row>
    <row r="517" spans="1:12">
      <c r="A517" s="298"/>
      <c r="B517" s="227"/>
      <c r="C517" s="263"/>
      <c r="D517" s="263"/>
      <c r="E517" s="263"/>
      <c r="F517" s="263"/>
      <c r="G517" s="263"/>
      <c r="H517" s="263"/>
      <c r="I517" s="263"/>
      <c r="J517" s="242"/>
      <c r="K517" s="242"/>
      <c r="L517" s="242"/>
    </row>
    <row r="518" spans="1:12">
      <c r="A518" s="298"/>
      <c r="B518" s="227"/>
      <c r="C518" s="263"/>
      <c r="D518" s="263"/>
      <c r="E518" s="263"/>
      <c r="F518" s="263"/>
      <c r="G518" s="263"/>
      <c r="H518" s="263"/>
      <c r="I518" s="263"/>
      <c r="J518" s="242"/>
      <c r="K518" s="242"/>
      <c r="L518" s="242"/>
    </row>
    <row r="519" spans="1:12">
      <c r="A519" s="298"/>
      <c r="B519" s="227"/>
      <c r="C519" s="263"/>
      <c r="D519" s="263"/>
      <c r="E519" s="263"/>
      <c r="F519" s="263"/>
      <c r="G519" s="263"/>
      <c r="H519" s="263"/>
      <c r="I519" s="263"/>
      <c r="J519" s="242"/>
      <c r="K519" s="242"/>
      <c r="L519" s="242"/>
    </row>
    <row r="520" spans="1:12">
      <c r="A520" s="298"/>
      <c r="B520" s="227"/>
      <c r="C520" s="263"/>
      <c r="D520" s="263"/>
      <c r="E520" s="263"/>
      <c r="F520" s="263"/>
      <c r="G520" s="263"/>
      <c r="H520" s="263"/>
      <c r="I520" s="263"/>
      <c r="J520" s="242"/>
      <c r="K520" s="242"/>
      <c r="L520" s="242"/>
    </row>
    <row r="521" spans="1:12">
      <c r="A521" s="298"/>
      <c r="B521" s="227"/>
      <c r="C521" s="263"/>
      <c r="D521" s="263"/>
      <c r="E521" s="263"/>
      <c r="F521" s="263"/>
      <c r="G521" s="263"/>
      <c r="H521" s="263"/>
      <c r="I521" s="263"/>
      <c r="J521" s="242"/>
      <c r="K521" s="242"/>
      <c r="L521" s="242"/>
    </row>
    <row r="522" spans="1:12">
      <c r="A522" s="298"/>
      <c r="B522" s="227"/>
      <c r="C522" s="263"/>
      <c r="D522" s="263"/>
      <c r="E522" s="263"/>
      <c r="F522" s="263"/>
      <c r="G522" s="263"/>
      <c r="H522" s="263"/>
      <c r="I522" s="263"/>
      <c r="J522" s="242"/>
      <c r="K522" s="242"/>
      <c r="L522" s="242"/>
    </row>
    <row r="523" spans="1:12">
      <c r="A523" s="298"/>
      <c r="B523" s="227"/>
      <c r="C523" s="263"/>
      <c r="D523" s="263"/>
      <c r="E523" s="263"/>
      <c r="F523" s="263"/>
      <c r="G523" s="263"/>
      <c r="H523" s="263"/>
      <c r="I523" s="263"/>
      <c r="J523" s="242"/>
      <c r="K523" s="242"/>
      <c r="L523" s="242"/>
    </row>
    <row r="524" spans="1:12">
      <c r="A524" s="298"/>
      <c r="B524" s="227"/>
      <c r="C524" s="263"/>
      <c r="D524" s="263"/>
      <c r="E524" s="263"/>
      <c r="F524" s="263"/>
      <c r="G524" s="263"/>
      <c r="H524" s="263"/>
      <c r="I524" s="263"/>
      <c r="J524" s="242"/>
      <c r="K524" s="242"/>
      <c r="L524" s="242"/>
    </row>
    <row r="525" spans="1:12">
      <c r="A525" s="298"/>
      <c r="B525" s="227"/>
      <c r="C525" s="263"/>
      <c r="D525" s="263"/>
      <c r="E525" s="263"/>
      <c r="F525" s="263"/>
      <c r="G525" s="263"/>
      <c r="H525" s="263"/>
      <c r="I525" s="263"/>
      <c r="J525" s="242"/>
      <c r="K525" s="242"/>
      <c r="L525" s="242"/>
    </row>
    <row r="526" spans="1:12">
      <c r="A526" s="298"/>
      <c r="B526" s="227"/>
      <c r="C526" s="263"/>
      <c r="D526" s="263"/>
      <c r="E526" s="263"/>
      <c r="F526" s="263"/>
      <c r="G526" s="263"/>
      <c r="H526" s="263"/>
      <c r="I526" s="263"/>
      <c r="J526" s="242"/>
      <c r="K526" s="242"/>
      <c r="L526" s="242"/>
    </row>
    <row r="527" spans="1:12">
      <c r="A527" s="298"/>
      <c r="B527" s="227"/>
      <c r="C527" s="263"/>
      <c r="D527" s="263"/>
      <c r="E527" s="263"/>
      <c r="F527" s="263"/>
      <c r="G527" s="263"/>
      <c r="H527" s="263"/>
      <c r="I527" s="263"/>
      <c r="J527" s="242"/>
      <c r="K527" s="242"/>
      <c r="L527" s="242"/>
    </row>
    <row r="528" spans="1:12">
      <c r="A528" s="298"/>
      <c r="B528" s="227"/>
      <c r="C528" s="263"/>
      <c r="D528" s="263"/>
      <c r="E528" s="263"/>
      <c r="F528" s="263"/>
      <c r="G528" s="263"/>
      <c r="H528" s="263"/>
      <c r="I528" s="263"/>
      <c r="J528" s="242"/>
      <c r="K528" s="242"/>
      <c r="L528" s="242"/>
    </row>
    <row r="529" spans="1:12">
      <c r="A529" s="298"/>
      <c r="B529" s="227"/>
      <c r="C529" s="263"/>
      <c r="D529" s="263"/>
      <c r="E529" s="263"/>
      <c r="F529" s="263"/>
      <c r="G529" s="263"/>
      <c r="H529" s="263"/>
      <c r="I529" s="263"/>
      <c r="J529" s="242"/>
      <c r="K529" s="242"/>
      <c r="L529" s="242"/>
    </row>
    <row r="530" spans="1:12">
      <c r="A530" s="298"/>
      <c r="B530" s="227"/>
      <c r="C530" s="263"/>
      <c r="D530" s="263"/>
      <c r="E530" s="263"/>
      <c r="F530" s="263"/>
      <c r="G530" s="263"/>
      <c r="H530" s="263"/>
      <c r="I530" s="263"/>
      <c r="J530" s="242"/>
      <c r="K530" s="242"/>
      <c r="L530" s="242"/>
    </row>
    <row r="531" spans="1:12">
      <c r="A531" s="298"/>
      <c r="B531" s="227"/>
      <c r="C531" s="263"/>
      <c r="D531" s="263"/>
      <c r="E531" s="263"/>
      <c r="F531" s="263"/>
      <c r="G531" s="263"/>
      <c r="H531" s="263"/>
      <c r="I531" s="263"/>
      <c r="J531" s="242"/>
      <c r="K531" s="242"/>
      <c r="L531" s="242"/>
    </row>
    <row r="532" spans="1:12">
      <c r="A532" s="298"/>
      <c r="B532" s="227"/>
      <c r="C532" s="263"/>
      <c r="D532" s="263"/>
      <c r="E532" s="263"/>
      <c r="F532" s="263"/>
      <c r="G532" s="263"/>
      <c r="H532" s="263"/>
      <c r="I532" s="263"/>
      <c r="J532" s="242"/>
      <c r="K532" s="242"/>
      <c r="L532" s="242"/>
    </row>
    <row r="533" spans="1:12">
      <c r="A533" s="298"/>
      <c r="B533" s="227"/>
      <c r="C533" s="263"/>
      <c r="D533" s="263"/>
      <c r="E533" s="263"/>
      <c r="F533" s="263"/>
      <c r="G533" s="263"/>
      <c r="H533" s="263"/>
      <c r="I533" s="263"/>
      <c r="J533" s="242"/>
      <c r="K533" s="242"/>
      <c r="L533" s="242"/>
    </row>
    <row r="534" spans="1:12">
      <c r="A534" s="298"/>
      <c r="B534" s="227"/>
      <c r="C534" s="263"/>
      <c r="D534" s="263"/>
      <c r="E534" s="263"/>
      <c r="F534" s="263"/>
      <c r="G534" s="263"/>
      <c r="H534" s="263"/>
      <c r="I534" s="263"/>
      <c r="J534" s="242"/>
      <c r="K534" s="242"/>
      <c r="L534" s="242"/>
    </row>
    <row r="535" spans="1:12">
      <c r="A535" s="298"/>
      <c r="B535" s="227"/>
      <c r="C535" s="263"/>
      <c r="D535" s="263"/>
      <c r="E535" s="263"/>
      <c r="F535" s="263"/>
      <c r="G535" s="263"/>
      <c r="H535" s="263"/>
      <c r="I535" s="263"/>
      <c r="J535" s="242"/>
      <c r="K535" s="242"/>
      <c r="L535" s="242"/>
    </row>
    <row r="536" spans="1:12">
      <c r="A536" s="298"/>
      <c r="B536" s="227"/>
      <c r="C536" s="263"/>
      <c r="D536" s="263"/>
      <c r="E536" s="263"/>
      <c r="F536" s="263"/>
      <c r="G536" s="263"/>
      <c r="H536" s="263"/>
      <c r="I536" s="263"/>
      <c r="J536" s="242"/>
      <c r="K536" s="242"/>
      <c r="L536" s="242"/>
    </row>
    <row r="537" spans="1:12">
      <c r="A537" s="298"/>
      <c r="B537" s="227"/>
      <c r="C537" s="263"/>
      <c r="D537" s="263"/>
      <c r="E537" s="263"/>
      <c r="F537" s="263"/>
      <c r="G537" s="263"/>
      <c r="H537" s="263"/>
      <c r="I537" s="263"/>
      <c r="J537" s="242"/>
      <c r="K537" s="242"/>
      <c r="L537" s="242"/>
    </row>
    <row r="538" spans="1:12">
      <c r="A538" s="298"/>
      <c r="B538" s="227"/>
      <c r="C538" s="263"/>
      <c r="D538" s="263"/>
      <c r="E538" s="263"/>
      <c r="F538" s="263"/>
      <c r="G538" s="263"/>
      <c r="H538" s="263"/>
      <c r="I538" s="263"/>
      <c r="J538" s="242"/>
      <c r="K538" s="242"/>
      <c r="L538" s="242"/>
    </row>
    <row r="539" spans="1:12">
      <c r="A539" s="298"/>
      <c r="B539" s="227"/>
      <c r="C539" s="263"/>
      <c r="D539" s="263"/>
      <c r="E539" s="263"/>
      <c r="F539" s="263"/>
      <c r="G539" s="263"/>
      <c r="H539" s="263"/>
      <c r="I539" s="263"/>
      <c r="J539" s="242"/>
      <c r="K539" s="242"/>
      <c r="L539" s="242"/>
    </row>
    <row r="540" spans="1:12">
      <c r="A540" s="298"/>
      <c r="B540" s="227"/>
      <c r="C540" s="263"/>
      <c r="D540" s="263"/>
      <c r="E540" s="263"/>
      <c r="F540" s="263"/>
      <c r="G540" s="263"/>
      <c r="H540" s="263"/>
      <c r="I540" s="263"/>
      <c r="J540" s="242"/>
      <c r="K540" s="242"/>
      <c r="L540" s="242"/>
    </row>
    <row r="541" spans="1:12">
      <c r="A541" s="298"/>
      <c r="B541" s="227"/>
      <c r="C541" s="263"/>
      <c r="D541" s="263"/>
      <c r="E541" s="263"/>
      <c r="F541" s="263"/>
      <c r="G541" s="263"/>
      <c r="H541" s="263"/>
      <c r="I541" s="263"/>
      <c r="J541" s="242"/>
      <c r="K541" s="242"/>
      <c r="L541" s="242"/>
    </row>
    <row r="542" spans="1:12">
      <c r="A542" s="298"/>
      <c r="B542" s="227"/>
      <c r="C542" s="263"/>
      <c r="D542" s="263"/>
      <c r="E542" s="263"/>
      <c r="F542" s="263"/>
      <c r="G542" s="263"/>
      <c r="H542" s="263"/>
      <c r="I542" s="263"/>
      <c r="J542" s="242"/>
      <c r="K542" s="242"/>
      <c r="L542" s="242"/>
    </row>
    <row r="543" spans="1:12">
      <c r="A543" s="298"/>
      <c r="B543" s="227"/>
      <c r="C543" s="263"/>
      <c r="D543" s="263"/>
      <c r="E543" s="263"/>
      <c r="F543" s="263"/>
      <c r="G543" s="263"/>
      <c r="H543" s="263"/>
      <c r="I543" s="263"/>
      <c r="J543" s="242"/>
      <c r="K543" s="242"/>
      <c r="L543" s="242"/>
    </row>
    <row r="544" spans="1:12">
      <c r="A544" s="298"/>
      <c r="B544" s="227"/>
      <c r="C544" s="263"/>
      <c r="D544" s="263"/>
      <c r="E544" s="263"/>
      <c r="F544" s="263"/>
      <c r="G544" s="263"/>
      <c r="H544" s="263"/>
      <c r="I544" s="263"/>
      <c r="J544" s="242"/>
      <c r="K544" s="242"/>
      <c r="L544" s="242"/>
    </row>
    <row r="545" spans="1:12">
      <c r="A545" s="298"/>
      <c r="B545" s="227"/>
      <c r="C545" s="263"/>
      <c r="D545" s="263"/>
      <c r="E545" s="263"/>
      <c r="F545" s="263"/>
      <c r="G545" s="263"/>
      <c r="H545" s="263"/>
      <c r="I545" s="263"/>
      <c r="J545" s="242"/>
      <c r="K545" s="242"/>
      <c r="L545" s="242"/>
    </row>
    <row r="546" spans="1:12">
      <c r="A546" s="298"/>
      <c r="B546" s="227"/>
      <c r="C546" s="263"/>
      <c r="D546" s="263"/>
      <c r="E546" s="263"/>
      <c r="F546" s="263"/>
      <c r="G546" s="263"/>
      <c r="H546" s="263"/>
      <c r="I546" s="263"/>
      <c r="J546" s="242"/>
      <c r="K546" s="242"/>
      <c r="L546" s="242"/>
    </row>
    <row r="547" spans="1:12">
      <c r="A547" s="298"/>
      <c r="B547" s="227"/>
      <c r="C547" s="263"/>
      <c r="D547" s="263"/>
      <c r="E547" s="263"/>
      <c r="F547" s="263"/>
      <c r="G547" s="263"/>
      <c r="H547" s="263"/>
      <c r="I547" s="263"/>
      <c r="J547" s="242"/>
      <c r="K547" s="242"/>
      <c r="L547" s="242"/>
    </row>
    <row r="548" spans="1:12">
      <c r="A548" s="298"/>
      <c r="B548" s="227"/>
      <c r="C548" s="263"/>
      <c r="D548" s="263"/>
      <c r="E548" s="263"/>
      <c r="F548" s="263"/>
      <c r="G548" s="263"/>
      <c r="H548" s="263"/>
      <c r="I548" s="263"/>
      <c r="J548" s="242"/>
      <c r="K548" s="242"/>
      <c r="L548" s="242"/>
    </row>
    <row r="549" spans="1:12">
      <c r="A549" s="298"/>
      <c r="B549" s="227"/>
      <c r="C549" s="263"/>
      <c r="D549" s="263"/>
      <c r="E549" s="263"/>
      <c r="F549" s="263"/>
      <c r="G549" s="263"/>
      <c r="H549" s="263"/>
      <c r="I549" s="263"/>
      <c r="J549" s="242"/>
      <c r="K549" s="242"/>
      <c r="L549" s="242"/>
    </row>
    <row r="550" spans="1:12">
      <c r="A550" s="298"/>
      <c r="B550" s="227"/>
      <c r="C550" s="263"/>
      <c r="D550" s="263"/>
      <c r="E550" s="263"/>
      <c r="F550" s="263"/>
      <c r="G550" s="263"/>
      <c r="H550" s="263"/>
      <c r="I550" s="263"/>
      <c r="J550" s="242"/>
      <c r="K550" s="242"/>
      <c r="L550" s="242"/>
    </row>
    <row r="551" spans="1:12">
      <c r="A551" s="298"/>
      <c r="B551" s="227"/>
      <c r="C551" s="263"/>
      <c r="D551" s="263"/>
      <c r="E551" s="263"/>
      <c r="F551" s="263"/>
      <c r="G551" s="263"/>
      <c r="H551" s="263"/>
      <c r="I551" s="263"/>
      <c r="J551" s="242"/>
      <c r="K551" s="242"/>
      <c r="L551" s="242"/>
    </row>
    <row r="552" spans="1:12">
      <c r="A552" s="298"/>
      <c r="B552" s="227"/>
      <c r="C552" s="263"/>
      <c r="D552" s="263"/>
      <c r="E552" s="263"/>
      <c r="F552" s="263"/>
      <c r="G552" s="263"/>
      <c r="H552" s="263"/>
      <c r="I552" s="263"/>
      <c r="J552" s="242"/>
      <c r="K552" s="242"/>
      <c r="L552" s="242"/>
    </row>
    <row r="553" spans="1:12">
      <c r="A553" s="298"/>
      <c r="B553" s="227"/>
      <c r="C553" s="263"/>
      <c r="D553" s="263"/>
      <c r="E553" s="263"/>
      <c r="F553" s="263"/>
      <c r="G553" s="263"/>
      <c r="H553" s="263"/>
      <c r="I553" s="263"/>
      <c r="J553" s="242"/>
      <c r="K553" s="242"/>
      <c r="L553" s="242"/>
    </row>
    <row r="554" spans="1:12">
      <c r="A554" s="298"/>
      <c r="B554" s="227"/>
      <c r="C554" s="263"/>
      <c r="D554" s="263"/>
      <c r="E554" s="263"/>
      <c r="F554" s="263"/>
      <c r="G554" s="263"/>
      <c r="H554" s="263"/>
      <c r="I554" s="263"/>
      <c r="J554" s="242"/>
      <c r="K554" s="242"/>
      <c r="L554" s="242"/>
    </row>
    <row r="555" spans="1:12">
      <c r="A555" s="298"/>
      <c r="B555" s="227"/>
      <c r="C555" s="263"/>
      <c r="D555" s="263"/>
      <c r="E555" s="263"/>
      <c r="F555" s="263"/>
      <c r="G555" s="263"/>
      <c r="H555" s="263"/>
      <c r="I555" s="263"/>
      <c r="J555" s="242"/>
      <c r="K555" s="242"/>
      <c r="L555" s="242"/>
    </row>
    <row r="556" spans="1:12">
      <c r="A556" s="298"/>
      <c r="B556" s="227"/>
      <c r="C556" s="263"/>
      <c r="D556" s="263"/>
      <c r="E556" s="263"/>
      <c r="F556" s="263"/>
      <c r="G556" s="263"/>
      <c r="H556" s="263"/>
      <c r="I556" s="263"/>
      <c r="J556" s="242"/>
      <c r="K556" s="242"/>
      <c r="L556" s="242"/>
    </row>
    <row r="557" spans="1:12">
      <c r="A557" s="298"/>
      <c r="B557" s="227"/>
      <c r="C557" s="263"/>
      <c r="D557" s="263"/>
      <c r="E557" s="263"/>
      <c r="F557" s="263"/>
      <c r="G557" s="263"/>
      <c r="H557" s="263"/>
      <c r="I557" s="263"/>
      <c r="J557" s="242"/>
      <c r="K557" s="242"/>
      <c r="L557" s="242"/>
    </row>
    <row r="558" spans="1:12">
      <c r="A558" s="298"/>
      <c r="B558" s="227"/>
      <c r="C558" s="263"/>
      <c r="D558" s="263"/>
      <c r="E558" s="263"/>
      <c r="F558" s="263"/>
      <c r="G558" s="263"/>
      <c r="H558" s="263"/>
      <c r="I558" s="263"/>
      <c r="J558" s="242"/>
      <c r="K558" s="242"/>
      <c r="L558" s="242"/>
    </row>
    <row r="559" spans="1:12">
      <c r="A559" s="298"/>
      <c r="B559" s="227"/>
      <c r="C559" s="263"/>
      <c r="D559" s="263"/>
      <c r="E559" s="263"/>
      <c r="F559" s="263"/>
      <c r="G559" s="263"/>
      <c r="H559" s="263"/>
      <c r="I559" s="263"/>
      <c r="J559" s="242"/>
      <c r="K559" s="242"/>
      <c r="L559" s="242"/>
    </row>
    <row r="560" spans="1:12">
      <c r="A560" s="298"/>
      <c r="B560" s="227"/>
      <c r="C560" s="263"/>
      <c r="D560" s="263"/>
      <c r="E560" s="263"/>
      <c r="F560" s="263"/>
      <c r="G560" s="263"/>
      <c r="H560" s="263"/>
      <c r="I560" s="263"/>
      <c r="J560" s="242"/>
      <c r="K560" s="242"/>
      <c r="L560" s="242"/>
    </row>
    <row r="561" spans="1:12">
      <c r="A561" s="298"/>
      <c r="B561" s="227"/>
      <c r="C561" s="263"/>
      <c r="D561" s="263"/>
      <c r="E561" s="263"/>
      <c r="F561" s="263"/>
      <c r="G561" s="263"/>
      <c r="H561" s="263"/>
      <c r="I561" s="263"/>
      <c r="J561" s="242"/>
      <c r="K561" s="242"/>
      <c r="L561" s="242"/>
    </row>
    <row r="562" spans="1:12">
      <c r="A562" s="298"/>
      <c r="B562" s="227"/>
      <c r="C562" s="263"/>
      <c r="D562" s="263"/>
      <c r="E562" s="263"/>
      <c r="F562" s="263"/>
      <c r="G562" s="263"/>
      <c r="H562" s="263"/>
      <c r="I562" s="263"/>
      <c r="J562" s="242"/>
      <c r="K562" s="242"/>
      <c r="L562" s="242"/>
    </row>
    <row r="563" spans="1:12">
      <c r="A563" s="298"/>
      <c r="B563" s="227"/>
      <c r="C563" s="263"/>
      <c r="D563" s="263"/>
      <c r="E563" s="263"/>
      <c r="F563" s="263"/>
      <c r="G563" s="263"/>
      <c r="H563" s="263"/>
      <c r="I563" s="263"/>
      <c r="J563" s="242"/>
      <c r="K563" s="242"/>
      <c r="L563" s="242"/>
    </row>
    <row r="564" spans="1:12">
      <c r="A564" s="298"/>
      <c r="B564" s="227"/>
      <c r="C564" s="263"/>
      <c r="D564" s="263"/>
      <c r="E564" s="263"/>
      <c r="F564" s="263"/>
      <c r="G564" s="263"/>
      <c r="H564" s="263"/>
      <c r="I564" s="263"/>
      <c r="J564" s="242"/>
      <c r="K564" s="242"/>
      <c r="L564" s="242"/>
    </row>
    <row r="565" spans="1:12">
      <c r="A565" s="298"/>
      <c r="B565" s="227"/>
      <c r="C565" s="263"/>
      <c r="D565" s="263"/>
      <c r="E565" s="263"/>
      <c r="F565" s="263"/>
      <c r="G565" s="263"/>
      <c r="H565" s="263"/>
      <c r="I565" s="263"/>
      <c r="J565" s="242"/>
      <c r="K565" s="242"/>
      <c r="L565" s="242"/>
    </row>
    <row r="566" spans="1:12">
      <c r="A566" s="298"/>
      <c r="B566" s="227"/>
      <c r="C566" s="263"/>
      <c r="D566" s="263"/>
      <c r="E566" s="263"/>
      <c r="F566" s="263"/>
      <c r="G566" s="263"/>
      <c r="H566" s="263"/>
      <c r="I566" s="263"/>
      <c r="J566" s="242"/>
      <c r="K566" s="242"/>
      <c r="L566" s="242"/>
    </row>
    <row r="567" spans="1:12">
      <c r="A567" s="298"/>
      <c r="B567" s="227"/>
      <c r="C567" s="263"/>
      <c r="D567" s="263"/>
      <c r="E567" s="263"/>
      <c r="F567" s="263"/>
      <c r="G567" s="263"/>
      <c r="H567" s="263"/>
      <c r="I567" s="263"/>
      <c r="J567" s="242"/>
      <c r="K567" s="242"/>
      <c r="L567" s="242"/>
    </row>
    <row r="568" spans="1:12">
      <c r="A568" s="298"/>
      <c r="B568" s="227"/>
      <c r="C568" s="263"/>
      <c r="D568" s="263"/>
      <c r="E568" s="263"/>
      <c r="F568" s="263"/>
      <c r="G568" s="263"/>
      <c r="H568" s="263"/>
      <c r="I568" s="263"/>
      <c r="J568" s="242"/>
      <c r="K568" s="242"/>
      <c r="L568" s="242"/>
    </row>
    <row r="569" spans="1:12">
      <c r="A569" s="298"/>
      <c r="B569" s="227"/>
      <c r="C569" s="263"/>
      <c r="D569" s="263"/>
      <c r="E569" s="263"/>
      <c r="F569" s="263"/>
      <c r="G569" s="263"/>
      <c r="H569" s="263"/>
      <c r="I569" s="263"/>
      <c r="J569" s="242"/>
      <c r="K569" s="242"/>
      <c r="L569" s="242"/>
    </row>
    <row r="570" spans="1:12">
      <c r="A570" s="298"/>
      <c r="B570" s="227"/>
      <c r="C570" s="263"/>
      <c r="D570" s="263"/>
      <c r="E570" s="263"/>
      <c r="F570" s="263"/>
      <c r="G570" s="263"/>
      <c r="H570" s="263"/>
      <c r="I570" s="263"/>
      <c r="J570" s="242"/>
      <c r="K570" s="242"/>
      <c r="L570" s="242"/>
    </row>
    <row r="571" spans="1:12">
      <c r="A571" s="298"/>
      <c r="B571" s="227"/>
      <c r="C571" s="263"/>
      <c r="D571" s="263"/>
      <c r="E571" s="263"/>
      <c r="F571" s="263"/>
      <c r="G571" s="263"/>
      <c r="H571" s="263"/>
      <c r="I571" s="263"/>
      <c r="J571" s="242"/>
      <c r="K571" s="242"/>
      <c r="L571" s="242"/>
    </row>
    <row r="572" spans="1:12">
      <c r="A572" s="298"/>
      <c r="B572" s="227"/>
      <c r="C572" s="263"/>
      <c r="D572" s="263"/>
      <c r="E572" s="263"/>
      <c r="F572" s="263"/>
      <c r="G572" s="263"/>
      <c r="H572" s="263"/>
      <c r="I572" s="263"/>
      <c r="J572" s="242"/>
      <c r="K572" s="242"/>
      <c r="L572" s="242"/>
    </row>
    <row r="573" spans="1:12">
      <c r="A573" s="298"/>
      <c r="B573" s="227"/>
      <c r="C573" s="263"/>
      <c r="D573" s="263"/>
      <c r="E573" s="263"/>
      <c r="F573" s="263"/>
      <c r="G573" s="263"/>
      <c r="H573" s="263"/>
      <c r="I573" s="263"/>
      <c r="J573" s="242"/>
      <c r="K573" s="242"/>
      <c r="L573" s="242"/>
    </row>
    <row r="574" spans="1:12">
      <c r="A574" s="298"/>
      <c r="B574" s="227"/>
      <c r="C574" s="263"/>
      <c r="D574" s="263"/>
      <c r="E574" s="263"/>
      <c r="F574" s="263"/>
      <c r="G574" s="263"/>
      <c r="H574" s="263"/>
      <c r="I574" s="263"/>
      <c r="J574" s="242"/>
      <c r="K574" s="242"/>
      <c r="L574" s="242"/>
    </row>
    <row r="575" spans="1:12">
      <c r="A575" s="298"/>
      <c r="B575" s="227"/>
      <c r="C575" s="263"/>
      <c r="D575" s="263"/>
      <c r="E575" s="263"/>
      <c r="F575" s="263"/>
      <c r="G575" s="263"/>
      <c r="H575" s="263"/>
      <c r="I575" s="263"/>
      <c r="J575" s="242"/>
      <c r="K575" s="242"/>
      <c r="L575" s="242"/>
    </row>
    <row r="576" spans="1:12">
      <c r="A576" s="298"/>
      <c r="B576" s="227"/>
      <c r="C576" s="263"/>
      <c r="D576" s="263"/>
      <c r="E576" s="263"/>
      <c r="F576" s="263"/>
      <c r="G576" s="263"/>
      <c r="H576" s="263"/>
      <c r="I576" s="263"/>
      <c r="J576" s="242"/>
      <c r="K576" s="242"/>
      <c r="L576" s="242"/>
    </row>
    <row r="577" spans="1:12">
      <c r="A577" s="298"/>
      <c r="B577" s="227"/>
      <c r="C577" s="263"/>
      <c r="D577" s="263"/>
      <c r="E577" s="263"/>
      <c r="F577" s="263"/>
      <c r="G577" s="263"/>
      <c r="H577" s="263"/>
      <c r="I577" s="263"/>
      <c r="J577" s="242"/>
      <c r="K577" s="242"/>
      <c r="L577" s="242"/>
    </row>
    <row r="578" spans="1:12">
      <c r="A578" s="298"/>
      <c r="B578" s="227"/>
      <c r="C578" s="263"/>
      <c r="D578" s="263"/>
      <c r="E578" s="263"/>
      <c r="F578" s="263"/>
      <c r="G578" s="263"/>
      <c r="H578" s="263"/>
      <c r="I578" s="263"/>
      <c r="J578" s="242"/>
      <c r="K578" s="242"/>
      <c r="L578" s="242"/>
    </row>
    <row r="579" spans="1:12">
      <c r="A579" s="298"/>
      <c r="B579" s="227"/>
      <c r="C579" s="263"/>
      <c r="D579" s="263"/>
      <c r="E579" s="263"/>
      <c r="F579" s="263"/>
      <c r="G579" s="263"/>
      <c r="H579" s="263"/>
      <c r="I579" s="263"/>
      <c r="J579" s="242"/>
      <c r="K579" s="242"/>
      <c r="L579" s="242"/>
    </row>
    <row r="580" spans="1:12">
      <c r="A580" s="298"/>
      <c r="B580" s="227"/>
      <c r="C580" s="263"/>
      <c r="D580" s="263"/>
      <c r="E580" s="263"/>
      <c r="F580" s="263"/>
      <c r="G580" s="263"/>
      <c r="H580" s="263"/>
      <c r="I580" s="263"/>
      <c r="J580" s="242"/>
      <c r="K580" s="242"/>
      <c r="L580" s="242"/>
    </row>
    <row r="581" spans="1:12">
      <c r="A581" s="298"/>
      <c r="B581" s="227"/>
      <c r="C581" s="263"/>
      <c r="D581" s="263"/>
      <c r="E581" s="263"/>
      <c r="F581" s="263"/>
      <c r="G581" s="263"/>
      <c r="H581" s="263"/>
      <c r="I581" s="263"/>
      <c r="J581" s="242"/>
      <c r="K581" s="242"/>
      <c r="L581" s="242"/>
    </row>
    <row r="582" spans="1:12">
      <c r="A582" s="298"/>
      <c r="B582" s="227"/>
      <c r="C582" s="263"/>
      <c r="D582" s="263"/>
      <c r="E582" s="263"/>
      <c r="F582" s="263"/>
      <c r="G582" s="263"/>
      <c r="H582" s="263"/>
      <c r="I582" s="263"/>
      <c r="J582" s="242"/>
      <c r="K582" s="242"/>
      <c r="L582" s="242"/>
    </row>
    <row r="583" spans="1:12">
      <c r="A583" s="298"/>
      <c r="B583" s="227"/>
      <c r="C583" s="263"/>
      <c r="D583" s="263"/>
      <c r="E583" s="263"/>
      <c r="F583" s="263"/>
      <c r="G583" s="263"/>
      <c r="H583" s="263"/>
      <c r="I583" s="263"/>
      <c r="J583" s="242"/>
      <c r="K583" s="242"/>
      <c r="L583" s="242"/>
    </row>
    <row r="584" spans="1:12">
      <c r="A584" s="298"/>
      <c r="B584" s="227"/>
      <c r="C584" s="263"/>
      <c r="D584" s="263"/>
      <c r="E584" s="263"/>
      <c r="F584" s="263"/>
      <c r="G584" s="263"/>
      <c r="H584" s="263"/>
      <c r="I584" s="263"/>
      <c r="J584" s="242"/>
      <c r="K584" s="242"/>
      <c r="L584" s="242"/>
    </row>
    <row r="585" spans="1:12">
      <c r="A585" s="298"/>
      <c r="B585" s="227"/>
      <c r="C585" s="263"/>
      <c r="D585" s="263"/>
      <c r="E585" s="263"/>
      <c r="F585" s="263"/>
      <c r="G585" s="263"/>
      <c r="H585" s="263"/>
      <c r="I585" s="263"/>
      <c r="J585" s="242"/>
      <c r="K585" s="242"/>
      <c r="L585" s="242"/>
    </row>
    <row r="586" spans="1:12">
      <c r="A586" s="298"/>
      <c r="B586" s="227"/>
      <c r="C586" s="263"/>
      <c r="D586" s="263"/>
      <c r="E586" s="263"/>
      <c r="F586" s="263"/>
      <c r="G586" s="263"/>
      <c r="H586" s="263"/>
      <c r="I586" s="263"/>
      <c r="J586" s="242"/>
      <c r="K586" s="242"/>
      <c r="L586" s="242"/>
    </row>
    <row r="587" spans="1:12">
      <c r="A587" s="298"/>
      <c r="B587" s="227"/>
      <c r="C587" s="263"/>
      <c r="D587" s="263"/>
      <c r="E587" s="263"/>
      <c r="F587" s="263"/>
      <c r="G587" s="263"/>
      <c r="H587" s="263"/>
      <c r="I587" s="263"/>
      <c r="J587" s="242"/>
      <c r="K587" s="242"/>
      <c r="L587" s="242"/>
    </row>
    <row r="588" spans="1:12">
      <c r="A588" s="298"/>
      <c r="B588" s="227"/>
      <c r="C588" s="263"/>
      <c r="D588" s="263"/>
      <c r="E588" s="263"/>
      <c r="F588" s="263"/>
      <c r="G588" s="263"/>
      <c r="H588" s="263"/>
      <c r="I588" s="263"/>
      <c r="J588" s="242"/>
      <c r="K588" s="242"/>
      <c r="L588" s="242"/>
    </row>
    <row r="589" spans="1:12">
      <c r="A589" s="298"/>
      <c r="B589" s="227"/>
      <c r="C589" s="263"/>
      <c r="D589" s="263"/>
      <c r="E589" s="263"/>
      <c r="F589" s="263"/>
      <c r="G589" s="263"/>
      <c r="H589" s="263"/>
      <c r="I589" s="263"/>
      <c r="J589" s="242"/>
      <c r="K589" s="242"/>
      <c r="L589" s="242"/>
    </row>
    <row r="590" spans="1:12">
      <c r="A590" s="298"/>
      <c r="B590" s="227"/>
      <c r="C590" s="263"/>
      <c r="D590" s="263"/>
      <c r="E590" s="263"/>
      <c r="F590" s="263"/>
      <c r="G590" s="263"/>
      <c r="H590" s="263"/>
      <c r="I590" s="263"/>
      <c r="J590" s="242"/>
      <c r="K590" s="242"/>
      <c r="L590" s="242"/>
    </row>
    <row r="591" spans="1:12">
      <c r="A591" s="298"/>
      <c r="B591" s="227"/>
      <c r="C591" s="263"/>
      <c r="D591" s="263"/>
      <c r="E591" s="263"/>
      <c r="F591" s="263"/>
      <c r="G591" s="263"/>
      <c r="H591" s="263"/>
      <c r="I591" s="263"/>
      <c r="J591" s="242"/>
      <c r="K591" s="242"/>
      <c r="L591" s="242"/>
    </row>
    <row r="592" spans="1:12">
      <c r="A592" s="298"/>
      <c r="B592" s="227"/>
      <c r="C592" s="263"/>
      <c r="D592" s="263"/>
      <c r="E592" s="263"/>
      <c r="F592" s="263"/>
      <c r="G592" s="263"/>
      <c r="H592" s="263"/>
      <c r="I592" s="263"/>
      <c r="J592" s="242"/>
      <c r="K592" s="242"/>
      <c r="L592" s="242"/>
    </row>
    <row r="593" spans="1:12">
      <c r="A593" s="298"/>
      <c r="B593" s="227"/>
      <c r="C593" s="263"/>
      <c r="D593" s="263"/>
      <c r="E593" s="263"/>
      <c r="F593" s="263"/>
      <c r="G593" s="263"/>
      <c r="H593" s="263"/>
      <c r="I593" s="263"/>
      <c r="J593" s="242"/>
      <c r="K593" s="242"/>
      <c r="L593" s="242"/>
    </row>
    <row r="594" spans="1:12">
      <c r="A594" s="298"/>
      <c r="B594" s="227"/>
      <c r="C594" s="263"/>
      <c r="D594" s="263"/>
      <c r="E594" s="263"/>
      <c r="F594" s="263"/>
      <c r="G594" s="263"/>
      <c r="H594" s="263"/>
      <c r="I594" s="263"/>
      <c r="J594" s="242"/>
      <c r="K594" s="242"/>
      <c r="L594" s="242"/>
    </row>
    <row r="595" spans="1:12">
      <c r="A595" s="298"/>
      <c r="B595" s="227"/>
      <c r="C595" s="263"/>
      <c r="D595" s="263"/>
      <c r="E595" s="263"/>
      <c r="F595" s="263"/>
      <c r="G595" s="263"/>
      <c r="H595" s="263"/>
      <c r="I595" s="263"/>
      <c r="J595" s="242"/>
      <c r="K595" s="242"/>
      <c r="L595" s="242"/>
    </row>
    <row r="596" spans="1:12">
      <c r="A596" s="298"/>
      <c r="B596" s="227"/>
      <c r="C596" s="263"/>
      <c r="D596" s="263"/>
      <c r="E596" s="263"/>
      <c r="F596" s="263"/>
      <c r="G596" s="263"/>
      <c r="H596" s="263"/>
      <c r="I596" s="263"/>
      <c r="J596" s="242"/>
      <c r="K596" s="242"/>
      <c r="L596" s="242"/>
    </row>
    <row r="597" spans="1:12">
      <c r="A597" s="298"/>
      <c r="B597" s="227"/>
      <c r="C597" s="263"/>
      <c r="D597" s="263"/>
      <c r="E597" s="263"/>
      <c r="F597" s="263"/>
      <c r="G597" s="263"/>
      <c r="H597" s="263"/>
      <c r="I597" s="263"/>
      <c r="J597" s="242"/>
      <c r="K597" s="242"/>
      <c r="L597" s="242"/>
    </row>
    <row r="598" spans="1:12">
      <c r="A598" s="298"/>
      <c r="B598" s="227"/>
      <c r="C598" s="263"/>
      <c r="D598" s="263"/>
      <c r="E598" s="263"/>
      <c r="F598" s="263"/>
      <c r="G598" s="263"/>
      <c r="H598" s="263"/>
      <c r="I598" s="263"/>
      <c r="J598" s="242"/>
      <c r="K598" s="242"/>
      <c r="L598" s="242"/>
    </row>
    <row r="599" spans="1:12">
      <c r="A599" s="298"/>
      <c r="B599" s="227"/>
      <c r="C599" s="263"/>
      <c r="D599" s="263"/>
      <c r="E599" s="263"/>
      <c r="F599" s="263"/>
      <c r="G599" s="263"/>
      <c r="H599" s="263"/>
      <c r="I599" s="263"/>
      <c r="J599" s="242"/>
      <c r="K599" s="242"/>
      <c r="L599" s="242"/>
    </row>
    <row r="600" spans="1:12">
      <c r="A600" s="298"/>
      <c r="B600" s="227"/>
      <c r="C600" s="263"/>
      <c r="D600" s="263"/>
      <c r="E600" s="263"/>
      <c r="F600" s="263"/>
      <c r="G600" s="263"/>
      <c r="H600" s="263"/>
      <c r="I600" s="263"/>
      <c r="J600" s="242"/>
      <c r="K600" s="242"/>
      <c r="L600" s="242"/>
    </row>
    <row r="601" spans="1:12">
      <c r="A601" s="298"/>
      <c r="B601" s="227"/>
      <c r="C601" s="263"/>
      <c r="D601" s="263"/>
      <c r="E601" s="263"/>
      <c r="F601" s="263"/>
      <c r="G601" s="263"/>
      <c r="H601" s="263"/>
      <c r="I601" s="263"/>
      <c r="J601" s="242"/>
      <c r="K601" s="242"/>
      <c r="L601" s="242"/>
    </row>
    <row r="602" spans="1:12">
      <c r="A602" s="298"/>
      <c r="B602" s="227"/>
      <c r="C602" s="263"/>
      <c r="D602" s="263"/>
      <c r="E602" s="263"/>
      <c r="F602" s="263"/>
      <c r="G602" s="263"/>
      <c r="H602" s="263"/>
      <c r="I602" s="263"/>
      <c r="J602" s="242"/>
      <c r="K602" s="242"/>
      <c r="L602" s="242"/>
    </row>
    <row r="603" spans="1:12">
      <c r="A603" s="298"/>
      <c r="B603" s="227"/>
      <c r="C603" s="263"/>
      <c r="D603" s="263"/>
      <c r="E603" s="263"/>
      <c r="F603" s="263"/>
      <c r="G603" s="263"/>
      <c r="H603" s="263"/>
      <c r="I603" s="263"/>
      <c r="J603" s="242"/>
      <c r="K603" s="242"/>
      <c r="L603" s="242"/>
    </row>
    <row r="604" spans="1:12">
      <c r="A604" s="298"/>
      <c r="B604" s="227"/>
      <c r="C604" s="263"/>
      <c r="D604" s="263"/>
      <c r="E604" s="263"/>
      <c r="F604" s="263"/>
      <c r="G604" s="263"/>
      <c r="H604" s="263"/>
      <c r="I604" s="263"/>
      <c r="J604" s="242"/>
      <c r="K604" s="242"/>
      <c r="L604" s="242"/>
    </row>
    <row r="605" spans="1:12">
      <c r="A605" s="298"/>
      <c r="B605" s="227"/>
      <c r="C605" s="263"/>
      <c r="D605" s="263"/>
      <c r="E605" s="263"/>
      <c r="F605" s="263"/>
      <c r="G605" s="263"/>
      <c r="H605" s="263"/>
      <c r="I605" s="263"/>
      <c r="J605" s="242"/>
      <c r="K605" s="242"/>
      <c r="L605" s="242"/>
    </row>
    <row r="606" spans="1:12">
      <c r="A606" s="298"/>
      <c r="B606" s="227"/>
      <c r="C606" s="263"/>
      <c r="D606" s="263"/>
      <c r="E606" s="263"/>
      <c r="F606" s="263"/>
      <c r="G606" s="263"/>
      <c r="H606" s="263"/>
      <c r="I606" s="263"/>
      <c r="J606" s="242"/>
      <c r="K606" s="242"/>
      <c r="L606" s="242"/>
    </row>
    <row r="607" spans="1:12">
      <c r="A607" s="298"/>
      <c r="B607" s="227"/>
      <c r="C607" s="263"/>
      <c r="D607" s="263"/>
      <c r="E607" s="263"/>
      <c r="F607" s="263"/>
      <c r="G607" s="263"/>
      <c r="H607" s="263"/>
      <c r="I607" s="263"/>
      <c r="J607" s="242"/>
      <c r="K607" s="242"/>
      <c r="L607" s="242"/>
    </row>
    <row r="608" spans="1:12">
      <c r="A608" s="298"/>
      <c r="B608" s="227"/>
      <c r="C608" s="263"/>
      <c r="D608" s="263"/>
      <c r="E608" s="263"/>
      <c r="F608" s="263"/>
      <c r="G608" s="263"/>
      <c r="H608" s="263"/>
      <c r="I608" s="263"/>
      <c r="J608" s="242"/>
      <c r="K608" s="242"/>
      <c r="L608" s="242"/>
    </row>
    <row r="609" spans="1:12">
      <c r="A609" s="298"/>
      <c r="B609" s="227"/>
      <c r="C609" s="263"/>
      <c r="D609" s="263"/>
      <c r="E609" s="263"/>
      <c r="F609" s="263"/>
      <c r="G609" s="263"/>
      <c r="H609" s="263"/>
      <c r="I609" s="263"/>
      <c r="J609" s="242"/>
      <c r="K609" s="242"/>
      <c r="L609" s="242"/>
    </row>
    <row r="610" spans="1:12">
      <c r="A610" s="298"/>
      <c r="B610" s="227"/>
      <c r="C610" s="263"/>
      <c r="D610" s="263"/>
      <c r="E610" s="263"/>
      <c r="F610" s="263"/>
      <c r="G610" s="263"/>
      <c r="H610" s="263"/>
      <c r="I610" s="263"/>
      <c r="J610" s="242"/>
      <c r="K610" s="242"/>
      <c r="L610" s="242"/>
    </row>
    <row r="611" spans="1:12">
      <c r="A611" s="298"/>
      <c r="B611" s="227"/>
      <c r="C611" s="263"/>
      <c r="D611" s="263"/>
      <c r="E611" s="263"/>
      <c r="F611" s="263"/>
      <c r="G611" s="263"/>
      <c r="H611" s="263"/>
      <c r="I611" s="263"/>
      <c r="J611" s="242"/>
      <c r="K611" s="242"/>
      <c r="L611" s="242"/>
    </row>
    <row r="612" spans="1:12">
      <c r="A612" s="298"/>
      <c r="B612" s="227"/>
      <c r="C612" s="263"/>
      <c r="D612" s="263"/>
      <c r="E612" s="263"/>
      <c r="F612" s="263"/>
      <c r="G612" s="263"/>
      <c r="H612" s="263"/>
      <c r="I612" s="263"/>
      <c r="J612" s="242"/>
      <c r="K612" s="242"/>
      <c r="L612" s="242"/>
    </row>
    <row r="613" spans="1:12">
      <c r="A613" s="298"/>
      <c r="B613" s="227"/>
      <c r="C613" s="263"/>
      <c r="D613" s="263"/>
      <c r="E613" s="263"/>
      <c r="F613" s="263"/>
      <c r="G613" s="263"/>
      <c r="H613" s="263"/>
      <c r="I613" s="263"/>
      <c r="J613" s="242"/>
      <c r="K613" s="242"/>
      <c r="L613" s="242"/>
    </row>
    <row r="614" spans="1:12">
      <c r="A614" s="298"/>
      <c r="B614" s="227"/>
      <c r="C614" s="263"/>
      <c r="D614" s="263"/>
      <c r="E614" s="263"/>
      <c r="F614" s="263"/>
      <c r="G614" s="263"/>
      <c r="H614" s="263"/>
      <c r="I614" s="263"/>
      <c r="J614" s="242"/>
      <c r="K614" s="242"/>
      <c r="L614" s="242"/>
    </row>
    <row r="615" spans="1:12">
      <c r="A615" s="298"/>
      <c r="B615" s="227"/>
      <c r="C615" s="263"/>
      <c r="D615" s="263"/>
      <c r="E615" s="263"/>
      <c r="F615" s="263"/>
      <c r="G615" s="263"/>
      <c r="H615" s="263"/>
      <c r="I615" s="263"/>
      <c r="J615" s="242"/>
      <c r="K615" s="242"/>
      <c r="L615" s="242"/>
    </row>
    <row r="616" spans="1:12">
      <c r="A616" s="298"/>
      <c r="B616" s="227"/>
      <c r="C616" s="263"/>
      <c r="D616" s="263"/>
      <c r="E616" s="263"/>
      <c r="F616" s="263"/>
      <c r="G616" s="263"/>
      <c r="H616" s="263"/>
      <c r="I616" s="263"/>
      <c r="J616" s="242"/>
      <c r="K616" s="242"/>
      <c r="L616" s="242"/>
    </row>
    <row r="617" spans="1:12">
      <c r="A617" s="298"/>
      <c r="B617" s="227"/>
      <c r="C617" s="263"/>
      <c r="D617" s="263"/>
      <c r="E617" s="263"/>
      <c r="F617" s="263"/>
      <c r="G617" s="263"/>
      <c r="H617" s="263"/>
      <c r="I617" s="263"/>
      <c r="J617" s="242"/>
      <c r="K617" s="242"/>
      <c r="L617" s="242"/>
    </row>
    <row r="618" spans="1:12">
      <c r="A618" s="298"/>
      <c r="B618" s="227"/>
      <c r="C618" s="263"/>
      <c r="D618" s="263"/>
      <c r="E618" s="263"/>
      <c r="F618" s="263"/>
      <c r="G618" s="263"/>
      <c r="H618" s="263"/>
      <c r="I618" s="263"/>
      <c r="J618" s="242"/>
      <c r="K618" s="242"/>
      <c r="L618" s="242"/>
    </row>
    <row r="619" spans="1:12">
      <c r="A619" s="298"/>
      <c r="B619" s="227"/>
      <c r="C619" s="263"/>
      <c r="D619" s="263"/>
      <c r="E619" s="263"/>
      <c r="F619" s="263"/>
      <c r="G619" s="263"/>
      <c r="H619" s="263"/>
      <c r="I619" s="263"/>
      <c r="J619" s="242"/>
      <c r="K619" s="242"/>
      <c r="L619" s="242"/>
    </row>
    <row r="620" spans="1:12">
      <c r="A620" s="298"/>
      <c r="B620" s="227"/>
      <c r="C620" s="263"/>
      <c r="D620" s="263"/>
      <c r="E620" s="263"/>
      <c r="F620" s="263"/>
      <c r="G620" s="263"/>
      <c r="H620" s="263"/>
      <c r="I620" s="263"/>
      <c r="J620" s="242"/>
      <c r="K620" s="242"/>
      <c r="L620" s="242"/>
    </row>
    <row r="621" spans="1:12">
      <c r="A621" s="298"/>
      <c r="B621" s="227"/>
      <c r="C621" s="263"/>
      <c r="D621" s="263"/>
      <c r="E621" s="263"/>
      <c r="F621" s="263"/>
      <c r="G621" s="263"/>
      <c r="H621" s="263"/>
      <c r="I621" s="263"/>
      <c r="J621" s="242"/>
      <c r="K621" s="242"/>
      <c r="L621" s="242"/>
    </row>
    <row r="622" spans="1:12">
      <c r="A622" s="298"/>
      <c r="B622" s="227"/>
      <c r="C622" s="263"/>
      <c r="D622" s="263"/>
      <c r="E622" s="263"/>
      <c r="F622" s="263"/>
      <c r="G622" s="263"/>
      <c r="H622" s="263"/>
      <c r="I622" s="263"/>
      <c r="J622" s="242"/>
      <c r="K622" s="242"/>
      <c r="L622" s="242"/>
    </row>
    <row r="623" spans="1:12">
      <c r="A623" s="298"/>
      <c r="B623" s="227"/>
      <c r="C623" s="263"/>
      <c r="D623" s="263"/>
      <c r="E623" s="263"/>
      <c r="F623" s="263"/>
      <c r="G623" s="263"/>
      <c r="H623" s="263"/>
      <c r="I623" s="263"/>
      <c r="J623" s="242"/>
      <c r="K623" s="242"/>
      <c r="L623" s="242"/>
    </row>
    <row r="624" spans="1:12">
      <c r="A624" s="298"/>
      <c r="B624" s="227"/>
      <c r="C624" s="263"/>
      <c r="D624" s="263"/>
      <c r="E624" s="263"/>
      <c r="F624" s="263"/>
      <c r="G624" s="263"/>
      <c r="H624" s="263"/>
      <c r="I624" s="263"/>
      <c r="J624" s="242"/>
      <c r="K624" s="242"/>
      <c r="L624" s="242"/>
    </row>
    <row r="625" spans="1:12">
      <c r="A625" s="298"/>
      <c r="B625" s="227"/>
      <c r="C625" s="263"/>
      <c r="D625" s="263"/>
      <c r="E625" s="263"/>
      <c r="F625" s="263"/>
      <c r="G625" s="263"/>
      <c r="H625" s="263"/>
      <c r="I625" s="263"/>
      <c r="J625" s="242"/>
      <c r="K625" s="242"/>
      <c r="L625" s="242"/>
    </row>
    <row r="626" spans="1:12">
      <c r="A626" s="298"/>
      <c r="B626" s="227"/>
      <c r="C626" s="263"/>
      <c r="D626" s="263"/>
      <c r="E626" s="263"/>
      <c r="F626" s="263"/>
      <c r="G626" s="263"/>
      <c r="H626" s="263"/>
      <c r="I626" s="263"/>
      <c r="J626" s="242"/>
      <c r="K626" s="242"/>
      <c r="L626" s="242"/>
    </row>
    <row r="627" spans="1:12">
      <c r="A627" s="298"/>
      <c r="B627" s="227"/>
      <c r="C627" s="263"/>
      <c r="D627" s="263"/>
      <c r="E627" s="263"/>
      <c r="F627" s="263"/>
      <c r="G627" s="263"/>
      <c r="H627" s="263"/>
      <c r="I627" s="263"/>
      <c r="J627" s="242"/>
      <c r="K627" s="242"/>
      <c r="L627" s="242"/>
    </row>
    <row r="628" spans="1:12">
      <c r="A628" s="298"/>
      <c r="B628" s="227"/>
      <c r="C628" s="263"/>
      <c r="D628" s="263"/>
      <c r="E628" s="263"/>
      <c r="F628" s="263"/>
      <c r="G628" s="263"/>
      <c r="H628" s="263"/>
      <c r="I628" s="263"/>
      <c r="J628" s="242"/>
      <c r="K628" s="242"/>
      <c r="L628" s="242"/>
    </row>
    <row r="629" spans="1:12">
      <c r="A629" s="298"/>
      <c r="B629" s="227"/>
      <c r="C629" s="263"/>
      <c r="D629" s="263"/>
      <c r="E629" s="263"/>
      <c r="F629" s="263"/>
      <c r="G629" s="263"/>
      <c r="H629" s="263"/>
      <c r="I629" s="263"/>
      <c r="J629" s="242"/>
      <c r="K629" s="242"/>
      <c r="L629" s="242"/>
    </row>
    <row r="630" spans="1:12">
      <c r="A630" s="298"/>
      <c r="B630" s="227"/>
      <c r="C630" s="263"/>
      <c r="D630" s="263"/>
      <c r="E630" s="263"/>
      <c r="F630" s="263"/>
      <c r="G630" s="263"/>
      <c r="H630" s="263"/>
      <c r="I630" s="263"/>
      <c r="J630" s="242"/>
      <c r="K630" s="242"/>
      <c r="L630" s="242"/>
    </row>
    <row r="631" spans="1:12">
      <c r="A631" s="298"/>
      <c r="B631" s="227"/>
      <c r="C631" s="263"/>
      <c r="D631" s="263"/>
      <c r="E631" s="263"/>
      <c r="F631" s="263"/>
      <c r="G631" s="263"/>
      <c r="H631" s="263"/>
      <c r="I631" s="263"/>
      <c r="J631" s="242"/>
      <c r="K631" s="242"/>
      <c r="L631" s="242"/>
    </row>
    <row r="632" spans="1:12">
      <c r="A632" s="298"/>
      <c r="B632" s="227"/>
      <c r="C632" s="263"/>
      <c r="D632" s="263"/>
      <c r="E632" s="263"/>
      <c r="F632" s="263"/>
      <c r="G632" s="263"/>
      <c r="H632" s="263"/>
      <c r="I632" s="263"/>
      <c r="J632" s="242"/>
      <c r="K632" s="242"/>
      <c r="L632" s="242"/>
    </row>
    <row r="633" spans="1:12">
      <c r="A633" s="298"/>
      <c r="B633" s="227"/>
      <c r="C633" s="263"/>
      <c r="D633" s="263"/>
      <c r="E633" s="263"/>
      <c r="F633" s="263"/>
      <c r="G633" s="263"/>
      <c r="H633" s="263"/>
      <c r="I633" s="263"/>
      <c r="J633" s="242"/>
      <c r="K633" s="242"/>
      <c r="L633" s="242"/>
    </row>
    <row r="634" spans="1:12">
      <c r="A634" s="298"/>
      <c r="B634" s="227"/>
      <c r="C634" s="263"/>
      <c r="D634" s="263"/>
      <c r="E634" s="263"/>
      <c r="F634" s="263"/>
      <c r="G634" s="263"/>
      <c r="H634" s="263"/>
      <c r="I634" s="263"/>
      <c r="J634" s="242"/>
      <c r="K634" s="242"/>
      <c r="L634" s="242"/>
    </row>
    <row r="635" spans="1:12">
      <c r="A635" s="298"/>
      <c r="B635" s="227"/>
      <c r="C635" s="263"/>
      <c r="D635" s="263"/>
      <c r="E635" s="263"/>
      <c r="F635" s="263"/>
      <c r="G635" s="263"/>
      <c r="H635" s="263"/>
      <c r="I635" s="263"/>
      <c r="J635" s="242"/>
      <c r="K635" s="242"/>
      <c r="L635" s="242"/>
    </row>
    <row r="636" spans="1:12">
      <c r="A636" s="298"/>
      <c r="B636" s="227"/>
      <c r="C636" s="263"/>
      <c r="D636" s="263"/>
      <c r="E636" s="263"/>
      <c r="F636" s="263"/>
      <c r="G636" s="263"/>
      <c r="H636" s="263"/>
      <c r="I636" s="263"/>
      <c r="J636" s="242"/>
      <c r="K636" s="242"/>
      <c r="L636" s="242"/>
    </row>
    <row r="637" spans="1:12">
      <c r="A637" s="298"/>
      <c r="B637" s="227"/>
      <c r="C637" s="263"/>
      <c r="D637" s="263"/>
      <c r="E637" s="263"/>
      <c r="F637" s="263"/>
      <c r="G637" s="263"/>
      <c r="H637" s="263"/>
      <c r="I637" s="263"/>
      <c r="J637" s="242"/>
      <c r="K637" s="242"/>
      <c r="L637" s="242"/>
    </row>
    <row r="638" spans="1:12">
      <c r="A638" s="298"/>
      <c r="B638" s="227"/>
      <c r="C638" s="263"/>
      <c r="D638" s="263"/>
      <c r="E638" s="263"/>
      <c r="F638" s="263"/>
      <c r="G638" s="263"/>
      <c r="H638" s="263"/>
      <c r="I638" s="263"/>
      <c r="J638" s="242"/>
      <c r="K638" s="242"/>
      <c r="L638" s="242"/>
    </row>
    <row r="639" spans="1:12">
      <c r="A639" s="298"/>
      <c r="B639" s="227"/>
      <c r="C639" s="263"/>
      <c r="D639" s="263"/>
      <c r="E639" s="263"/>
      <c r="F639" s="263"/>
      <c r="G639" s="263"/>
      <c r="H639" s="263"/>
      <c r="I639" s="263"/>
      <c r="J639" s="242"/>
      <c r="K639" s="242"/>
      <c r="L639" s="242"/>
    </row>
    <row r="640" spans="1:12">
      <c r="A640" s="298"/>
      <c r="B640" s="227"/>
      <c r="C640" s="263"/>
      <c r="D640" s="263"/>
      <c r="E640" s="263"/>
      <c r="F640" s="263"/>
      <c r="G640" s="263"/>
      <c r="H640" s="263"/>
      <c r="I640" s="263"/>
      <c r="J640" s="242"/>
      <c r="K640" s="242"/>
      <c r="L640" s="242"/>
    </row>
    <row r="641" spans="1:12">
      <c r="A641" s="298"/>
      <c r="B641" s="227"/>
      <c r="C641" s="263"/>
      <c r="D641" s="263"/>
      <c r="E641" s="263"/>
      <c r="F641" s="263"/>
      <c r="G641" s="263"/>
      <c r="H641" s="263"/>
      <c r="I641" s="263"/>
      <c r="J641" s="242"/>
      <c r="K641" s="242"/>
      <c r="L641" s="242"/>
    </row>
    <row r="642" spans="1:12">
      <c r="A642" s="298"/>
      <c r="B642" s="227"/>
      <c r="C642" s="263"/>
      <c r="D642" s="263"/>
      <c r="E642" s="263"/>
      <c r="F642" s="263"/>
      <c r="G642" s="263"/>
      <c r="H642" s="263"/>
      <c r="I642" s="263"/>
      <c r="J642" s="242"/>
      <c r="K642" s="242"/>
      <c r="L642" s="242"/>
    </row>
    <row r="643" spans="1:12">
      <c r="A643" s="298"/>
      <c r="B643" s="227"/>
      <c r="C643" s="263"/>
      <c r="D643" s="263"/>
      <c r="E643" s="263"/>
      <c r="F643" s="263"/>
      <c r="G643" s="263"/>
      <c r="H643" s="263"/>
      <c r="I643" s="263"/>
      <c r="J643" s="242"/>
      <c r="K643" s="242"/>
      <c r="L643" s="242"/>
    </row>
    <row r="644" spans="1:12">
      <c r="A644" s="298"/>
      <c r="B644" s="227"/>
      <c r="C644" s="263"/>
      <c r="D644" s="263"/>
      <c r="E644" s="263"/>
      <c r="F644" s="263"/>
      <c r="G644" s="263"/>
      <c r="H644" s="263"/>
      <c r="I644" s="263"/>
      <c r="J644" s="242"/>
      <c r="K644" s="242"/>
      <c r="L644" s="242"/>
    </row>
    <row r="645" spans="1:12">
      <c r="A645" s="298"/>
      <c r="B645" s="227"/>
      <c r="C645" s="263"/>
      <c r="D645" s="263"/>
      <c r="E645" s="263"/>
      <c r="F645" s="263"/>
      <c r="G645" s="263"/>
      <c r="H645" s="263"/>
      <c r="I645" s="263"/>
      <c r="J645" s="242"/>
      <c r="K645" s="242"/>
      <c r="L645" s="242"/>
    </row>
    <row r="646" spans="1:12">
      <c r="A646" s="298"/>
      <c r="B646" s="227"/>
      <c r="C646" s="263"/>
      <c r="D646" s="263"/>
      <c r="E646" s="263"/>
      <c r="F646" s="263"/>
      <c r="G646" s="263"/>
      <c r="H646" s="263"/>
      <c r="I646" s="263"/>
      <c r="J646" s="242"/>
      <c r="K646" s="242"/>
      <c r="L646" s="242"/>
    </row>
    <row r="647" spans="1:12">
      <c r="A647" s="298"/>
      <c r="B647" s="227"/>
      <c r="C647" s="263"/>
      <c r="D647" s="263"/>
      <c r="E647" s="263"/>
      <c r="F647" s="263"/>
      <c r="G647" s="263"/>
      <c r="H647" s="263"/>
      <c r="I647" s="263"/>
      <c r="J647" s="242"/>
      <c r="K647" s="242"/>
      <c r="L647" s="242"/>
    </row>
    <row r="648" spans="1:12">
      <c r="A648" s="298"/>
      <c r="B648" s="227"/>
      <c r="C648" s="263"/>
      <c r="D648" s="263"/>
      <c r="E648" s="263"/>
      <c r="F648" s="263"/>
      <c r="G648" s="263"/>
      <c r="H648" s="263"/>
      <c r="I648" s="263"/>
      <c r="J648" s="242"/>
      <c r="K648" s="242"/>
      <c r="L648" s="242"/>
    </row>
    <row r="649" spans="1:12">
      <c r="A649" s="298"/>
      <c r="B649" s="227"/>
      <c r="C649" s="263"/>
      <c r="D649" s="263"/>
      <c r="E649" s="263"/>
      <c r="F649" s="263"/>
      <c r="G649" s="263"/>
      <c r="H649" s="263"/>
      <c r="I649" s="263"/>
      <c r="J649" s="242"/>
      <c r="K649" s="242"/>
      <c r="L649" s="242"/>
    </row>
    <row r="650" spans="1:12">
      <c r="A650" s="298"/>
      <c r="B650" s="227"/>
      <c r="C650" s="263"/>
      <c r="D650" s="263"/>
      <c r="E650" s="263"/>
      <c r="F650" s="263"/>
      <c r="G650" s="263"/>
      <c r="H650" s="263"/>
      <c r="I650" s="263"/>
      <c r="J650" s="242"/>
      <c r="K650" s="242"/>
      <c r="L650" s="242"/>
    </row>
    <row r="651" spans="1:12">
      <c r="A651" s="298"/>
      <c r="B651" s="227"/>
      <c r="C651" s="263"/>
      <c r="D651" s="263"/>
      <c r="E651" s="263"/>
      <c r="F651" s="263"/>
      <c r="G651" s="263"/>
      <c r="H651" s="263"/>
      <c r="I651" s="263"/>
      <c r="J651" s="242"/>
      <c r="K651" s="242"/>
      <c r="L651" s="242"/>
    </row>
    <row r="652" spans="1:12">
      <c r="A652" s="298"/>
      <c r="B652" s="227"/>
      <c r="C652" s="263"/>
      <c r="D652" s="263"/>
      <c r="E652" s="263"/>
      <c r="F652" s="263"/>
      <c r="G652" s="263"/>
      <c r="H652" s="263"/>
      <c r="I652" s="263"/>
      <c r="J652" s="242"/>
      <c r="K652" s="242"/>
      <c r="L652" s="242"/>
    </row>
    <row r="653" spans="1:12">
      <c r="A653" s="298"/>
      <c r="B653" s="227"/>
      <c r="C653" s="263"/>
      <c r="D653" s="263"/>
      <c r="E653" s="263"/>
      <c r="F653" s="263"/>
      <c r="G653" s="263"/>
      <c r="H653" s="263"/>
      <c r="I653" s="263"/>
      <c r="J653" s="242"/>
      <c r="K653" s="242"/>
      <c r="L653" s="242"/>
    </row>
    <row r="654" spans="1:12">
      <c r="A654" s="298"/>
      <c r="B654" s="227"/>
      <c r="C654" s="263"/>
      <c r="D654" s="263"/>
      <c r="E654" s="263"/>
      <c r="F654" s="263"/>
      <c r="G654" s="263"/>
      <c r="H654" s="263"/>
      <c r="I654" s="263"/>
      <c r="J654" s="242"/>
      <c r="K654" s="242"/>
      <c r="L654" s="242"/>
    </row>
    <row r="655" spans="1:12">
      <c r="A655" s="298"/>
      <c r="B655" s="227"/>
      <c r="C655" s="263"/>
      <c r="D655" s="263"/>
      <c r="E655" s="263"/>
      <c r="F655" s="263"/>
      <c r="G655" s="263"/>
      <c r="H655" s="263"/>
      <c r="I655" s="263"/>
      <c r="J655" s="242"/>
      <c r="K655" s="242"/>
      <c r="L655" s="242"/>
    </row>
    <row r="656" spans="1:12">
      <c r="A656" s="298"/>
      <c r="B656" s="227"/>
      <c r="C656" s="263"/>
      <c r="D656" s="263"/>
      <c r="E656" s="263"/>
      <c r="F656" s="263"/>
      <c r="G656" s="263"/>
      <c r="H656" s="263"/>
      <c r="I656" s="263"/>
      <c r="J656" s="242"/>
      <c r="K656" s="242"/>
      <c r="L656" s="242"/>
    </row>
    <row r="657" spans="1:12">
      <c r="A657" s="298"/>
      <c r="B657" s="227"/>
      <c r="C657" s="263"/>
      <c r="D657" s="263"/>
      <c r="E657" s="263"/>
      <c r="F657" s="263"/>
      <c r="G657" s="263"/>
      <c r="H657" s="263"/>
      <c r="I657" s="263"/>
      <c r="J657" s="242"/>
      <c r="K657" s="242"/>
      <c r="L657" s="242"/>
    </row>
    <row r="658" spans="1:12">
      <c r="A658" s="298"/>
      <c r="B658" s="227"/>
      <c r="C658" s="263"/>
      <c r="D658" s="263"/>
      <c r="E658" s="263"/>
      <c r="F658" s="263"/>
      <c r="G658" s="263"/>
      <c r="H658" s="263"/>
      <c r="I658" s="263"/>
      <c r="J658" s="242"/>
      <c r="K658" s="242"/>
      <c r="L658" s="242"/>
    </row>
    <row r="659" spans="1:12">
      <c r="A659" s="298"/>
      <c r="B659" s="227"/>
      <c r="C659" s="263"/>
      <c r="D659" s="263"/>
      <c r="E659" s="263"/>
      <c r="F659" s="263"/>
      <c r="G659" s="263"/>
      <c r="H659" s="263"/>
      <c r="I659" s="263"/>
      <c r="J659" s="242"/>
      <c r="K659" s="242"/>
      <c r="L659" s="242"/>
    </row>
    <row r="660" spans="1:12">
      <c r="A660" s="298"/>
      <c r="B660" s="227"/>
      <c r="C660" s="263"/>
      <c r="D660" s="263"/>
      <c r="E660" s="263"/>
      <c r="F660" s="263"/>
      <c r="G660" s="263"/>
      <c r="H660" s="263"/>
      <c r="I660" s="263"/>
      <c r="J660" s="242"/>
      <c r="K660" s="242"/>
      <c r="L660" s="242"/>
    </row>
    <row r="661" spans="1:12">
      <c r="A661" s="298"/>
      <c r="B661" s="227"/>
      <c r="C661" s="263"/>
      <c r="D661" s="263"/>
      <c r="E661" s="263"/>
      <c r="F661" s="263"/>
      <c r="G661" s="263"/>
      <c r="H661" s="263"/>
      <c r="I661" s="263"/>
      <c r="J661" s="242"/>
      <c r="K661" s="242"/>
      <c r="L661" s="242"/>
    </row>
    <row r="662" spans="1:12">
      <c r="A662" s="298"/>
      <c r="B662" s="227"/>
      <c r="C662" s="263"/>
      <c r="D662" s="263"/>
      <c r="E662" s="263"/>
      <c r="F662" s="263"/>
      <c r="G662" s="263"/>
      <c r="H662" s="263"/>
      <c r="I662" s="263"/>
      <c r="J662" s="242"/>
      <c r="K662" s="242"/>
      <c r="L662" s="242"/>
    </row>
    <row r="663" spans="1:12">
      <c r="A663" s="298"/>
      <c r="B663" s="227"/>
      <c r="C663" s="263"/>
      <c r="D663" s="263"/>
      <c r="E663" s="263"/>
      <c r="F663" s="263"/>
      <c r="G663" s="263"/>
      <c r="H663" s="263"/>
      <c r="I663" s="263"/>
      <c r="J663" s="242"/>
      <c r="K663" s="242"/>
      <c r="L663" s="242"/>
    </row>
    <row r="664" spans="1:12">
      <c r="A664" s="298"/>
      <c r="B664" s="227"/>
      <c r="C664" s="263"/>
      <c r="D664" s="263"/>
      <c r="E664" s="263"/>
      <c r="F664" s="263"/>
      <c r="G664" s="263"/>
      <c r="H664" s="263"/>
      <c r="I664" s="263"/>
      <c r="J664" s="242"/>
      <c r="K664" s="242"/>
      <c r="L664" s="242"/>
    </row>
    <row r="665" spans="1:12">
      <c r="A665" s="298"/>
      <c r="B665" s="227"/>
      <c r="C665" s="263"/>
      <c r="D665" s="263"/>
      <c r="E665" s="263"/>
      <c r="F665" s="263"/>
      <c r="G665" s="263"/>
      <c r="H665" s="263"/>
      <c r="I665" s="263"/>
      <c r="J665" s="242"/>
      <c r="K665" s="242"/>
      <c r="L665" s="242"/>
    </row>
    <row r="666" spans="1:12">
      <c r="A666" s="298"/>
      <c r="B666" s="227"/>
      <c r="C666" s="263"/>
      <c r="D666" s="263"/>
      <c r="E666" s="263"/>
      <c r="F666" s="263"/>
      <c r="G666" s="263"/>
      <c r="H666" s="263"/>
      <c r="I666" s="263"/>
      <c r="J666" s="242"/>
      <c r="K666" s="242"/>
      <c r="L666" s="242"/>
    </row>
    <row r="667" spans="1:12">
      <c r="A667" s="298"/>
      <c r="B667" s="227"/>
      <c r="C667" s="263"/>
      <c r="D667" s="263"/>
      <c r="E667" s="263"/>
      <c r="F667" s="263"/>
      <c r="G667" s="263"/>
      <c r="H667" s="263"/>
      <c r="I667" s="263"/>
      <c r="J667" s="242"/>
      <c r="K667" s="242"/>
      <c r="L667" s="242"/>
    </row>
    <row r="668" spans="1:12">
      <c r="A668" s="298"/>
      <c r="B668" s="227"/>
      <c r="C668" s="263"/>
      <c r="D668" s="263"/>
      <c r="E668" s="263"/>
      <c r="F668" s="263"/>
      <c r="G668" s="263"/>
      <c r="H668" s="263"/>
      <c r="I668" s="263"/>
      <c r="J668" s="242"/>
      <c r="K668" s="242"/>
      <c r="L668" s="242"/>
    </row>
    <row r="669" spans="1:12">
      <c r="A669" s="298"/>
      <c r="B669" s="227"/>
      <c r="C669" s="263"/>
      <c r="D669" s="263"/>
      <c r="E669" s="263"/>
      <c r="F669" s="263"/>
      <c r="G669" s="263"/>
      <c r="H669" s="263"/>
      <c r="I669" s="263"/>
      <c r="J669" s="242"/>
      <c r="K669" s="242"/>
      <c r="L669" s="242"/>
    </row>
    <row r="670" spans="1:12">
      <c r="A670" s="298"/>
      <c r="B670" s="227"/>
      <c r="C670" s="263"/>
      <c r="D670" s="263"/>
      <c r="E670" s="263"/>
      <c r="F670" s="263"/>
      <c r="G670" s="263"/>
      <c r="H670" s="263"/>
      <c r="I670" s="263"/>
      <c r="J670" s="242"/>
      <c r="K670" s="242"/>
      <c r="L670" s="242"/>
    </row>
    <row r="671" spans="1:12">
      <c r="A671" s="298"/>
      <c r="B671" s="227"/>
      <c r="C671" s="263"/>
      <c r="D671" s="263"/>
      <c r="E671" s="263"/>
      <c r="F671" s="263"/>
      <c r="G671" s="263"/>
      <c r="H671" s="263"/>
      <c r="I671" s="263"/>
      <c r="J671" s="242"/>
      <c r="K671" s="242"/>
      <c r="L671" s="242"/>
    </row>
    <row r="672" spans="1:12">
      <c r="A672" s="298"/>
      <c r="B672" s="227"/>
      <c r="C672" s="263"/>
      <c r="D672" s="263"/>
      <c r="E672" s="263"/>
      <c r="F672" s="263"/>
      <c r="G672" s="263"/>
      <c r="H672" s="263"/>
      <c r="I672" s="263"/>
      <c r="J672" s="242"/>
      <c r="K672" s="242"/>
      <c r="L672" s="242"/>
    </row>
    <row r="673" spans="1:12">
      <c r="A673" s="298"/>
      <c r="B673" s="227"/>
      <c r="C673" s="263"/>
      <c r="D673" s="263"/>
      <c r="E673" s="263"/>
      <c r="F673" s="263"/>
      <c r="G673" s="263"/>
      <c r="H673" s="263"/>
      <c r="I673" s="263"/>
      <c r="J673" s="242"/>
      <c r="K673" s="242"/>
      <c r="L673" s="242"/>
    </row>
    <row r="674" spans="1:12">
      <c r="A674" s="298"/>
      <c r="B674" s="227"/>
      <c r="C674" s="263"/>
      <c r="D674" s="263"/>
      <c r="E674" s="263"/>
      <c r="F674" s="263"/>
      <c r="G674" s="263"/>
      <c r="H674" s="263"/>
      <c r="I674" s="263"/>
      <c r="J674" s="242"/>
      <c r="K674" s="242"/>
      <c r="L674" s="242"/>
    </row>
    <row r="675" spans="1:12">
      <c r="A675" s="298"/>
      <c r="B675" s="227"/>
      <c r="C675" s="263"/>
      <c r="D675" s="263"/>
      <c r="E675" s="263"/>
      <c r="F675" s="263"/>
      <c r="G675" s="263"/>
      <c r="H675" s="263"/>
      <c r="I675" s="263"/>
      <c r="J675" s="242"/>
      <c r="K675" s="242"/>
      <c r="L675" s="242"/>
    </row>
    <row r="676" spans="1:12">
      <c r="A676" s="298"/>
      <c r="B676" s="227"/>
      <c r="C676" s="263"/>
      <c r="D676" s="263"/>
      <c r="E676" s="263"/>
      <c r="F676" s="263"/>
      <c r="G676" s="263"/>
      <c r="H676" s="263"/>
      <c r="I676" s="263"/>
      <c r="J676" s="242"/>
      <c r="K676" s="242"/>
      <c r="L676" s="242"/>
    </row>
    <row r="677" spans="1:12">
      <c r="A677" s="298"/>
      <c r="B677" s="227"/>
      <c r="C677" s="263"/>
      <c r="D677" s="263"/>
      <c r="E677" s="263"/>
      <c r="F677" s="263"/>
      <c r="G677" s="263"/>
      <c r="H677" s="263"/>
      <c r="I677" s="263"/>
      <c r="J677" s="242"/>
      <c r="K677" s="242"/>
      <c r="L677" s="242"/>
    </row>
    <row r="678" spans="1:12">
      <c r="A678" s="298"/>
      <c r="B678" s="227"/>
      <c r="C678" s="263"/>
      <c r="D678" s="263"/>
      <c r="E678" s="263"/>
      <c r="F678" s="263"/>
      <c r="G678" s="263"/>
      <c r="H678" s="263"/>
      <c r="I678" s="263"/>
      <c r="J678" s="242"/>
      <c r="K678" s="242"/>
      <c r="L678" s="242"/>
    </row>
    <row r="679" spans="1:12">
      <c r="A679" s="298"/>
      <c r="B679" s="227"/>
      <c r="C679" s="263"/>
      <c r="D679" s="263"/>
      <c r="E679" s="263"/>
      <c r="F679" s="263"/>
      <c r="G679" s="263"/>
      <c r="H679" s="263"/>
      <c r="I679" s="263"/>
      <c r="J679" s="242"/>
      <c r="K679" s="242"/>
      <c r="L679" s="242"/>
    </row>
    <row r="680" spans="1:12">
      <c r="A680" s="298"/>
      <c r="B680" s="227"/>
      <c r="C680" s="263"/>
      <c r="D680" s="263"/>
      <c r="E680" s="263"/>
      <c r="F680" s="263"/>
      <c r="G680" s="263"/>
      <c r="H680" s="263"/>
      <c r="I680" s="263"/>
      <c r="J680" s="242"/>
      <c r="K680" s="242"/>
      <c r="L680" s="242"/>
    </row>
    <row r="681" spans="1:12">
      <c r="A681" s="298"/>
      <c r="B681" s="227"/>
      <c r="C681" s="263"/>
      <c r="D681" s="263"/>
      <c r="E681" s="263"/>
      <c r="F681" s="263"/>
      <c r="G681" s="263"/>
      <c r="H681" s="263"/>
      <c r="I681" s="263"/>
      <c r="J681" s="242"/>
      <c r="K681" s="242"/>
      <c r="L681" s="242"/>
    </row>
    <row r="682" spans="1:12">
      <c r="A682" s="298"/>
      <c r="B682" s="227"/>
      <c r="C682" s="263"/>
      <c r="D682" s="263"/>
      <c r="E682" s="263"/>
      <c r="F682" s="263"/>
      <c r="G682" s="263"/>
      <c r="H682" s="263"/>
      <c r="I682" s="263"/>
      <c r="J682" s="242"/>
      <c r="K682" s="242"/>
      <c r="L682" s="242"/>
    </row>
    <row r="683" spans="1:12">
      <c r="A683" s="298"/>
      <c r="B683" s="227"/>
      <c r="C683" s="263"/>
      <c r="D683" s="263"/>
      <c r="E683" s="263"/>
      <c r="F683" s="263"/>
      <c r="G683" s="263"/>
      <c r="H683" s="263"/>
      <c r="I683" s="263"/>
      <c r="J683" s="242"/>
      <c r="K683" s="242"/>
      <c r="L683" s="242"/>
    </row>
    <row r="684" spans="1:12">
      <c r="A684" s="298"/>
      <c r="B684" s="227"/>
      <c r="C684" s="263"/>
      <c r="D684" s="263"/>
      <c r="E684" s="263"/>
      <c r="F684" s="263"/>
      <c r="G684" s="263"/>
      <c r="H684" s="263"/>
      <c r="I684" s="263"/>
      <c r="J684" s="242"/>
      <c r="K684" s="242"/>
      <c r="L684" s="242"/>
    </row>
    <row r="685" spans="1:12">
      <c r="A685" s="298"/>
      <c r="B685" s="227"/>
      <c r="C685" s="263"/>
      <c r="D685" s="263"/>
      <c r="E685" s="263"/>
      <c r="F685" s="263"/>
      <c r="G685" s="263"/>
      <c r="H685" s="263"/>
      <c r="I685" s="263"/>
      <c r="J685" s="242"/>
      <c r="K685" s="242"/>
      <c r="L685" s="242"/>
    </row>
    <row r="686" spans="1:12">
      <c r="A686" s="298"/>
      <c r="B686" s="227"/>
      <c r="C686" s="263"/>
      <c r="D686" s="263"/>
      <c r="E686" s="263"/>
      <c r="F686" s="263"/>
      <c r="G686" s="263"/>
      <c r="H686" s="263"/>
      <c r="I686" s="263"/>
      <c r="J686" s="242"/>
      <c r="K686" s="242"/>
      <c r="L686" s="242"/>
    </row>
    <row r="687" spans="1:12">
      <c r="A687" s="298"/>
      <c r="B687" s="227"/>
      <c r="C687" s="263"/>
      <c r="D687" s="263"/>
      <c r="E687" s="263"/>
      <c r="F687" s="263"/>
      <c r="G687" s="263"/>
      <c r="H687" s="263"/>
      <c r="I687" s="263"/>
      <c r="J687" s="242"/>
      <c r="K687" s="242"/>
      <c r="L687" s="242"/>
    </row>
    <row r="688" spans="1:12">
      <c r="A688" s="298"/>
      <c r="B688" s="227"/>
      <c r="C688" s="263"/>
      <c r="D688" s="263"/>
      <c r="E688" s="263"/>
      <c r="F688" s="263"/>
      <c r="G688" s="263"/>
      <c r="H688" s="263"/>
      <c r="I688" s="263"/>
      <c r="J688" s="242"/>
      <c r="K688" s="242"/>
      <c r="L688" s="242"/>
    </row>
    <row r="689" spans="1:12">
      <c r="A689" s="298"/>
      <c r="B689" s="227"/>
      <c r="C689" s="263"/>
      <c r="D689" s="263"/>
      <c r="E689" s="263"/>
      <c r="F689" s="263"/>
      <c r="G689" s="263"/>
      <c r="H689" s="263"/>
      <c r="I689" s="263"/>
      <c r="J689" s="242"/>
      <c r="K689" s="242"/>
      <c r="L689" s="242"/>
    </row>
    <row r="690" spans="1:12">
      <c r="A690" s="298"/>
      <c r="B690" s="227"/>
      <c r="C690" s="263"/>
      <c r="D690" s="263"/>
      <c r="E690" s="263"/>
      <c r="F690" s="263"/>
      <c r="G690" s="263"/>
      <c r="H690" s="263"/>
      <c r="I690" s="263"/>
      <c r="J690" s="242"/>
      <c r="K690" s="242"/>
      <c r="L690" s="242"/>
    </row>
    <row r="691" spans="1:12">
      <c r="A691" s="298"/>
      <c r="B691" s="227"/>
      <c r="C691" s="263"/>
      <c r="D691" s="263"/>
      <c r="E691" s="263"/>
      <c r="F691" s="263"/>
      <c r="G691" s="263"/>
      <c r="H691" s="263"/>
      <c r="I691" s="263"/>
      <c r="J691" s="242"/>
      <c r="K691" s="242"/>
      <c r="L691" s="242"/>
    </row>
    <row r="692" spans="1:12">
      <c r="A692" s="298"/>
      <c r="B692" s="227"/>
      <c r="C692" s="263"/>
      <c r="D692" s="263"/>
      <c r="E692" s="263"/>
      <c r="F692" s="263"/>
      <c r="G692" s="263"/>
      <c r="H692" s="263"/>
      <c r="I692" s="263"/>
      <c r="J692" s="242"/>
      <c r="K692" s="242"/>
      <c r="L692" s="242"/>
    </row>
    <row r="693" spans="1:12">
      <c r="A693" s="298"/>
      <c r="B693" s="227"/>
      <c r="C693" s="263"/>
      <c r="D693" s="263"/>
      <c r="E693" s="263"/>
      <c r="F693" s="263"/>
      <c r="G693" s="263"/>
      <c r="H693" s="263"/>
      <c r="I693" s="263"/>
      <c r="J693" s="242"/>
      <c r="K693" s="242"/>
      <c r="L693" s="242"/>
    </row>
    <row r="694" spans="1:12">
      <c r="A694" s="298"/>
      <c r="B694" s="227"/>
      <c r="C694" s="263"/>
      <c r="D694" s="263"/>
      <c r="E694" s="263"/>
      <c r="F694" s="263"/>
      <c r="G694" s="263"/>
      <c r="H694" s="263"/>
      <c r="I694" s="263"/>
      <c r="J694" s="242"/>
      <c r="K694" s="242"/>
      <c r="L694" s="242"/>
    </row>
    <row r="695" spans="1:12">
      <c r="A695" s="298"/>
      <c r="B695" s="227"/>
      <c r="C695" s="263"/>
      <c r="D695" s="263"/>
      <c r="E695" s="263"/>
      <c r="F695" s="263"/>
      <c r="G695" s="263"/>
      <c r="H695" s="263"/>
      <c r="I695" s="263"/>
      <c r="J695" s="242"/>
      <c r="K695" s="242"/>
      <c r="L695" s="242"/>
    </row>
    <row r="696" spans="1:12">
      <c r="A696" s="298"/>
      <c r="B696" s="227"/>
      <c r="C696" s="263"/>
      <c r="D696" s="263"/>
      <c r="E696" s="263"/>
      <c r="F696" s="263"/>
      <c r="G696" s="263"/>
      <c r="H696" s="263"/>
      <c r="I696" s="263"/>
      <c r="J696" s="242"/>
      <c r="K696" s="242"/>
      <c r="L696" s="242"/>
    </row>
    <row r="697" spans="1:12">
      <c r="A697" s="298"/>
      <c r="B697" s="227"/>
      <c r="C697" s="263"/>
      <c r="D697" s="263"/>
      <c r="E697" s="263"/>
      <c r="F697" s="263"/>
      <c r="G697" s="263"/>
      <c r="H697" s="263"/>
      <c r="I697" s="263"/>
      <c r="J697" s="242"/>
      <c r="K697" s="242"/>
      <c r="L697" s="242"/>
    </row>
    <row r="698" spans="1:12">
      <c r="A698" s="298"/>
      <c r="B698" s="227"/>
      <c r="C698" s="263"/>
      <c r="D698" s="263"/>
      <c r="E698" s="263"/>
      <c r="F698" s="263"/>
      <c r="G698" s="263"/>
      <c r="H698" s="263"/>
      <c r="I698" s="263"/>
      <c r="J698" s="242"/>
      <c r="K698" s="242"/>
      <c r="L698" s="242"/>
    </row>
    <row r="699" spans="1:12">
      <c r="A699" s="298"/>
      <c r="B699" s="227"/>
      <c r="C699" s="263"/>
      <c r="D699" s="263"/>
      <c r="E699" s="263"/>
      <c r="F699" s="263"/>
      <c r="G699" s="263"/>
      <c r="H699" s="263"/>
      <c r="I699" s="263"/>
      <c r="J699" s="242"/>
      <c r="K699" s="242"/>
      <c r="L699" s="242"/>
    </row>
    <row r="700" spans="1:12">
      <c r="A700" s="298"/>
      <c r="B700" s="227"/>
      <c r="C700" s="263"/>
      <c r="D700" s="263"/>
      <c r="E700" s="263"/>
      <c r="F700" s="263"/>
      <c r="G700" s="263"/>
      <c r="H700" s="263"/>
      <c r="I700" s="263"/>
      <c r="J700" s="242"/>
      <c r="K700" s="242"/>
      <c r="L700" s="242"/>
    </row>
    <row r="701" spans="1:12">
      <c r="A701" s="298"/>
      <c r="B701" s="227"/>
      <c r="C701" s="263"/>
      <c r="D701" s="263"/>
      <c r="E701" s="263"/>
      <c r="F701" s="263"/>
      <c r="G701" s="263"/>
      <c r="H701" s="263"/>
      <c r="I701" s="263"/>
      <c r="J701" s="242"/>
      <c r="K701" s="242"/>
      <c r="L701" s="242"/>
    </row>
    <row r="702" spans="1:12">
      <c r="A702" s="298"/>
      <c r="B702" s="227"/>
      <c r="C702" s="263"/>
      <c r="D702" s="263"/>
      <c r="E702" s="263"/>
      <c r="F702" s="263"/>
      <c r="G702" s="263"/>
      <c r="H702" s="263"/>
      <c r="I702" s="263"/>
      <c r="J702" s="242"/>
      <c r="K702" s="242"/>
      <c r="L702" s="242"/>
    </row>
    <row r="703" spans="1:12">
      <c r="A703" s="298"/>
      <c r="B703" s="227"/>
      <c r="C703" s="263"/>
      <c r="D703" s="263"/>
      <c r="E703" s="263"/>
      <c r="F703" s="263"/>
      <c r="G703" s="263"/>
      <c r="H703" s="263"/>
      <c r="I703" s="263"/>
      <c r="J703" s="242"/>
      <c r="K703" s="242"/>
      <c r="L703" s="242"/>
    </row>
    <row r="704" spans="1:12">
      <c r="A704" s="298"/>
      <c r="B704" s="227"/>
      <c r="C704" s="263"/>
      <c r="D704" s="263"/>
      <c r="E704" s="263"/>
      <c r="F704" s="263"/>
      <c r="G704" s="263"/>
      <c r="H704" s="263"/>
      <c r="I704" s="263"/>
      <c r="J704" s="242"/>
      <c r="K704" s="242"/>
      <c r="L704" s="242"/>
    </row>
    <row r="705" spans="1:12">
      <c r="A705" s="298"/>
      <c r="B705" s="227"/>
      <c r="C705" s="263"/>
      <c r="D705" s="263"/>
      <c r="E705" s="263"/>
      <c r="F705" s="263"/>
      <c r="G705" s="263"/>
      <c r="H705" s="263"/>
      <c r="I705" s="263"/>
      <c r="J705" s="242"/>
      <c r="K705" s="242"/>
      <c r="L705" s="242"/>
    </row>
    <row r="706" spans="1:12">
      <c r="A706" s="298"/>
      <c r="B706" s="227"/>
      <c r="C706" s="263"/>
      <c r="D706" s="263"/>
      <c r="E706" s="263"/>
      <c r="F706" s="263"/>
      <c r="G706" s="263"/>
      <c r="H706" s="263"/>
      <c r="I706" s="263"/>
      <c r="J706" s="242"/>
      <c r="K706" s="242"/>
      <c r="L706" s="242"/>
    </row>
    <row r="707" spans="1:12">
      <c r="A707" s="298"/>
      <c r="B707" s="227"/>
      <c r="C707" s="263"/>
      <c r="D707" s="263"/>
      <c r="E707" s="263"/>
      <c r="F707" s="263"/>
      <c r="G707" s="263"/>
      <c r="H707" s="263"/>
      <c r="I707" s="263"/>
      <c r="J707" s="242"/>
      <c r="K707" s="242"/>
      <c r="L707" s="242"/>
    </row>
    <row r="708" spans="1:12">
      <c r="A708" s="298"/>
      <c r="B708" s="227"/>
      <c r="C708" s="263"/>
      <c r="D708" s="263"/>
      <c r="E708" s="263"/>
      <c r="F708" s="263"/>
      <c r="G708" s="263"/>
      <c r="H708" s="263"/>
      <c r="I708" s="263"/>
      <c r="J708" s="242"/>
      <c r="K708" s="242"/>
      <c r="L708" s="242"/>
    </row>
    <row r="709" spans="1:12">
      <c r="A709" s="298"/>
      <c r="B709" s="227"/>
      <c r="C709" s="263"/>
      <c r="D709" s="263"/>
      <c r="E709" s="263"/>
      <c r="F709" s="263"/>
      <c r="G709" s="263"/>
      <c r="H709" s="263"/>
      <c r="I709" s="263"/>
      <c r="J709" s="242"/>
      <c r="K709" s="242"/>
      <c r="L709" s="242"/>
    </row>
    <row r="710" spans="1:12">
      <c r="A710" s="298"/>
      <c r="B710" s="227"/>
      <c r="C710" s="263"/>
      <c r="D710" s="263"/>
      <c r="E710" s="263"/>
      <c r="F710" s="263"/>
      <c r="G710" s="263"/>
      <c r="H710" s="263"/>
      <c r="I710" s="263"/>
      <c r="J710" s="242"/>
      <c r="K710" s="242"/>
      <c r="L710" s="242"/>
    </row>
    <row r="711" spans="1:12">
      <c r="A711" s="298"/>
      <c r="B711" s="227"/>
      <c r="C711" s="263"/>
      <c r="D711" s="263"/>
      <c r="E711" s="263"/>
      <c r="F711" s="263"/>
      <c r="G711" s="263"/>
      <c r="H711" s="263"/>
      <c r="I711" s="263"/>
      <c r="J711" s="242"/>
      <c r="K711" s="242"/>
      <c r="L711" s="242"/>
    </row>
    <row r="712" spans="1:12">
      <c r="A712" s="298"/>
      <c r="B712" s="227"/>
      <c r="C712" s="263"/>
      <c r="D712" s="263"/>
      <c r="E712" s="263"/>
      <c r="F712" s="263"/>
      <c r="G712" s="263"/>
      <c r="H712" s="263"/>
      <c r="I712" s="263"/>
      <c r="J712" s="242"/>
      <c r="K712" s="242"/>
      <c r="L712" s="242"/>
    </row>
    <row r="713" spans="1:12">
      <c r="A713" s="298"/>
      <c r="B713" s="227"/>
      <c r="C713" s="263"/>
      <c r="D713" s="263"/>
      <c r="E713" s="263"/>
      <c r="F713" s="263"/>
      <c r="G713" s="263"/>
      <c r="H713" s="263"/>
      <c r="I713" s="263"/>
      <c r="J713" s="242"/>
      <c r="K713" s="242"/>
      <c r="L713" s="242"/>
    </row>
    <row r="714" spans="1:12">
      <c r="A714" s="298"/>
      <c r="B714" s="227"/>
      <c r="C714" s="263"/>
      <c r="D714" s="263"/>
      <c r="E714" s="263"/>
      <c r="F714" s="263"/>
      <c r="G714" s="263"/>
      <c r="H714" s="263"/>
      <c r="I714" s="263"/>
      <c r="J714" s="242"/>
      <c r="K714" s="242"/>
      <c r="L714" s="242"/>
    </row>
    <row r="715" spans="1:12">
      <c r="A715" s="298"/>
      <c r="B715" s="227"/>
      <c r="C715" s="263"/>
      <c r="D715" s="263"/>
      <c r="E715" s="263"/>
      <c r="F715" s="263"/>
      <c r="G715" s="263"/>
      <c r="H715" s="263"/>
      <c r="I715" s="263"/>
      <c r="J715" s="242"/>
      <c r="K715" s="242"/>
      <c r="L715" s="242"/>
    </row>
    <row r="716" spans="1:12">
      <c r="A716" s="298"/>
      <c r="B716" s="227"/>
      <c r="C716" s="263"/>
      <c r="D716" s="263"/>
      <c r="E716" s="263"/>
      <c r="F716" s="263"/>
      <c r="G716" s="263"/>
      <c r="H716" s="263"/>
      <c r="I716" s="263"/>
      <c r="J716" s="242"/>
      <c r="K716" s="242"/>
      <c r="L716" s="242"/>
    </row>
    <row r="717" spans="1:12">
      <c r="A717" s="298"/>
      <c r="B717" s="227"/>
      <c r="C717" s="263"/>
      <c r="D717" s="263"/>
      <c r="E717" s="263"/>
      <c r="F717" s="263"/>
      <c r="G717" s="263"/>
      <c r="H717" s="263"/>
      <c r="I717" s="263"/>
      <c r="J717" s="242"/>
      <c r="K717" s="242"/>
      <c r="L717" s="242"/>
    </row>
    <row r="718" spans="1:12">
      <c r="A718" s="298"/>
      <c r="B718" s="227"/>
      <c r="C718" s="263"/>
      <c r="D718" s="263"/>
      <c r="E718" s="263"/>
      <c r="F718" s="263"/>
      <c r="G718" s="263"/>
      <c r="H718" s="263"/>
      <c r="I718" s="263"/>
      <c r="J718" s="242"/>
      <c r="K718" s="242"/>
      <c r="L718" s="242"/>
    </row>
    <row r="719" spans="1:12">
      <c r="A719" s="298"/>
      <c r="B719" s="227"/>
      <c r="C719" s="263"/>
      <c r="D719" s="263"/>
      <c r="E719" s="263"/>
      <c r="F719" s="263"/>
      <c r="G719" s="263"/>
      <c r="H719" s="263"/>
      <c r="I719" s="263"/>
      <c r="J719" s="242"/>
      <c r="K719" s="242"/>
      <c r="L719" s="242"/>
    </row>
    <row r="720" spans="1:12">
      <c r="A720" s="298"/>
      <c r="B720" s="227"/>
      <c r="C720" s="263"/>
      <c r="D720" s="263"/>
      <c r="E720" s="263"/>
      <c r="F720" s="263"/>
      <c r="G720" s="263"/>
      <c r="H720" s="263"/>
      <c r="I720" s="263"/>
      <c r="J720" s="242"/>
      <c r="K720" s="242"/>
      <c r="L720" s="242"/>
    </row>
    <row r="721" spans="1:12">
      <c r="A721" s="298"/>
      <c r="B721" s="227"/>
      <c r="C721" s="263"/>
      <c r="D721" s="263"/>
      <c r="E721" s="263"/>
      <c r="F721" s="263"/>
      <c r="G721" s="263"/>
      <c r="H721" s="263"/>
      <c r="I721" s="263"/>
      <c r="J721" s="242"/>
      <c r="K721" s="242"/>
      <c r="L721" s="242"/>
    </row>
    <row r="722" spans="1:12">
      <c r="A722" s="298"/>
      <c r="B722" s="227"/>
      <c r="C722" s="263"/>
      <c r="D722" s="263"/>
      <c r="E722" s="263"/>
      <c r="F722" s="263"/>
      <c r="G722" s="263"/>
      <c r="H722" s="263"/>
      <c r="I722" s="263"/>
      <c r="J722" s="242"/>
      <c r="K722" s="242"/>
      <c r="L722" s="242"/>
    </row>
    <row r="723" spans="1:12">
      <c r="A723" s="298"/>
      <c r="B723" s="227"/>
      <c r="C723" s="263"/>
      <c r="D723" s="263"/>
      <c r="E723" s="263"/>
      <c r="F723" s="263"/>
      <c r="G723" s="263"/>
      <c r="H723" s="263"/>
      <c r="I723" s="263"/>
      <c r="J723" s="242"/>
      <c r="K723" s="242"/>
      <c r="L723" s="242"/>
    </row>
    <row r="724" spans="1:12">
      <c r="A724" s="298"/>
      <c r="B724" s="227"/>
      <c r="C724" s="263"/>
      <c r="D724" s="263"/>
      <c r="E724" s="263"/>
      <c r="F724" s="263"/>
      <c r="G724" s="263"/>
      <c r="H724" s="263"/>
      <c r="I724" s="263"/>
      <c r="J724" s="242"/>
      <c r="K724" s="242"/>
      <c r="L724" s="242"/>
    </row>
    <row r="725" spans="1:12">
      <c r="A725" s="298"/>
      <c r="B725" s="227"/>
      <c r="C725" s="263"/>
      <c r="D725" s="263"/>
      <c r="E725" s="263"/>
      <c r="F725" s="263"/>
      <c r="G725" s="263"/>
      <c r="H725" s="263"/>
      <c r="I725" s="263"/>
      <c r="J725" s="242"/>
      <c r="K725" s="242"/>
      <c r="L725" s="242"/>
    </row>
    <row r="726" spans="1:12">
      <c r="A726" s="298"/>
      <c r="B726" s="227"/>
      <c r="C726" s="263"/>
      <c r="D726" s="263"/>
      <c r="E726" s="263"/>
      <c r="F726" s="263"/>
      <c r="G726" s="263"/>
      <c r="H726" s="263"/>
      <c r="I726" s="263"/>
      <c r="J726" s="242"/>
      <c r="K726" s="242"/>
      <c r="L726" s="242"/>
    </row>
    <row r="727" spans="1:12">
      <c r="A727" s="298"/>
      <c r="B727" s="227"/>
      <c r="C727" s="263"/>
      <c r="D727" s="263"/>
      <c r="E727" s="263"/>
      <c r="F727" s="263"/>
      <c r="G727" s="263"/>
      <c r="H727" s="263"/>
      <c r="I727" s="263"/>
      <c r="J727" s="242"/>
      <c r="K727" s="242"/>
      <c r="L727" s="242"/>
    </row>
    <row r="728" spans="1:12">
      <c r="A728" s="298"/>
      <c r="B728" s="227"/>
      <c r="C728" s="263"/>
      <c r="D728" s="263"/>
      <c r="E728" s="263"/>
      <c r="F728" s="263"/>
      <c r="G728" s="263"/>
      <c r="H728" s="263"/>
      <c r="I728" s="263"/>
      <c r="J728" s="242"/>
      <c r="K728" s="242"/>
      <c r="L728" s="242"/>
    </row>
    <row r="729" spans="1:12">
      <c r="A729" s="298"/>
      <c r="B729" s="227"/>
      <c r="C729" s="263"/>
      <c r="D729" s="263"/>
      <c r="E729" s="263"/>
      <c r="F729" s="263"/>
      <c r="G729" s="263"/>
      <c r="H729" s="263"/>
      <c r="I729" s="263"/>
      <c r="J729" s="242"/>
      <c r="K729" s="242"/>
      <c r="L729" s="242"/>
    </row>
    <row r="730" spans="1:12">
      <c r="A730" s="298"/>
      <c r="B730" s="227"/>
      <c r="C730" s="263"/>
      <c r="D730" s="263"/>
      <c r="E730" s="263"/>
      <c r="F730" s="263"/>
      <c r="G730" s="263"/>
      <c r="H730" s="263"/>
      <c r="I730" s="263"/>
      <c r="J730" s="242"/>
      <c r="K730" s="242"/>
      <c r="L730" s="242"/>
    </row>
    <row r="731" spans="1:12">
      <c r="A731" s="298"/>
      <c r="B731" s="227"/>
      <c r="C731" s="263"/>
      <c r="D731" s="263"/>
      <c r="E731" s="263"/>
      <c r="F731" s="263"/>
      <c r="G731" s="263"/>
      <c r="H731" s="263"/>
      <c r="I731" s="263"/>
      <c r="J731" s="242"/>
      <c r="K731" s="242"/>
      <c r="L731" s="242"/>
    </row>
    <row r="732" spans="1:12">
      <c r="A732" s="298"/>
      <c r="B732" s="227"/>
      <c r="C732" s="263"/>
      <c r="D732" s="263"/>
      <c r="E732" s="263"/>
      <c r="F732" s="263"/>
      <c r="G732" s="263"/>
      <c r="H732" s="263"/>
      <c r="I732" s="263"/>
      <c r="J732" s="242"/>
      <c r="K732" s="242"/>
      <c r="L732" s="242"/>
    </row>
    <row r="733" spans="1:12">
      <c r="A733" s="298"/>
      <c r="B733" s="227"/>
      <c r="C733" s="263"/>
      <c r="D733" s="263"/>
      <c r="E733" s="263"/>
      <c r="F733" s="263"/>
      <c r="G733" s="263"/>
      <c r="H733" s="263"/>
      <c r="I733" s="263"/>
      <c r="J733" s="242"/>
      <c r="K733" s="242"/>
      <c r="L733" s="242"/>
    </row>
    <row r="734" spans="1:12">
      <c r="A734" s="298"/>
      <c r="B734" s="227"/>
      <c r="C734" s="263"/>
      <c r="D734" s="263"/>
      <c r="E734" s="263"/>
      <c r="F734" s="263"/>
      <c r="G734" s="263"/>
      <c r="H734" s="263"/>
      <c r="I734" s="263"/>
      <c r="J734" s="242"/>
      <c r="K734" s="242"/>
      <c r="L734" s="242"/>
    </row>
    <row r="735" spans="1:12">
      <c r="A735" s="298"/>
      <c r="B735" s="227"/>
      <c r="C735" s="263"/>
      <c r="D735" s="263"/>
      <c r="E735" s="263"/>
      <c r="F735" s="263"/>
      <c r="G735" s="263"/>
      <c r="H735" s="263"/>
      <c r="I735" s="263"/>
      <c r="J735" s="242"/>
      <c r="K735" s="242"/>
      <c r="L735" s="242"/>
    </row>
    <row r="736" spans="1:12">
      <c r="A736" s="298"/>
      <c r="B736" s="227"/>
      <c r="C736" s="263"/>
      <c r="D736" s="263"/>
      <c r="E736" s="263"/>
      <c r="F736" s="263"/>
      <c r="G736" s="263"/>
      <c r="H736" s="263"/>
      <c r="I736" s="263"/>
      <c r="J736" s="242"/>
      <c r="K736" s="242"/>
      <c r="L736" s="242"/>
    </row>
    <row r="737" spans="1:12">
      <c r="A737" s="298"/>
      <c r="B737" s="227"/>
      <c r="C737" s="263"/>
      <c r="D737" s="263"/>
      <c r="E737" s="263"/>
      <c r="F737" s="263"/>
      <c r="G737" s="263"/>
      <c r="H737" s="263"/>
      <c r="I737" s="263"/>
      <c r="J737" s="242"/>
      <c r="K737" s="242"/>
      <c r="L737" s="242"/>
    </row>
    <row r="738" spans="1:12">
      <c r="A738" s="298"/>
      <c r="B738" s="227"/>
      <c r="C738" s="263"/>
      <c r="D738" s="263"/>
      <c r="E738" s="263"/>
      <c r="F738" s="263"/>
      <c r="G738" s="263"/>
      <c r="H738" s="263"/>
      <c r="I738" s="263"/>
      <c r="J738" s="242"/>
      <c r="K738" s="242"/>
      <c r="L738" s="242"/>
    </row>
    <row r="739" spans="1:12">
      <c r="A739" s="298"/>
      <c r="B739" s="227"/>
      <c r="C739" s="263"/>
      <c r="D739" s="263"/>
      <c r="E739" s="263"/>
      <c r="F739" s="263"/>
      <c r="G739" s="263"/>
      <c r="H739" s="263"/>
      <c r="I739" s="263"/>
      <c r="J739" s="242"/>
      <c r="K739" s="242"/>
      <c r="L739" s="242"/>
    </row>
    <row r="740" spans="1:12">
      <c r="A740" s="298"/>
      <c r="B740" s="227"/>
      <c r="C740" s="263"/>
      <c r="D740" s="263"/>
      <c r="E740" s="263"/>
      <c r="F740" s="263"/>
      <c r="G740" s="263"/>
      <c r="H740" s="263"/>
      <c r="I740" s="263"/>
      <c r="J740" s="242"/>
      <c r="K740" s="242"/>
      <c r="L740" s="242"/>
    </row>
    <row r="741" spans="1:12">
      <c r="A741" s="298"/>
      <c r="B741" s="227"/>
      <c r="C741" s="263"/>
      <c r="D741" s="263"/>
      <c r="E741" s="263"/>
      <c r="F741" s="263"/>
      <c r="G741" s="263"/>
      <c r="H741" s="263"/>
      <c r="I741" s="263"/>
      <c r="J741" s="242"/>
      <c r="K741" s="242"/>
      <c r="L741" s="242"/>
    </row>
    <row r="742" spans="1:12">
      <c r="A742" s="298"/>
      <c r="B742" s="227"/>
      <c r="C742" s="263"/>
      <c r="D742" s="263"/>
      <c r="E742" s="263"/>
      <c r="F742" s="263"/>
      <c r="G742" s="263"/>
      <c r="H742" s="263"/>
      <c r="I742" s="263"/>
      <c r="J742" s="242"/>
      <c r="K742" s="242"/>
      <c r="L742" s="242"/>
    </row>
    <row r="743" spans="1:12">
      <c r="A743" s="298"/>
      <c r="B743" s="227"/>
      <c r="C743" s="263"/>
      <c r="D743" s="263"/>
      <c r="E743" s="263"/>
      <c r="F743" s="263"/>
      <c r="G743" s="263"/>
      <c r="H743" s="263"/>
      <c r="I743" s="263"/>
      <c r="J743" s="242"/>
      <c r="K743" s="242"/>
      <c r="L743" s="242"/>
    </row>
    <row r="744" spans="1:12">
      <c r="A744" s="298"/>
      <c r="B744" s="227"/>
      <c r="C744" s="263"/>
      <c r="D744" s="263"/>
      <c r="E744" s="263"/>
      <c r="F744" s="263"/>
      <c r="G744" s="263"/>
      <c r="H744" s="263"/>
      <c r="I744" s="263"/>
      <c r="J744" s="242"/>
      <c r="K744" s="242"/>
      <c r="L744" s="242"/>
    </row>
    <row r="745" spans="1:12">
      <c r="A745" s="298"/>
      <c r="B745" s="227"/>
      <c r="C745" s="263"/>
      <c r="D745" s="263"/>
      <c r="E745" s="263"/>
      <c r="F745" s="263"/>
      <c r="G745" s="263"/>
      <c r="H745" s="263"/>
      <c r="I745" s="263"/>
      <c r="J745" s="242"/>
      <c r="K745" s="242"/>
      <c r="L745" s="242"/>
    </row>
    <row r="746" spans="1:12">
      <c r="A746" s="298"/>
      <c r="B746" s="227"/>
      <c r="C746" s="263"/>
      <c r="D746" s="263"/>
      <c r="E746" s="263"/>
      <c r="F746" s="263"/>
      <c r="G746" s="263"/>
      <c r="H746" s="263"/>
      <c r="I746" s="263"/>
      <c r="J746" s="242"/>
      <c r="K746" s="242"/>
      <c r="L746" s="242"/>
    </row>
    <row r="747" spans="1:12">
      <c r="A747" s="298"/>
      <c r="B747" s="227"/>
      <c r="C747" s="263"/>
      <c r="D747" s="263"/>
      <c r="E747" s="263"/>
      <c r="F747" s="263"/>
      <c r="G747" s="263"/>
      <c r="H747" s="263"/>
      <c r="I747" s="263"/>
      <c r="J747" s="242"/>
      <c r="K747" s="242"/>
      <c r="L747" s="242"/>
    </row>
    <row r="748" spans="1:12">
      <c r="A748" s="298"/>
      <c r="B748" s="227"/>
      <c r="C748" s="263"/>
      <c r="D748" s="263"/>
      <c r="E748" s="263"/>
      <c r="F748" s="263"/>
      <c r="G748" s="263"/>
      <c r="H748" s="263"/>
      <c r="I748" s="263"/>
      <c r="J748" s="242"/>
      <c r="K748" s="242"/>
      <c r="L748" s="242"/>
    </row>
    <row r="749" spans="1:12">
      <c r="A749" s="298"/>
      <c r="B749" s="227"/>
      <c r="C749" s="263"/>
      <c r="D749" s="263"/>
      <c r="E749" s="263"/>
      <c r="F749" s="263"/>
      <c r="G749" s="263"/>
      <c r="H749" s="263"/>
      <c r="I749" s="263"/>
      <c r="J749" s="242"/>
      <c r="K749" s="242"/>
      <c r="L749" s="242"/>
    </row>
    <row r="750" spans="1:12">
      <c r="A750" s="298"/>
      <c r="B750" s="227"/>
      <c r="C750" s="263"/>
      <c r="D750" s="263"/>
      <c r="E750" s="263"/>
      <c r="F750" s="263"/>
      <c r="G750" s="263"/>
      <c r="H750" s="263"/>
      <c r="I750" s="263"/>
      <c r="J750" s="242"/>
      <c r="K750" s="242"/>
      <c r="L750" s="242"/>
    </row>
    <row r="751" spans="1:12">
      <c r="A751" s="298"/>
      <c r="B751" s="227"/>
      <c r="C751" s="263"/>
      <c r="D751" s="263"/>
      <c r="E751" s="263"/>
      <c r="F751" s="263"/>
      <c r="G751" s="263"/>
      <c r="H751" s="263"/>
      <c r="I751" s="263"/>
      <c r="J751" s="242"/>
      <c r="K751" s="242"/>
      <c r="L751" s="242"/>
    </row>
    <row r="752" spans="1:12">
      <c r="A752" s="298"/>
      <c r="B752" s="227"/>
      <c r="C752" s="263"/>
      <c r="D752" s="263"/>
      <c r="E752" s="263"/>
      <c r="F752" s="263"/>
      <c r="G752" s="263"/>
      <c r="H752" s="263"/>
      <c r="I752" s="263"/>
      <c r="J752" s="242"/>
      <c r="K752" s="242"/>
      <c r="L752" s="242"/>
    </row>
    <row r="753" spans="1:12">
      <c r="A753" s="298"/>
      <c r="B753" s="227"/>
      <c r="C753" s="263"/>
      <c r="D753" s="263"/>
      <c r="E753" s="263"/>
      <c r="F753" s="263"/>
      <c r="G753" s="263"/>
      <c r="H753" s="263"/>
      <c r="I753" s="263"/>
      <c r="J753" s="242"/>
      <c r="K753" s="242"/>
      <c r="L753" s="242"/>
    </row>
    <row r="754" spans="1:12">
      <c r="A754" s="298"/>
      <c r="B754" s="227"/>
      <c r="C754" s="263"/>
      <c r="D754" s="263"/>
      <c r="E754" s="263"/>
      <c r="F754" s="263"/>
      <c r="G754" s="263"/>
      <c r="H754" s="263"/>
      <c r="I754" s="263"/>
      <c r="J754" s="242"/>
      <c r="K754" s="242"/>
      <c r="L754" s="242"/>
    </row>
    <row r="755" spans="1:12">
      <c r="A755" s="298"/>
      <c r="B755" s="227"/>
      <c r="C755" s="263"/>
      <c r="D755" s="263"/>
      <c r="E755" s="263"/>
      <c r="F755" s="263"/>
      <c r="G755" s="263"/>
      <c r="H755" s="263"/>
      <c r="I755" s="263"/>
      <c r="J755" s="242"/>
      <c r="K755" s="242"/>
      <c r="L755" s="242"/>
    </row>
    <row r="756" spans="1:12">
      <c r="A756" s="298"/>
      <c r="B756" s="227"/>
      <c r="C756" s="263"/>
      <c r="D756" s="263"/>
      <c r="E756" s="263"/>
      <c r="F756" s="263"/>
      <c r="G756" s="263"/>
      <c r="H756" s="263"/>
      <c r="I756" s="263"/>
      <c r="J756" s="242"/>
      <c r="K756" s="242"/>
      <c r="L756" s="242"/>
    </row>
    <row r="757" spans="1:12">
      <c r="A757" s="298"/>
      <c r="B757" s="227"/>
      <c r="C757" s="263"/>
      <c r="D757" s="263"/>
      <c r="E757" s="263"/>
      <c r="F757" s="263"/>
      <c r="G757" s="263"/>
      <c r="H757" s="263"/>
      <c r="I757" s="263"/>
      <c r="J757" s="242"/>
      <c r="K757" s="242"/>
      <c r="L757" s="242"/>
    </row>
    <row r="758" spans="1:12">
      <c r="A758" s="298"/>
      <c r="B758" s="227"/>
      <c r="C758" s="263"/>
      <c r="D758" s="263"/>
      <c r="E758" s="263"/>
      <c r="F758" s="263"/>
      <c r="G758" s="263"/>
      <c r="H758" s="263"/>
      <c r="I758" s="263"/>
      <c r="J758" s="242"/>
      <c r="K758" s="242"/>
      <c r="L758" s="242"/>
    </row>
    <row r="759" spans="1:12">
      <c r="A759" s="298"/>
      <c r="B759" s="227"/>
      <c r="C759" s="263"/>
      <c r="D759" s="263"/>
      <c r="E759" s="263"/>
      <c r="F759" s="263"/>
      <c r="G759" s="263"/>
      <c r="H759" s="263"/>
      <c r="I759" s="263"/>
      <c r="J759" s="242"/>
      <c r="K759" s="242"/>
      <c r="L759" s="242"/>
    </row>
    <row r="760" spans="1:12">
      <c r="A760" s="298"/>
      <c r="B760" s="227"/>
      <c r="C760" s="263"/>
      <c r="D760" s="263"/>
      <c r="E760" s="263"/>
      <c r="F760" s="263"/>
      <c r="G760" s="263"/>
      <c r="H760" s="263"/>
      <c r="I760" s="263"/>
      <c r="J760" s="242"/>
      <c r="K760" s="242"/>
      <c r="L760" s="242"/>
    </row>
    <row r="761" spans="1:12">
      <c r="A761" s="298"/>
      <c r="B761" s="227"/>
      <c r="C761" s="263"/>
      <c r="D761" s="263"/>
      <c r="E761" s="263"/>
      <c r="F761" s="263"/>
      <c r="G761" s="263"/>
      <c r="H761" s="263"/>
      <c r="I761" s="263"/>
      <c r="J761" s="242"/>
      <c r="K761" s="242"/>
      <c r="L761" s="242"/>
    </row>
    <row r="762" spans="1:12">
      <c r="A762" s="298"/>
      <c r="B762" s="227"/>
      <c r="C762" s="263"/>
      <c r="D762" s="263"/>
      <c r="E762" s="263"/>
      <c r="F762" s="263"/>
      <c r="G762" s="263"/>
      <c r="H762" s="263"/>
      <c r="I762" s="263"/>
      <c r="J762" s="242"/>
      <c r="K762" s="242"/>
      <c r="L762" s="242"/>
    </row>
    <row r="763" spans="1:12">
      <c r="A763" s="298"/>
      <c r="B763" s="227"/>
      <c r="C763" s="263"/>
      <c r="D763" s="263"/>
      <c r="E763" s="263"/>
      <c r="F763" s="263"/>
      <c r="G763" s="263"/>
      <c r="H763" s="263"/>
      <c r="I763" s="263"/>
      <c r="J763" s="242"/>
      <c r="K763" s="242"/>
      <c r="L763" s="242"/>
    </row>
    <row r="764" spans="1:12">
      <c r="A764" s="298"/>
      <c r="B764" s="227"/>
      <c r="C764" s="263"/>
      <c r="D764" s="263"/>
      <c r="E764" s="263"/>
      <c r="F764" s="263"/>
      <c r="G764" s="263"/>
      <c r="H764" s="263"/>
      <c r="I764" s="263"/>
      <c r="J764" s="242"/>
      <c r="K764" s="242"/>
      <c r="L764" s="242"/>
    </row>
    <row r="765" spans="1:12">
      <c r="A765" s="298"/>
      <c r="B765" s="227"/>
      <c r="C765" s="263"/>
      <c r="D765" s="263"/>
      <c r="E765" s="263"/>
      <c r="F765" s="263"/>
      <c r="G765" s="263"/>
      <c r="H765" s="263"/>
      <c r="I765" s="263"/>
      <c r="J765" s="242"/>
      <c r="K765" s="242"/>
      <c r="L765" s="242"/>
    </row>
    <row r="766" spans="1:12">
      <c r="A766" s="298"/>
      <c r="B766" s="227"/>
      <c r="C766" s="263"/>
      <c r="D766" s="263"/>
      <c r="E766" s="263"/>
      <c r="F766" s="263"/>
      <c r="G766" s="263"/>
      <c r="H766" s="263"/>
      <c r="I766" s="263"/>
      <c r="J766" s="242"/>
      <c r="K766" s="242"/>
      <c r="L766" s="242"/>
    </row>
    <row r="767" spans="1:12">
      <c r="A767" s="298"/>
      <c r="B767" s="227"/>
      <c r="C767" s="263"/>
      <c r="D767" s="263"/>
      <c r="E767" s="263"/>
      <c r="F767" s="263"/>
      <c r="G767" s="263"/>
      <c r="H767" s="263"/>
      <c r="I767" s="263"/>
      <c r="J767" s="242"/>
      <c r="K767" s="242"/>
      <c r="L767" s="242"/>
    </row>
    <row r="768" spans="1:12">
      <c r="A768" s="298"/>
      <c r="B768" s="227"/>
      <c r="C768" s="263"/>
      <c r="D768" s="263"/>
      <c r="E768" s="263"/>
      <c r="F768" s="263"/>
      <c r="G768" s="263"/>
      <c r="H768" s="263"/>
      <c r="I768" s="263"/>
      <c r="J768" s="242"/>
      <c r="K768" s="242"/>
      <c r="L768" s="242"/>
    </row>
    <row r="769" spans="1:12">
      <c r="A769" s="298"/>
      <c r="B769" s="227"/>
      <c r="C769" s="263"/>
      <c r="D769" s="263"/>
      <c r="E769" s="263"/>
      <c r="F769" s="263"/>
      <c r="G769" s="263"/>
      <c r="H769" s="263"/>
      <c r="I769" s="263"/>
      <c r="J769" s="242"/>
      <c r="K769" s="242"/>
      <c r="L769" s="242"/>
    </row>
    <row r="770" spans="1:12">
      <c r="A770" s="298"/>
      <c r="B770" s="227"/>
      <c r="C770" s="263"/>
      <c r="D770" s="263"/>
      <c r="E770" s="263"/>
      <c r="F770" s="263"/>
      <c r="G770" s="263"/>
      <c r="H770" s="263"/>
      <c r="I770" s="263"/>
      <c r="J770" s="242"/>
      <c r="K770" s="242"/>
      <c r="L770" s="242"/>
    </row>
    <row r="771" spans="1:12">
      <c r="A771" s="298"/>
      <c r="B771" s="227"/>
      <c r="C771" s="263"/>
      <c r="D771" s="263"/>
      <c r="E771" s="263"/>
      <c r="F771" s="263"/>
      <c r="G771" s="263"/>
      <c r="H771" s="263"/>
      <c r="I771" s="263"/>
      <c r="J771" s="242"/>
      <c r="K771" s="242"/>
      <c r="L771" s="242"/>
    </row>
    <row r="772" spans="1:12">
      <c r="A772" s="298"/>
      <c r="B772" s="227"/>
      <c r="C772" s="263"/>
      <c r="D772" s="263"/>
      <c r="E772" s="263"/>
      <c r="F772" s="263"/>
      <c r="G772" s="263"/>
      <c r="H772" s="263"/>
      <c r="I772" s="263"/>
      <c r="J772" s="242"/>
      <c r="K772" s="242"/>
      <c r="L772" s="242"/>
    </row>
    <row r="773" spans="1:12">
      <c r="A773" s="298"/>
      <c r="B773" s="227"/>
      <c r="C773" s="263"/>
      <c r="D773" s="263"/>
      <c r="E773" s="263"/>
      <c r="F773" s="263"/>
      <c r="G773" s="263"/>
      <c r="H773" s="263"/>
      <c r="I773" s="263"/>
      <c r="J773" s="242"/>
      <c r="K773" s="242"/>
      <c r="L773" s="242"/>
    </row>
    <row r="774" spans="1:12">
      <c r="A774" s="298"/>
      <c r="B774" s="227"/>
      <c r="C774" s="263"/>
      <c r="D774" s="263"/>
      <c r="E774" s="263"/>
      <c r="F774" s="263"/>
      <c r="G774" s="263"/>
      <c r="H774" s="263"/>
      <c r="I774" s="263"/>
      <c r="J774" s="242"/>
      <c r="K774" s="242"/>
      <c r="L774" s="242"/>
    </row>
    <row r="775" spans="1:12">
      <c r="A775" s="298"/>
      <c r="B775" s="227"/>
      <c r="C775" s="263"/>
      <c r="D775" s="263"/>
      <c r="E775" s="263"/>
      <c r="F775" s="263"/>
      <c r="G775" s="263"/>
      <c r="H775" s="263"/>
      <c r="I775" s="263"/>
      <c r="J775" s="242"/>
      <c r="K775" s="242"/>
      <c r="L775" s="242"/>
    </row>
    <row r="776" spans="1:12">
      <c r="A776" s="298"/>
      <c r="B776" s="227"/>
      <c r="C776" s="263"/>
      <c r="D776" s="263"/>
      <c r="E776" s="263"/>
      <c r="F776" s="263"/>
      <c r="G776" s="263"/>
      <c r="H776" s="263"/>
      <c r="I776" s="263"/>
      <c r="J776" s="242"/>
      <c r="K776" s="242"/>
      <c r="L776" s="242"/>
    </row>
    <row r="777" spans="1:12">
      <c r="A777" s="298"/>
      <c r="B777" s="227"/>
      <c r="C777" s="263"/>
      <c r="D777" s="263"/>
      <c r="E777" s="263"/>
      <c r="F777" s="263"/>
      <c r="G777" s="263"/>
      <c r="H777" s="263"/>
      <c r="I777" s="263"/>
      <c r="J777" s="242"/>
      <c r="K777" s="242"/>
      <c r="L777" s="242"/>
    </row>
    <row r="778" spans="1:12">
      <c r="A778" s="298"/>
      <c r="B778" s="227"/>
      <c r="C778" s="263"/>
      <c r="D778" s="263"/>
      <c r="E778" s="263"/>
      <c r="F778" s="263"/>
      <c r="G778" s="263"/>
      <c r="H778" s="263"/>
      <c r="I778" s="263"/>
      <c r="J778" s="242"/>
      <c r="K778" s="242"/>
      <c r="L778" s="242"/>
    </row>
    <row r="779" spans="1:12">
      <c r="A779" s="298"/>
      <c r="B779" s="227"/>
      <c r="C779" s="263"/>
      <c r="D779" s="263"/>
      <c r="E779" s="263"/>
      <c r="F779" s="263"/>
      <c r="G779" s="263"/>
      <c r="H779" s="263"/>
      <c r="I779" s="263"/>
      <c r="J779" s="242"/>
      <c r="K779" s="242"/>
      <c r="L779" s="242"/>
    </row>
    <row r="780" spans="1:12">
      <c r="A780" s="298"/>
      <c r="B780" s="227"/>
      <c r="C780" s="263"/>
      <c r="D780" s="263"/>
      <c r="E780" s="263"/>
      <c r="F780" s="263"/>
      <c r="G780" s="263"/>
      <c r="H780" s="263"/>
      <c r="I780" s="263"/>
      <c r="J780" s="242"/>
      <c r="K780" s="242"/>
      <c r="L780" s="242"/>
    </row>
    <row r="781" spans="1:12">
      <c r="A781" s="298"/>
      <c r="B781" s="227"/>
      <c r="C781" s="263"/>
      <c r="D781" s="263"/>
      <c r="E781" s="263"/>
      <c r="F781" s="263"/>
      <c r="G781" s="263"/>
      <c r="H781" s="263"/>
      <c r="I781" s="263"/>
      <c r="J781" s="242"/>
      <c r="K781" s="242"/>
      <c r="L781" s="242"/>
    </row>
    <row r="782" spans="1:12">
      <c r="A782" s="298"/>
      <c r="B782" s="227"/>
      <c r="C782" s="263"/>
      <c r="D782" s="263"/>
      <c r="E782" s="263"/>
      <c r="F782" s="263"/>
      <c r="G782" s="263"/>
      <c r="H782" s="263"/>
      <c r="I782" s="263"/>
      <c r="J782" s="242"/>
      <c r="K782" s="242"/>
      <c r="L782" s="242"/>
    </row>
    <row r="783" spans="1:12">
      <c r="A783" s="298"/>
      <c r="B783" s="227"/>
      <c r="C783" s="263"/>
      <c r="D783" s="263"/>
      <c r="E783" s="263"/>
      <c r="F783" s="263"/>
      <c r="G783" s="263"/>
      <c r="H783" s="263"/>
      <c r="I783" s="263"/>
      <c r="J783" s="242"/>
      <c r="K783" s="242"/>
      <c r="L783" s="242"/>
    </row>
    <row r="784" spans="1:12">
      <c r="A784" s="298"/>
      <c r="B784" s="227"/>
      <c r="C784" s="263"/>
      <c r="D784" s="263"/>
      <c r="E784" s="263"/>
      <c r="F784" s="263"/>
      <c r="G784" s="263"/>
      <c r="H784" s="263"/>
      <c r="I784" s="263"/>
      <c r="J784" s="242"/>
      <c r="K784" s="242"/>
      <c r="L784" s="242"/>
    </row>
    <row r="785" spans="1:12">
      <c r="A785" s="298"/>
      <c r="B785" s="227"/>
      <c r="C785" s="263"/>
      <c r="D785" s="263"/>
      <c r="E785" s="263"/>
      <c r="F785" s="263"/>
      <c r="G785" s="263"/>
      <c r="H785" s="263"/>
      <c r="I785" s="263"/>
      <c r="J785" s="242"/>
      <c r="K785" s="242"/>
      <c r="L785" s="242"/>
    </row>
    <row r="786" spans="1:12">
      <c r="A786" s="298"/>
      <c r="B786" s="227"/>
      <c r="C786" s="263"/>
      <c r="D786" s="263"/>
      <c r="E786" s="263"/>
      <c r="F786" s="263"/>
      <c r="G786" s="263"/>
      <c r="H786" s="263"/>
      <c r="I786" s="263"/>
      <c r="J786" s="242"/>
      <c r="K786" s="242"/>
      <c r="L786" s="242"/>
    </row>
    <row r="787" spans="1:12">
      <c r="A787" s="298"/>
      <c r="B787" s="227"/>
      <c r="C787" s="263"/>
      <c r="D787" s="263"/>
      <c r="E787" s="263"/>
      <c r="F787" s="263"/>
      <c r="G787" s="263"/>
      <c r="H787" s="263"/>
      <c r="I787" s="263"/>
      <c r="J787" s="242"/>
      <c r="K787" s="242"/>
      <c r="L787" s="242"/>
    </row>
    <row r="788" spans="1:12">
      <c r="A788" s="298"/>
      <c r="B788" s="227"/>
      <c r="C788" s="263"/>
      <c r="D788" s="263"/>
      <c r="E788" s="263"/>
      <c r="F788" s="263"/>
      <c r="G788" s="263"/>
      <c r="H788" s="263"/>
      <c r="I788" s="263"/>
      <c r="J788" s="242"/>
      <c r="K788" s="242"/>
      <c r="L788" s="242"/>
    </row>
    <row r="789" spans="1:12">
      <c r="A789" s="298"/>
      <c r="B789" s="227"/>
      <c r="C789" s="263"/>
      <c r="D789" s="263"/>
      <c r="E789" s="263"/>
      <c r="F789" s="263"/>
      <c r="G789" s="263"/>
      <c r="H789" s="263"/>
      <c r="I789" s="263"/>
      <c r="J789" s="242"/>
      <c r="K789" s="242"/>
      <c r="L789" s="242"/>
    </row>
    <row r="790" spans="1:12">
      <c r="A790" s="298"/>
      <c r="B790" s="227"/>
      <c r="C790" s="263"/>
      <c r="D790" s="263"/>
      <c r="E790" s="263"/>
      <c r="F790" s="263"/>
      <c r="G790" s="263"/>
      <c r="H790" s="263"/>
      <c r="I790" s="263"/>
      <c r="J790" s="242"/>
      <c r="K790" s="242"/>
      <c r="L790" s="242"/>
    </row>
    <row r="791" spans="1:12">
      <c r="A791" s="298"/>
      <c r="B791" s="227"/>
      <c r="C791" s="263"/>
      <c r="D791" s="263"/>
      <c r="E791" s="263"/>
      <c r="F791" s="263"/>
      <c r="G791" s="263"/>
      <c r="H791" s="263"/>
      <c r="I791" s="263"/>
      <c r="J791" s="242"/>
      <c r="K791" s="242"/>
      <c r="L791" s="242"/>
    </row>
    <row r="792" spans="1:12">
      <c r="A792" s="298"/>
      <c r="B792" s="227"/>
      <c r="C792" s="263"/>
      <c r="D792" s="263"/>
      <c r="E792" s="263"/>
      <c r="F792" s="263"/>
      <c r="G792" s="263"/>
      <c r="H792" s="263"/>
      <c r="I792" s="263"/>
      <c r="J792" s="242"/>
      <c r="K792" s="242"/>
      <c r="L792" s="242"/>
    </row>
    <row r="793" spans="1:12">
      <c r="A793" s="298"/>
      <c r="B793" s="227"/>
      <c r="C793" s="263"/>
      <c r="D793" s="263"/>
      <c r="E793" s="263"/>
      <c r="F793" s="263"/>
      <c r="G793" s="263"/>
      <c r="H793" s="263"/>
      <c r="I793" s="263"/>
      <c r="J793" s="242"/>
      <c r="K793" s="242"/>
      <c r="L793" s="242"/>
    </row>
    <row r="794" spans="1:12">
      <c r="A794" s="298"/>
      <c r="B794" s="227"/>
      <c r="C794" s="263"/>
      <c r="D794" s="263"/>
      <c r="E794" s="263"/>
      <c r="F794" s="263"/>
      <c r="G794" s="263"/>
      <c r="H794" s="263"/>
      <c r="I794" s="263"/>
      <c r="J794" s="242"/>
      <c r="K794" s="242"/>
      <c r="L794" s="242"/>
    </row>
    <row r="795" spans="1:12">
      <c r="A795" s="298"/>
      <c r="B795" s="227"/>
      <c r="C795" s="263"/>
      <c r="D795" s="263"/>
      <c r="E795" s="263"/>
      <c r="F795" s="263"/>
      <c r="G795" s="263"/>
      <c r="H795" s="263"/>
      <c r="I795" s="263"/>
      <c r="J795" s="242"/>
      <c r="K795" s="242"/>
      <c r="L795" s="242"/>
    </row>
    <row r="796" spans="1:12">
      <c r="A796" s="298"/>
      <c r="B796" s="227"/>
      <c r="C796" s="263"/>
      <c r="D796" s="263"/>
      <c r="E796" s="263"/>
      <c r="F796" s="263"/>
      <c r="G796" s="263"/>
      <c r="H796" s="263"/>
      <c r="I796" s="263"/>
      <c r="J796" s="242"/>
      <c r="K796" s="242"/>
      <c r="L796" s="242"/>
    </row>
    <row r="797" spans="1:12">
      <c r="A797" s="298"/>
      <c r="B797" s="227"/>
      <c r="C797" s="263"/>
      <c r="D797" s="263"/>
      <c r="E797" s="263"/>
      <c r="F797" s="263"/>
      <c r="G797" s="263"/>
      <c r="H797" s="263"/>
      <c r="I797" s="263"/>
      <c r="J797" s="242"/>
      <c r="K797" s="242"/>
      <c r="L797" s="242"/>
    </row>
    <row r="798" spans="1:12">
      <c r="A798" s="298"/>
      <c r="B798" s="227"/>
      <c r="C798" s="263"/>
      <c r="D798" s="263"/>
      <c r="E798" s="263"/>
      <c r="F798" s="263"/>
      <c r="G798" s="263"/>
      <c r="H798" s="263"/>
      <c r="I798" s="263"/>
      <c r="J798" s="242"/>
      <c r="K798" s="242"/>
      <c r="L798" s="242"/>
    </row>
    <row r="799" spans="1:12">
      <c r="A799" s="298"/>
      <c r="B799" s="227"/>
      <c r="C799" s="263"/>
      <c r="D799" s="263"/>
      <c r="E799" s="263"/>
      <c r="F799" s="263"/>
      <c r="G799" s="263"/>
      <c r="H799" s="263"/>
      <c r="I799" s="263"/>
      <c r="J799" s="242"/>
      <c r="K799" s="242"/>
      <c r="L799" s="242"/>
    </row>
    <row r="800" spans="1:12">
      <c r="A800" s="298"/>
      <c r="B800" s="227"/>
      <c r="C800" s="263"/>
      <c r="D800" s="263"/>
      <c r="E800" s="263"/>
      <c r="F800" s="263"/>
      <c r="G800" s="263"/>
      <c r="H800" s="263"/>
      <c r="I800" s="263"/>
      <c r="J800" s="242"/>
      <c r="K800" s="242"/>
      <c r="L800" s="242"/>
    </row>
    <row r="801" spans="1:12">
      <c r="A801" s="298"/>
      <c r="B801" s="227"/>
      <c r="C801" s="263"/>
      <c r="D801" s="263"/>
      <c r="E801" s="263"/>
      <c r="F801" s="263"/>
      <c r="G801" s="263"/>
      <c r="H801" s="263"/>
      <c r="I801" s="263"/>
      <c r="J801" s="242"/>
      <c r="K801" s="242"/>
      <c r="L801" s="242"/>
    </row>
    <row r="802" spans="1:12">
      <c r="A802" s="298"/>
      <c r="B802" s="227"/>
      <c r="C802" s="263"/>
      <c r="D802" s="263"/>
      <c r="E802" s="263"/>
      <c r="F802" s="263"/>
      <c r="G802" s="263"/>
      <c r="H802" s="263"/>
      <c r="I802" s="263"/>
      <c r="J802" s="242"/>
      <c r="K802" s="242"/>
      <c r="L802" s="242"/>
    </row>
    <row r="803" spans="1:12">
      <c r="A803" s="298"/>
      <c r="B803" s="227"/>
      <c r="C803" s="263"/>
      <c r="D803" s="263"/>
      <c r="E803" s="263"/>
      <c r="F803" s="263"/>
      <c r="G803" s="263"/>
      <c r="H803" s="263"/>
      <c r="I803" s="263"/>
      <c r="J803" s="242"/>
      <c r="K803" s="242"/>
      <c r="L803" s="242"/>
    </row>
    <row r="804" spans="1:12">
      <c r="A804" s="298"/>
      <c r="B804" s="227"/>
      <c r="C804" s="263"/>
      <c r="D804" s="263"/>
      <c r="E804" s="263"/>
      <c r="F804" s="263"/>
      <c r="G804" s="263"/>
      <c r="H804" s="263"/>
      <c r="I804" s="263"/>
      <c r="J804" s="242"/>
      <c r="K804" s="242"/>
      <c r="L804" s="242"/>
    </row>
    <row r="805" spans="1:12">
      <c r="A805" s="298"/>
      <c r="B805" s="227"/>
      <c r="C805" s="263"/>
      <c r="D805" s="263"/>
      <c r="E805" s="263"/>
      <c r="F805" s="263"/>
      <c r="G805" s="263"/>
      <c r="H805" s="263"/>
      <c r="I805" s="263"/>
      <c r="J805" s="242"/>
      <c r="K805" s="242"/>
      <c r="L805" s="242"/>
    </row>
    <row r="806" spans="1:12">
      <c r="A806" s="298"/>
      <c r="B806" s="227"/>
      <c r="C806" s="263"/>
      <c r="D806" s="263"/>
      <c r="E806" s="263"/>
      <c r="F806" s="263"/>
      <c r="G806" s="263"/>
      <c r="H806" s="263"/>
      <c r="I806" s="263"/>
      <c r="J806" s="242"/>
      <c r="K806" s="242"/>
      <c r="L806" s="242"/>
    </row>
    <row r="807" spans="1:12">
      <c r="A807" s="298"/>
      <c r="B807" s="227"/>
      <c r="C807" s="263"/>
      <c r="D807" s="263"/>
      <c r="E807" s="263"/>
      <c r="F807" s="263"/>
      <c r="G807" s="263"/>
      <c r="H807" s="263"/>
      <c r="I807" s="263"/>
      <c r="J807" s="242"/>
      <c r="K807" s="242"/>
      <c r="L807" s="242"/>
    </row>
    <row r="808" spans="1:12">
      <c r="A808" s="298"/>
      <c r="B808" s="227"/>
      <c r="C808" s="263"/>
      <c r="D808" s="263"/>
      <c r="E808" s="263"/>
      <c r="F808" s="263"/>
      <c r="G808" s="263"/>
      <c r="H808" s="263"/>
      <c r="I808" s="263"/>
      <c r="J808" s="242"/>
      <c r="K808" s="242"/>
      <c r="L808" s="242"/>
    </row>
    <row r="809" spans="1:12">
      <c r="A809" s="298"/>
      <c r="B809" s="227"/>
      <c r="C809" s="263"/>
      <c r="D809" s="263"/>
      <c r="E809" s="263"/>
      <c r="F809" s="263"/>
      <c r="G809" s="263"/>
      <c r="H809" s="263"/>
      <c r="I809" s="263"/>
      <c r="J809" s="242"/>
      <c r="K809" s="242"/>
      <c r="L809" s="242"/>
    </row>
    <row r="810" spans="1:12">
      <c r="A810" s="298"/>
      <c r="B810" s="227"/>
      <c r="C810" s="263"/>
      <c r="D810" s="263"/>
      <c r="E810" s="263"/>
      <c r="F810" s="263"/>
      <c r="G810" s="263"/>
      <c r="H810" s="263"/>
      <c r="I810" s="263"/>
      <c r="J810" s="242"/>
      <c r="K810" s="242"/>
      <c r="L810" s="242"/>
    </row>
    <row r="811" spans="1:12">
      <c r="A811" s="298"/>
      <c r="B811" s="227"/>
      <c r="C811" s="263"/>
      <c r="D811" s="263"/>
      <c r="E811" s="263"/>
      <c r="F811" s="263"/>
      <c r="G811" s="263"/>
      <c r="H811" s="263"/>
      <c r="I811" s="263"/>
      <c r="J811" s="242"/>
      <c r="K811" s="242"/>
      <c r="L811" s="242"/>
    </row>
    <row r="812" spans="1:12">
      <c r="A812" s="298"/>
      <c r="B812" s="227"/>
      <c r="C812" s="263"/>
      <c r="D812" s="263"/>
      <c r="E812" s="263"/>
      <c r="F812" s="263"/>
      <c r="G812" s="263"/>
      <c r="H812" s="263"/>
      <c r="I812" s="263"/>
      <c r="J812" s="242"/>
      <c r="K812" s="242"/>
      <c r="L812" s="242"/>
    </row>
    <row r="813" spans="1:12">
      <c r="A813" s="298"/>
      <c r="B813" s="227"/>
      <c r="C813" s="263"/>
      <c r="D813" s="263"/>
      <c r="E813" s="263"/>
      <c r="F813" s="263"/>
      <c r="G813" s="263"/>
      <c r="H813" s="263"/>
      <c r="I813" s="263"/>
      <c r="J813" s="242"/>
      <c r="K813" s="242"/>
      <c r="L813" s="242"/>
    </row>
    <row r="814" spans="1:12">
      <c r="A814" s="298"/>
      <c r="B814" s="227"/>
      <c r="C814" s="263"/>
      <c r="D814" s="263"/>
      <c r="E814" s="263"/>
      <c r="F814" s="263"/>
      <c r="G814" s="263"/>
      <c r="H814" s="263"/>
      <c r="I814" s="263"/>
      <c r="J814" s="242"/>
      <c r="K814" s="242"/>
      <c r="L814" s="242"/>
    </row>
    <row r="815" spans="1:12">
      <c r="A815" s="298"/>
      <c r="B815" s="227"/>
      <c r="C815" s="263"/>
      <c r="D815" s="263"/>
      <c r="E815" s="263"/>
      <c r="F815" s="263"/>
      <c r="G815" s="263"/>
      <c r="H815" s="263"/>
      <c r="I815" s="263"/>
      <c r="J815" s="242"/>
      <c r="K815" s="242"/>
      <c r="L815" s="242"/>
    </row>
    <row r="816" spans="1:12">
      <c r="A816" s="298"/>
      <c r="B816" s="227"/>
      <c r="C816" s="263"/>
      <c r="D816" s="263"/>
      <c r="E816" s="263"/>
      <c r="F816" s="263"/>
      <c r="G816" s="263"/>
      <c r="H816" s="263"/>
      <c r="I816" s="263"/>
      <c r="J816" s="242"/>
      <c r="K816" s="242"/>
      <c r="L816" s="242"/>
    </row>
    <row r="817" spans="1:12">
      <c r="A817" s="298"/>
      <c r="B817" s="227"/>
      <c r="C817" s="263"/>
      <c r="D817" s="263"/>
      <c r="E817" s="263"/>
      <c r="F817" s="263"/>
      <c r="G817" s="263"/>
      <c r="H817" s="263"/>
      <c r="I817" s="263"/>
      <c r="J817" s="242"/>
      <c r="K817" s="242"/>
      <c r="L817" s="242"/>
    </row>
    <row r="818" spans="1:12">
      <c r="A818" s="298"/>
      <c r="B818" s="227"/>
      <c r="C818" s="263"/>
      <c r="D818" s="263"/>
      <c r="E818" s="263"/>
      <c r="F818" s="263"/>
      <c r="G818" s="263"/>
      <c r="H818" s="263"/>
      <c r="I818" s="263"/>
      <c r="J818" s="242"/>
      <c r="K818" s="242"/>
      <c r="L818" s="242"/>
    </row>
    <row r="819" spans="1:12">
      <c r="A819" s="298"/>
      <c r="B819" s="227"/>
      <c r="C819" s="263"/>
      <c r="D819" s="263"/>
      <c r="E819" s="263"/>
      <c r="F819" s="263"/>
      <c r="G819" s="263"/>
      <c r="H819" s="263"/>
      <c r="I819" s="263"/>
      <c r="J819" s="242"/>
      <c r="K819" s="242"/>
      <c r="L819" s="242"/>
    </row>
    <row r="820" spans="1:12">
      <c r="A820" s="298"/>
      <c r="B820" s="227"/>
      <c r="C820" s="263"/>
      <c r="D820" s="263"/>
      <c r="E820" s="263"/>
      <c r="F820" s="263"/>
      <c r="G820" s="263"/>
      <c r="H820" s="263"/>
      <c r="I820" s="263"/>
      <c r="J820" s="242"/>
      <c r="K820" s="242"/>
      <c r="L820" s="242"/>
    </row>
    <row r="821" spans="1:12">
      <c r="A821" s="298"/>
      <c r="B821" s="227"/>
      <c r="C821" s="263"/>
      <c r="D821" s="263"/>
      <c r="E821" s="263"/>
      <c r="F821" s="263"/>
      <c r="G821" s="263"/>
      <c r="H821" s="263"/>
      <c r="I821" s="263"/>
      <c r="J821" s="242"/>
      <c r="K821" s="242"/>
      <c r="L821" s="242"/>
    </row>
    <row r="822" spans="1:12">
      <c r="A822" s="298"/>
      <c r="B822" s="227"/>
      <c r="C822" s="263"/>
      <c r="D822" s="263"/>
      <c r="E822" s="263"/>
      <c r="F822" s="263"/>
      <c r="G822" s="263"/>
      <c r="H822" s="263"/>
      <c r="I822" s="263"/>
      <c r="J822" s="242"/>
      <c r="K822" s="242"/>
      <c r="L822" s="242"/>
    </row>
    <row r="823" spans="1:12">
      <c r="A823" s="298"/>
      <c r="B823" s="227"/>
      <c r="C823" s="263"/>
      <c r="D823" s="263"/>
      <c r="E823" s="263"/>
      <c r="F823" s="263"/>
      <c r="G823" s="263"/>
      <c r="H823" s="263"/>
      <c r="I823" s="263"/>
      <c r="J823" s="242"/>
      <c r="K823" s="242"/>
      <c r="L823" s="242"/>
    </row>
    <row r="824" spans="1:12">
      <c r="A824" s="298"/>
      <c r="B824" s="227"/>
      <c r="C824" s="263"/>
      <c r="D824" s="263"/>
      <c r="E824" s="263"/>
      <c r="F824" s="263"/>
      <c r="G824" s="263"/>
      <c r="H824" s="263"/>
      <c r="I824" s="263"/>
      <c r="J824" s="242"/>
      <c r="K824" s="242"/>
      <c r="L824" s="242"/>
    </row>
    <row r="825" spans="1:12">
      <c r="A825" s="298"/>
      <c r="B825" s="227"/>
      <c r="C825" s="263"/>
      <c r="D825" s="263"/>
      <c r="E825" s="263"/>
      <c r="F825" s="263"/>
      <c r="G825" s="263"/>
      <c r="H825" s="263"/>
      <c r="I825" s="263"/>
      <c r="J825" s="242"/>
      <c r="K825" s="242"/>
      <c r="L825" s="242"/>
    </row>
    <row r="826" spans="1:12">
      <c r="A826" s="298"/>
      <c r="B826" s="227"/>
      <c r="C826" s="263"/>
      <c r="D826" s="263"/>
      <c r="E826" s="263"/>
      <c r="F826" s="263"/>
      <c r="G826" s="263"/>
      <c r="H826" s="263"/>
      <c r="I826" s="263"/>
      <c r="J826" s="242"/>
      <c r="K826" s="242"/>
      <c r="L826" s="242"/>
    </row>
    <row r="827" spans="1:12">
      <c r="A827" s="298"/>
      <c r="B827" s="227"/>
      <c r="C827" s="263"/>
      <c r="D827" s="263"/>
      <c r="E827" s="263"/>
      <c r="F827" s="263"/>
      <c r="G827" s="263"/>
      <c r="H827" s="263"/>
      <c r="I827" s="263"/>
      <c r="J827" s="242"/>
      <c r="K827" s="242"/>
      <c r="L827" s="242"/>
    </row>
    <row r="828" spans="1:12">
      <c r="A828" s="298"/>
      <c r="B828" s="227"/>
      <c r="C828" s="263"/>
      <c r="D828" s="263"/>
      <c r="E828" s="263"/>
      <c r="F828" s="263"/>
      <c r="G828" s="263"/>
      <c r="H828" s="263"/>
      <c r="I828" s="263"/>
      <c r="J828" s="242"/>
      <c r="K828" s="242"/>
      <c r="L828" s="242"/>
    </row>
    <row r="829" spans="1:12">
      <c r="A829" s="298"/>
      <c r="B829" s="227"/>
      <c r="C829" s="263"/>
      <c r="D829" s="263"/>
      <c r="E829" s="263"/>
      <c r="F829" s="263"/>
      <c r="G829" s="263"/>
      <c r="H829" s="263"/>
      <c r="I829" s="263"/>
      <c r="J829" s="242"/>
      <c r="K829" s="242"/>
      <c r="L829" s="242"/>
    </row>
    <row r="830" spans="1:12">
      <c r="A830" s="298"/>
      <c r="B830" s="227"/>
      <c r="C830" s="263"/>
      <c r="D830" s="263"/>
      <c r="E830" s="263"/>
      <c r="F830" s="263"/>
      <c r="G830" s="263"/>
      <c r="H830" s="263"/>
      <c r="I830" s="263"/>
      <c r="J830" s="242"/>
      <c r="K830" s="242"/>
      <c r="L830" s="242"/>
    </row>
    <row r="831" spans="1:12">
      <c r="A831" s="298"/>
      <c r="B831" s="227"/>
      <c r="C831" s="263"/>
      <c r="D831" s="263"/>
      <c r="E831" s="263"/>
      <c r="F831" s="263"/>
      <c r="G831" s="263"/>
      <c r="H831" s="263"/>
      <c r="I831" s="263"/>
      <c r="J831" s="242"/>
      <c r="K831" s="242"/>
      <c r="L831" s="242"/>
    </row>
    <row r="832" spans="1:12">
      <c r="A832" s="298"/>
      <c r="B832" s="227"/>
      <c r="C832" s="263"/>
      <c r="D832" s="263"/>
      <c r="E832" s="263"/>
      <c r="F832" s="263"/>
      <c r="G832" s="263"/>
      <c r="H832" s="263"/>
      <c r="I832" s="263"/>
      <c r="J832" s="242"/>
      <c r="K832" s="242"/>
      <c r="L832" s="242"/>
    </row>
    <row r="833" spans="1:12">
      <c r="A833" s="298"/>
      <c r="B833" s="227"/>
      <c r="C833" s="263"/>
      <c r="D833" s="263"/>
      <c r="E833" s="263"/>
      <c r="F833" s="263"/>
      <c r="G833" s="263"/>
      <c r="H833" s="263"/>
      <c r="I833" s="263"/>
      <c r="J833" s="242"/>
      <c r="K833" s="242"/>
      <c r="L833" s="242"/>
    </row>
    <row r="834" spans="1:12">
      <c r="A834" s="298"/>
      <c r="B834" s="227"/>
      <c r="C834" s="263"/>
      <c r="D834" s="263"/>
      <c r="E834" s="263"/>
      <c r="F834" s="263"/>
      <c r="G834" s="263"/>
      <c r="H834" s="263"/>
      <c r="I834" s="263"/>
      <c r="J834" s="242"/>
      <c r="K834" s="242"/>
      <c r="L834" s="242"/>
    </row>
    <row r="835" spans="1:12">
      <c r="A835" s="298"/>
      <c r="B835" s="227"/>
      <c r="C835" s="263"/>
      <c r="D835" s="263"/>
      <c r="E835" s="263"/>
      <c r="F835" s="263"/>
      <c r="G835" s="263"/>
      <c r="H835" s="263"/>
      <c r="I835" s="263"/>
      <c r="J835" s="242"/>
      <c r="K835" s="242"/>
      <c r="L835" s="242"/>
    </row>
    <row r="836" spans="1:12">
      <c r="A836" s="298"/>
      <c r="B836" s="227"/>
      <c r="C836" s="263"/>
      <c r="D836" s="263"/>
      <c r="E836" s="263"/>
      <c r="F836" s="263"/>
      <c r="G836" s="263"/>
      <c r="H836" s="263"/>
      <c r="I836" s="263"/>
      <c r="J836" s="242"/>
      <c r="K836" s="242"/>
      <c r="L836" s="242"/>
    </row>
    <row r="837" spans="1:12">
      <c r="A837" s="298"/>
      <c r="B837" s="227"/>
      <c r="C837" s="263"/>
      <c r="D837" s="263"/>
      <c r="E837" s="263"/>
      <c r="F837" s="263"/>
      <c r="G837" s="263"/>
      <c r="H837" s="263"/>
      <c r="I837" s="263"/>
      <c r="J837" s="242"/>
      <c r="K837" s="242"/>
      <c r="L837" s="242"/>
    </row>
    <row r="838" spans="1:12">
      <c r="A838" s="298"/>
      <c r="B838" s="227"/>
      <c r="C838" s="263"/>
      <c r="D838" s="263"/>
      <c r="E838" s="263"/>
      <c r="F838" s="263"/>
      <c r="G838" s="263"/>
      <c r="H838" s="263"/>
      <c r="I838" s="263"/>
      <c r="J838" s="242"/>
      <c r="K838" s="242"/>
      <c r="L838" s="242"/>
    </row>
    <row r="839" spans="1:12">
      <c r="A839" s="298"/>
      <c r="B839" s="227"/>
      <c r="C839" s="263"/>
      <c r="D839" s="263"/>
      <c r="E839" s="263"/>
      <c r="F839" s="263"/>
      <c r="G839" s="263"/>
      <c r="H839" s="263"/>
      <c r="I839" s="263"/>
      <c r="J839" s="242"/>
      <c r="K839" s="242"/>
      <c r="L839" s="242"/>
    </row>
    <row r="840" spans="1:12">
      <c r="A840" s="298"/>
      <c r="B840" s="227"/>
      <c r="C840" s="263"/>
      <c r="D840" s="263"/>
      <c r="E840" s="263"/>
      <c r="F840" s="263"/>
      <c r="G840" s="263"/>
      <c r="H840" s="263"/>
      <c r="I840" s="263"/>
      <c r="J840" s="242"/>
      <c r="K840" s="242"/>
      <c r="L840" s="242"/>
    </row>
    <row r="841" spans="1:12">
      <c r="A841" s="298"/>
      <c r="B841" s="227"/>
      <c r="C841" s="263"/>
      <c r="D841" s="263"/>
      <c r="E841" s="263"/>
      <c r="F841" s="263"/>
      <c r="G841" s="263"/>
      <c r="H841" s="263"/>
      <c r="I841" s="263"/>
      <c r="J841" s="242"/>
      <c r="K841" s="242"/>
      <c r="L841" s="242"/>
    </row>
    <row r="842" spans="1:12">
      <c r="A842" s="298"/>
      <c r="B842" s="227"/>
      <c r="C842" s="263"/>
      <c r="D842" s="263"/>
      <c r="E842" s="263"/>
      <c r="F842" s="263"/>
      <c r="G842" s="263"/>
      <c r="H842" s="263"/>
      <c r="I842" s="263"/>
      <c r="J842" s="242"/>
      <c r="K842" s="242"/>
      <c r="L842" s="242"/>
    </row>
    <row r="843" spans="1:12">
      <c r="A843" s="298"/>
      <c r="B843" s="227"/>
      <c r="C843" s="263"/>
      <c r="D843" s="263"/>
      <c r="E843" s="263"/>
      <c r="F843" s="263"/>
      <c r="G843" s="263"/>
      <c r="H843" s="263"/>
      <c r="I843" s="263"/>
      <c r="J843" s="242"/>
      <c r="K843" s="242"/>
      <c r="L843" s="242"/>
    </row>
    <row r="844" spans="1:12">
      <c r="A844" s="298"/>
      <c r="B844" s="227"/>
      <c r="C844" s="263"/>
      <c r="D844" s="263"/>
      <c r="E844" s="263"/>
      <c r="F844" s="263"/>
      <c r="G844" s="263"/>
      <c r="H844" s="263"/>
      <c r="I844" s="263"/>
      <c r="J844" s="242"/>
      <c r="K844" s="242"/>
      <c r="L844" s="242"/>
    </row>
    <row r="845" spans="1:12">
      <c r="A845" s="298"/>
      <c r="B845" s="227"/>
      <c r="C845" s="263"/>
      <c r="D845" s="263"/>
      <c r="E845" s="263"/>
      <c r="F845" s="263"/>
      <c r="G845" s="263"/>
      <c r="H845" s="263"/>
      <c r="I845" s="263"/>
      <c r="J845" s="242"/>
      <c r="K845" s="242"/>
      <c r="L845" s="242"/>
    </row>
    <row r="846" spans="1:12">
      <c r="A846" s="298"/>
      <c r="B846" s="227"/>
      <c r="C846" s="263"/>
      <c r="D846" s="263"/>
      <c r="E846" s="263"/>
      <c r="F846" s="263"/>
      <c r="G846" s="263"/>
      <c r="H846" s="263"/>
      <c r="I846" s="263"/>
      <c r="J846" s="242"/>
      <c r="K846" s="242"/>
      <c r="L846" s="242"/>
    </row>
    <row r="847" spans="1:12">
      <c r="A847" s="298"/>
      <c r="B847" s="227"/>
      <c r="C847" s="263"/>
      <c r="D847" s="263"/>
      <c r="E847" s="263"/>
      <c r="F847" s="263"/>
      <c r="G847" s="263"/>
      <c r="H847" s="263"/>
      <c r="I847" s="263"/>
      <c r="J847" s="242"/>
      <c r="K847" s="242"/>
      <c r="L847" s="242"/>
    </row>
    <row r="848" spans="1:12">
      <c r="A848" s="298"/>
      <c r="B848" s="227"/>
      <c r="C848" s="263"/>
      <c r="D848" s="263"/>
      <c r="E848" s="263"/>
      <c r="F848" s="263"/>
      <c r="G848" s="263"/>
      <c r="H848" s="263"/>
      <c r="I848" s="263"/>
      <c r="J848" s="242"/>
      <c r="K848" s="242"/>
      <c r="L848" s="242"/>
    </row>
    <row r="849" spans="1:12">
      <c r="A849" s="298"/>
      <c r="B849" s="227"/>
      <c r="C849" s="263"/>
      <c r="D849" s="263"/>
      <c r="E849" s="263"/>
      <c r="F849" s="263"/>
      <c r="G849" s="263"/>
      <c r="H849" s="263"/>
      <c r="I849" s="263"/>
      <c r="J849" s="242"/>
      <c r="K849" s="242"/>
      <c r="L849" s="242"/>
    </row>
    <row r="850" spans="1:12">
      <c r="A850" s="298"/>
      <c r="B850" s="227"/>
      <c r="C850" s="263"/>
      <c r="D850" s="263"/>
      <c r="E850" s="263"/>
      <c r="F850" s="263"/>
      <c r="G850" s="263"/>
      <c r="H850" s="263"/>
      <c r="I850" s="263"/>
      <c r="J850" s="242"/>
      <c r="K850" s="242"/>
      <c r="L850" s="242"/>
    </row>
    <row r="851" spans="1:12">
      <c r="A851" s="298"/>
      <c r="B851" s="227"/>
      <c r="C851" s="263"/>
      <c r="D851" s="263"/>
      <c r="E851" s="263"/>
      <c r="F851" s="263"/>
      <c r="G851" s="263"/>
      <c r="H851" s="263"/>
      <c r="I851" s="263"/>
      <c r="J851" s="242"/>
      <c r="K851" s="242"/>
      <c r="L851" s="242"/>
    </row>
    <row r="852" spans="1:12">
      <c r="A852" s="298"/>
      <c r="B852" s="227"/>
      <c r="C852" s="263"/>
      <c r="D852" s="263"/>
      <c r="E852" s="263"/>
      <c r="F852" s="263"/>
      <c r="G852" s="263"/>
      <c r="H852" s="263"/>
      <c r="I852" s="263"/>
      <c r="J852" s="242"/>
      <c r="K852" s="242"/>
      <c r="L852" s="242"/>
    </row>
    <row r="853" spans="1:12">
      <c r="A853" s="298"/>
      <c r="B853" s="227"/>
      <c r="C853" s="263"/>
      <c r="D853" s="263"/>
      <c r="E853" s="263"/>
      <c r="F853" s="263"/>
      <c r="G853" s="263"/>
      <c r="H853" s="263"/>
      <c r="I853" s="263"/>
      <c r="J853" s="242"/>
      <c r="K853" s="242"/>
      <c r="L853" s="242"/>
    </row>
    <row r="854" spans="1:12">
      <c r="A854" s="298"/>
      <c r="B854" s="227"/>
      <c r="C854" s="263"/>
      <c r="D854" s="263"/>
      <c r="E854" s="263"/>
      <c r="F854" s="263"/>
      <c r="G854" s="263"/>
      <c r="H854" s="263"/>
      <c r="I854" s="263"/>
      <c r="J854" s="242"/>
      <c r="K854" s="242"/>
      <c r="L854" s="242"/>
    </row>
    <row r="855" spans="1:12">
      <c r="A855" s="298"/>
      <c r="B855" s="227"/>
      <c r="C855" s="263"/>
      <c r="D855" s="263"/>
      <c r="E855" s="263"/>
      <c r="F855" s="263"/>
      <c r="G855" s="263"/>
      <c r="H855" s="263"/>
      <c r="I855" s="263"/>
      <c r="J855" s="242"/>
      <c r="K855" s="242"/>
      <c r="L855" s="242"/>
    </row>
    <row r="856" spans="1:12">
      <c r="A856" s="298"/>
      <c r="B856" s="227"/>
      <c r="C856" s="263"/>
      <c r="D856" s="263"/>
      <c r="E856" s="263"/>
      <c r="F856" s="263"/>
      <c r="G856" s="263"/>
      <c r="H856" s="263"/>
      <c r="I856" s="263"/>
      <c r="J856" s="242"/>
      <c r="K856" s="242"/>
      <c r="L856" s="242"/>
    </row>
    <row r="857" spans="1:12">
      <c r="A857" s="298"/>
      <c r="B857" s="227"/>
      <c r="C857" s="263"/>
      <c r="D857" s="263"/>
      <c r="E857" s="263"/>
      <c r="F857" s="263"/>
      <c r="G857" s="263"/>
      <c r="H857" s="263"/>
      <c r="I857" s="263"/>
      <c r="J857" s="242"/>
      <c r="K857" s="242"/>
      <c r="L857" s="242"/>
    </row>
    <row r="858" spans="1:12">
      <c r="A858" s="298"/>
      <c r="B858" s="227"/>
      <c r="C858" s="263"/>
      <c r="D858" s="263"/>
      <c r="E858" s="263"/>
      <c r="F858" s="263"/>
      <c r="G858" s="263"/>
      <c r="H858" s="263"/>
      <c r="I858" s="263"/>
      <c r="J858" s="242"/>
      <c r="K858" s="242"/>
      <c r="L858" s="242"/>
    </row>
    <row r="859" spans="1:12">
      <c r="A859" s="298"/>
      <c r="B859" s="227"/>
      <c r="C859" s="263"/>
      <c r="D859" s="263"/>
      <c r="E859" s="263"/>
      <c r="F859" s="263"/>
      <c r="G859" s="263"/>
      <c r="H859" s="263"/>
      <c r="I859" s="263"/>
      <c r="J859" s="242"/>
      <c r="K859" s="242"/>
      <c r="L859" s="242"/>
    </row>
    <row r="860" spans="1:12">
      <c r="A860" s="298"/>
      <c r="B860" s="227"/>
      <c r="C860" s="263"/>
      <c r="D860" s="263"/>
      <c r="E860" s="263"/>
      <c r="F860" s="263"/>
      <c r="G860" s="263"/>
      <c r="H860" s="263"/>
      <c r="I860" s="263"/>
      <c r="J860" s="242"/>
      <c r="K860" s="242"/>
      <c r="L860" s="242"/>
    </row>
    <row r="861" spans="1:12">
      <c r="A861" s="298"/>
      <c r="B861" s="227"/>
      <c r="C861" s="263"/>
      <c r="D861" s="263"/>
      <c r="E861" s="263"/>
      <c r="F861" s="263"/>
      <c r="G861" s="263"/>
      <c r="H861" s="263"/>
      <c r="I861" s="263"/>
      <c r="J861" s="242"/>
      <c r="K861" s="242"/>
      <c r="L861" s="242"/>
    </row>
    <row r="862" spans="1:12">
      <c r="A862" s="298"/>
      <c r="B862" s="227"/>
      <c r="C862" s="263"/>
      <c r="D862" s="263"/>
      <c r="E862" s="263"/>
      <c r="F862" s="263"/>
      <c r="G862" s="263"/>
      <c r="H862" s="263"/>
      <c r="I862" s="263"/>
      <c r="J862" s="242"/>
      <c r="K862" s="242"/>
      <c r="L862" s="242"/>
    </row>
    <row r="863" spans="1:12">
      <c r="A863" s="298"/>
      <c r="B863" s="227"/>
      <c r="C863" s="263"/>
      <c r="D863" s="263"/>
      <c r="E863" s="263"/>
      <c r="F863" s="263"/>
      <c r="G863" s="263"/>
      <c r="H863" s="263"/>
      <c r="I863" s="263"/>
      <c r="J863" s="242"/>
      <c r="K863" s="242"/>
      <c r="L863" s="242"/>
    </row>
    <row r="864" spans="1:12">
      <c r="A864" s="298"/>
      <c r="B864" s="227"/>
      <c r="C864" s="263"/>
      <c r="D864" s="263"/>
      <c r="E864" s="263"/>
      <c r="F864" s="263"/>
      <c r="G864" s="263"/>
      <c r="H864" s="263"/>
      <c r="I864" s="263"/>
      <c r="J864" s="242"/>
      <c r="K864" s="242"/>
      <c r="L864" s="242"/>
    </row>
    <row r="865" spans="1:12">
      <c r="A865" s="298"/>
      <c r="B865" s="227"/>
      <c r="C865" s="263"/>
      <c r="D865" s="263"/>
      <c r="E865" s="263"/>
      <c r="F865" s="263"/>
      <c r="G865" s="263"/>
      <c r="H865" s="263"/>
      <c r="I865" s="263"/>
      <c r="J865" s="242"/>
      <c r="K865" s="242"/>
      <c r="L865" s="242"/>
    </row>
    <row r="866" spans="1:12">
      <c r="A866" s="298"/>
      <c r="B866" s="227"/>
      <c r="C866" s="263"/>
      <c r="D866" s="263"/>
      <c r="E866" s="263"/>
      <c r="F866" s="263"/>
      <c r="G866" s="263"/>
      <c r="H866" s="263"/>
      <c r="I866" s="263"/>
      <c r="J866" s="242"/>
      <c r="K866" s="242"/>
      <c r="L866" s="242"/>
    </row>
    <row r="867" spans="1:12">
      <c r="A867" s="298"/>
      <c r="B867" s="227"/>
      <c r="C867" s="263"/>
      <c r="D867" s="263"/>
      <c r="E867" s="263"/>
      <c r="F867" s="263"/>
      <c r="G867" s="263"/>
      <c r="H867" s="263"/>
      <c r="I867" s="263"/>
      <c r="J867" s="242"/>
      <c r="K867" s="242"/>
      <c r="L867" s="242"/>
    </row>
    <row r="868" spans="1:12">
      <c r="A868" s="298"/>
      <c r="B868" s="227"/>
      <c r="C868" s="263"/>
      <c r="D868" s="263"/>
      <c r="E868" s="263"/>
      <c r="F868" s="263"/>
      <c r="G868" s="263"/>
      <c r="H868" s="263"/>
      <c r="I868" s="263"/>
      <c r="J868" s="242"/>
      <c r="K868" s="242"/>
      <c r="L868" s="242"/>
    </row>
    <row r="869" spans="1:12">
      <c r="A869" s="298"/>
      <c r="B869" s="227"/>
      <c r="C869" s="263"/>
      <c r="D869" s="263"/>
      <c r="E869" s="263"/>
      <c r="F869" s="263"/>
      <c r="G869" s="263"/>
      <c r="H869" s="263"/>
      <c r="I869" s="263"/>
      <c r="J869" s="242"/>
      <c r="K869" s="242"/>
      <c r="L869" s="242"/>
    </row>
    <row r="870" spans="1:12">
      <c r="A870" s="298"/>
      <c r="B870" s="227"/>
      <c r="C870" s="263"/>
      <c r="D870" s="263"/>
      <c r="E870" s="263"/>
      <c r="F870" s="263"/>
      <c r="G870" s="263"/>
      <c r="H870" s="263"/>
      <c r="I870" s="263"/>
      <c r="J870" s="242"/>
      <c r="K870" s="242"/>
      <c r="L870" s="242"/>
    </row>
    <row r="871" spans="1:12">
      <c r="A871" s="298"/>
      <c r="B871" s="227"/>
      <c r="C871" s="263"/>
      <c r="D871" s="263"/>
      <c r="E871" s="263"/>
      <c r="F871" s="263"/>
      <c r="G871" s="263"/>
      <c r="H871" s="263"/>
      <c r="I871" s="263"/>
      <c r="J871" s="242"/>
      <c r="K871" s="242"/>
      <c r="L871" s="242"/>
    </row>
    <row r="872" spans="1:12">
      <c r="A872" s="298"/>
      <c r="B872" s="227"/>
      <c r="C872" s="263"/>
      <c r="D872" s="263"/>
      <c r="E872" s="263"/>
      <c r="F872" s="263"/>
      <c r="G872" s="263"/>
      <c r="H872" s="263"/>
      <c r="I872" s="263"/>
      <c r="J872" s="242"/>
      <c r="K872" s="242"/>
      <c r="L872" s="242"/>
    </row>
    <row r="873" spans="1:12">
      <c r="A873" s="298"/>
      <c r="B873" s="227"/>
      <c r="C873" s="263"/>
      <c r="D873" s="263"/>
      <c r="E873" s="263"/>
      <c r="F873" s="263"/>
      <c r="G873" s="263"/>
      <c r="H873" s="263"/>
      <c r="I873" s="263"/>
      <c r="J873" s="242"/>
      <c r="K873" s="242"/>
      <c r="L873" s="242"/>
    </row>
    <row r="874" spans="1:12">
      <c r="A874" s="298"/>
      <c r="B874" s="227"/>
      <c r="C874" s="263"/>
      <c r="D874" s="263"/>
      <c r="E874" s="263"/>
      <c r="F874" s="263"/>
      <c r="G874" s="263"/>
      <c r="H874" s="263"/>
      <c r="I874" s="263"/>
      <c r="J874" s="242"/>
      <c r="K874" s="242"/>
      <c r="L874" s="242"/>
    </row>
    <row r="875" spans="1:12">
      <c r="A875" s="298"/>
      <c r="B875" s="227"/>
      <c r="C875" s="263"/>
      <c r="D875" s="263"/>
      <c r="E875" s="263"/>
      <c r="F875" s="263"/>
      <c r="G875" s="263"/>
      <c r="H875" s="263"/>
      <c r="I875" s="263"/>
      <c r="J875" s="242"/>
      <c r="K875" s="242"/>
      <c r="L875" s="242"/>
    </row>
    <row r="876" spans="1:12">
      <c r="A876" s="298"/>
      <c r="B876" s="227"/>
      <c r="C876" s="263"/>
      <c r="D876" s="263"/>
      <c r="E876" s="263"/>
      <c r="F876" s="263"/>
      <c r="G876" s="263"/>
      <c r="H876" s="263"/>
      <c r="I876" s="263"/>
      <c r="J876" s="242"/>
      <c r="K876" s="242"/>
      <c r="L876" s="242"/>
    </row>
    <row r="877" spans="1:12">
      <c r="A877" s="298"/>
      <c r="B877" s="227"/>
      <c r="C877" s="263"/>
      <c r="D877" s="263"/>
      <c r="E877" s="263"/>
      <c r="F877" s="263"/>
      <c r="G877" s="263"/>
      <c r="H877" s="263"/>
      <c r="I877" s="263"/>
      <c r="J877" s="242"/>
      <c r="K877" s="242"/>
      <c r="L877" s="242"/>
    </row>
    <row r="878" spans="1:12">
      <c r="A878" s="298"/>
      <c r="B878" s="227"/>
      <c r="C878" s="263"/>
      <c r="D878" s="263"/>
      <c r="E878" s="263"/>
      <c r="F878" s="263"/>
      <c r="G878" s="263"/>
      <c r="H878" s="263"/>
      <c r="I878" s="263"/>
      <c r="J878" s="242"/>
      <c r="K878" s="242"/>
      <c r="L878" s="242"/>
    </row>
    <row r="879" spans="1:12">
      <c r="A879" s="298"/>
      <c r="B879" s="227"/>
      <c r="C879" s="263"/>
      <c r="D879" s="263"/>
      <c r="E879" s="263"/>
      <c r="F879" s="263"/>
      <c r="G879" s="263"/>
      <c r="H879" s="263"/>
      <c r="I879" s="263"/>
      <c r="J879" s="242"/>
      <c r="K879" s="242"/>
      <c r="L879" s="242"/>
    </row>
    <row r="880" spans="1:12">
      <c r="A880" s="298"/>
      <c r="B880" s="227"/>
      <c r="C880" s="263"/>
      <c r="D880" s="263"/>
      <c r="E880" s="263"/>
      <c r="F880" s="263"/>
      <c r="G880" s="263"/>
      <c r="H880" s="263"/>
      <c r="I880" s="263"/>
      <c r="J880" s="242"/>
      <c r="K880" s="242"/>
      <c r="L880" s="242"/>
    </row>
    <row r="881" spans="1:12">
      <c r="A881" s="298"/>
      <c r="B881" s="227"/>
      <c r="C881" s="263"/>
      <c r="D881" s="263"/>
      <c r="E881" s="263"/>
      <c r="F881" s="263"/>
      <c r="G881" s="263"/>
      <c r="H881" s="263"/>
      <c r="I881" s="263"/>
      <c r="J881" s="242"/>
      <c r="K881" s="242"/>
      <c r="L881" s="242"/>
    </row>
    <row r="882" spans="1:12">
      <c r="A882" s="298"/>
      <c r="B882" s="227"/>
      <c r="C882" s="263"/>
      <c r="D882" s="263"/>
      <c r="E882" s="263"/>
      <c r="F882" s="263"/>
      <c r="G882" s="263"/>
      <c r="H882" s="263"/>
      <c r="I882" s="263"/>
      <c r="J882" s="242"/>
      <c r="K882" s="242"/>
      <c r="L882" s="242"/>
    </row>
    <row r="883" spans="1:12">
      <c r="A883" s="298"/>
      <c r="B883" s="227"/>
      <c r="C883" s="263"/>
      <c r="D883" s="263"/>
      <c r="E883" s="263"/>
      <c r="F883" s="263"/>
      <c r="G883" s="263"/>
      <c r="H883" s="263"/>
      <c r="I883" s="263"/>
      <c r="J883" s="242"/>
      <c r="K883" s="242"/>
      <c r="L883" s="242"/>
    </row>
    <row r="884" spans="1:12">
      <c r="A884" s="298"/>
      <c r="B884" s="227"/>
      <c r="C884" s="263"/>
      <c r="D884" s="263"/>
      <c r="E884" s="263"/>
      <c r="F884" s="263"/>
      <c r="G884" s="263"/>
      <c r="H884" s="263"/>
      <c r="I884" s="263"/>
      <c r="J884" s="242"/>
      <c r="K884" s="242"/>
      <c r="L884" s="242"/>
    </row>
    <row r="885" spans="1:12">
      <c r="A885" s="298"/>
      <c r="B885" s="227"/>
      <c r="C885" s="263"/>
      <c r="D885" s="263"/>
      <c r="E885" s="263"/>
      <c r="F885" s="263"/>
      <c r="G885" s="263"/>
      <c r="H885" s="263"/>
      <c r="I885" s="263"/>
      <c r="J885" s="242"/>
      <c r="K885" s="242"/>
      <c r="L885" s="242"/>
    </row>
    <row r="886" spans="1:12">
      <c r="A886" s="298"/>
      <c r="B886" s="227"/>
      <c r="C886" s="263"/>
      <c r="D886" s="263"/>
      <c r="E886" s="263"/>
      <c r="F886" s="263"/>
      <c r="G886" s="263"/>
      <c r="H886" s="263"/>
      <c r="I886" s="263"/>
      <c r="J886" s="242"/>
      <c r="K886" s="242"/>
      <c r="L886" s="242"/>
    </row>
    <row r="887" spans="1:12">
      <c r="A887" s="298"/>
      <c r="B887" s="227"/>
      <c r="C887" s="263"/>
      <c r="D887" s="263"/>
      <c r="E887" s="263"/>
      <c r="F887" s="263"/>
      <c r="G887" s="263"/>
      <c r="H887" s="263"/>
      <c r="I887" s="263"/>
      <c r="J887" s="242"/>
      <c r="K887" s="242"/>
      <c r="L887" s="242"/>
    </row>
    <row r="888" spans="1:12">
      <c r="A888" s="298"/>
      <c r="B888" s="227"/>
      <c r="C888" s="263"/>
      <c r="D888" s="263"/>
      <c r="E888" s="263"/>
      <c r="F888" s="263"/>
      <c r="G888" s="263"/>
      <c r="H888" s="263"/>
      <c r="I888" s="263"/>
      <c r="J888" s="242"/>
      <c r="K888" s="242"/>
      <c r="L888" s="242"/>
    </row>
    <row r="889" spans="1:12">
      <c r="A889" s="298"/>
      <c r="B889" s="227"/>
      <c r="C889" s="263"/>
      <c r="D889" s="263"/>
      <c r="E889" s="263"/>
      <c r="F889" s="263"/>
      <c r="G889" s="263"/>
      <c r="H889" s="263"/>
      <c r="I889" s="263"/>
      <c r="J889" s="242"/>
      <c r="K889" s="242"/>
      <c r="L889" s="242"/>
    </row>
    <row r="890" spans="1:12">
      <c r="A890" s="298"/>
      <c r="B890" s="227"/>
      <c r="C890" s="263"/>
      <c r="D890" s="263"/>
      <c r="E890" s="263"/>
      <c r="F890" s="263"/>
      <c r="G890" s="263"/>
      <c r="H890" s="263"/>
      <c r="I890" s="263"/>
      <c r="J890" s="242"/>
      <c r="K890" s="242"/>
      <c r="L890" s="242"/>
    </row>
    <row r="891" spans="1:12">
      <c r="A891" s="298"/>
      <c r="B891" s="227"/>
      <c r="C891" s="263"/>
      <c r="D891" s="263"/>
      <c r="E891" s="263"/>
      <c r="F891" s="263"/>
      <c r="G891" s="263"/>
      <c r="H891" s="263"/>
      <c r="I891" s="263"/>
      <c r="J891" s="242"/>
      <c r="K891" s="242"/>
      <c r="L891" s="242"/>
    </row>
    <row r="892" spans="1:12">
      <c r="A892" s="298"/>
      <c r="B892" s="227"/>
      <c r="C892" s="263"/>
      <c r="D892" s="263"/>
      <c r="E892" s="263"/>
      <c r="F892" s="263"/>
      <c r="G892" s="263"/>
      <c r="H892" s="263"/>
      <c r="I892" s="263"/>
      <c r="J892" s="242"/>
      <c r="K892" s="242"/>
      <c r="L892" s="242"/>
    </row>
    <row r="893" spans="1:12">
      <c r="A893" s="298"/>
      <c r="B893" s="227"/>
      <c r="C893" s="263"/>
      <c r="D893" s="263"/>
      <c r="E893" s="263"/>
      <c r="F893" s="263"/>
      <c r="G893" s="263"/>
      <c r="H893" s="263"/>
      <c r="I893" s="263"/>
      <c r="J893" s="242"/>
      <c r="K893" s="242"/>
      <c r="L893" s="242"/>
    </row>
    <row r="894" spans="1:12">
      <c r="A894" s="298"/>
      <c r="B894" s="227"/>
      <c r="C894" s="263"/>
      <c r="D894" s="263"/>
      <c r="E894" s="263"/>
      <c r="F894" s="263"/>
      <c r="G894" s="263"/>
      <c r="H894" s="263"/>
      <c r="I894" s="263"/>
      <c r="J894" s="242"/>
      <c r="K894" s="242"/>
      <c r="L894" s="242"/>
    </row>
    <row r="895" spans="1:12">
      <c r="A895" s="298"/>
      <c r="B895" s="227"/>
      <c r="C895" s="263"/>
      <c r="D895" s="263"/>
      <c r="E895" s="263"/>
      <c r="F895" s="263"/>
      <c r="G895" s="263"/>
      <c r="H895" s="263"/>
      <c r="I895" s="263"/>
      <c r="J895" s="242"/>
      <c r="K895" s="242"/>
      <c r="L895" s="242"/>
    </row>
    <row r="896" spans="1:12">
      <c r="A896" s="298"/>
      <c r="B896" s="227"/>
      <c r="C896" s="263"/>
      <c r="D896" s="263"/>
      <c r="E896" s="263"/>
      <c r="F896" s="263"/>
      <c r="G896" s="263"/>
      <c r="H896" s="263"/>
      <c r="I896" s="263"/>
      <c r="J896" s="242"/>
      <c r="K896" s="242"/>
      <c r="L896" s="242"/>
    </row>
    <row r="897" spans="1:12">
      <c r="A897" s="298"/>
      <c r="B897" s="227"/>
      <c r="C897" s="263"/>
      <c r="D897" s="263"/>
      <c r="E897" s="263"/>
      <c r="F897" s="263"/>
      <c r="G897" s="263"/>
      <c r="H897" s="263"/>
      <c r="I897" s="263"/>
      <c r="J897" s="242"/>
      <c r="K897" s="242"/>
      <c r="L897" s="242"/>
    </row>
    <row r="898" spans="1:12">
      <c r="A898" s="298"/>
      <c r="B898" s="227"/>
      <c r="C898" s="263"/>
      <c r="D898" s="263"/>
      <c r="E898" s="263"/>
      <c r="F898" s="263"/>
      <c r="G898" s="263"/>
      <c r="H898" s="263"/>
      <c r="I898" s="263"/>
      <c r="J898" s="242"/>
      <c r="K898" s="242"/>
      <c r="L898" s="242"/>
    </row>
    <row r="899" spans="1:12">
      <c r="A899" s="298"/>
      <c r="B899" s="227"/>
      <c r="C899" s="263"/>
      <c r="D899" s="263"/>
      <c r="E899" s="263"/>
      <c r="F899" s="263"/>
      <c r="G899" s="263"/>
      <c r="H899" s="263"/>
      <c r="I899" s="263"/>
      <c r="J899" s="242"/>
      <c r="K899" s="242"/>
      <c r="L899" s="242"/>
    </row>
    <row r="900" spans="1:12">
      <c r="A900" s="298"/>
      <c r="B900" s="227"/>
      <c r="C900" s="263"/>
      <c r="D900" s="263"/>
      <c r="E900" s="263"/>
      <c r="F900" s="263"/>
      <c r="G900" s="263"/>
      <c r="H900" s="263"/>
      <c r="I900" s="263"/>
      <c r="J900" s="242"/>
      <c r="K900" s="242"/>
      <c r="L900" s="242"/>
    </row>
    <row r="901" spans="1:12">
      <c r="A901" s="298"/>
      <c r="B901" s="227"/>
      <c r="C901" s="263"/>
      <c r="D901" s="263"/>
      <c r="E901" s="263"/>
      <c r="F901" s="263"/>
      <c r="G901" s="263"/>
      <c r="H901" s="263"/>
      <c r="I901" s="263"/>
      <c r="J901" s="242"/>
      <c r="K901" s="242"/>
      <c r="L901" s="242"/>
    </row>
    <row r="902" spans="1:12">
      <c r="A902" s="298"/>
      <c r="B902" s="227"/>
      <c r="C902" s="263"/>
      <c r="D902" s="263"/>
      <c r="E902" s="263"/>
      <c r="F902" s="263"/>
      <c r="G902" s="263"/>
      <c r="H902" s="263"/>
      <c r="I902" s="263"/>
      <c r="J902" s="242"/>
      <c r="K902" s="242"/>
      <c r="L902" s="242"/>
    </row>
    <row r="903" spans="1:12">
      <c r="A903" s="298"/>
      <c r="B903" s="227"/>
      <c r="C903" s="263"/>
      <c r="D903" s="263"/>
      <c r="E903" s="263"/>
      <c r="F903" s="263"/>
      <c r="G903" s="263"/>
      <c r="H903" s="263"/>
      <c r="I903" s="263"/>
      <c r="J903" s="242"/>
      <c r="K903" s="242"/>
      <c r="L903" s="242"/>
    </row>
    <row r="904" spans="1:12">
      <c r="A904" s="298"/>
      <c r="B904" s="227"/>
      <c r="C904" s="263"/>
      <c r="D904" s="263"/>
      <c r="E904" s="263"/>
      <c r="F904" s="263"/>
      <c r="G904" s="263"/>
      <c r="H904" s="263"/>
      <c r="I904" s="263"/>
      <c r="J904" s="242"/>
      <c r="K904" s="242"/>
      <c r="L904" s="242"/>
    </row>
    <row r="905" spans="1:12">
      <c r="A905" s="298"/>
      <c r="B905" s="227"/>
      <c r="C905" s="263"/>
      <c r="D905" s="263"/>
      <c r="E905" s="263"/>
      <c r="F905" s="263"/>
      <c r="G905" s="263"/>
      <c r="H905" s="263"/>
      <c r="I905" s="263"/>
      <c r="J905" s="242"/>
      <c r="K905" s="242"/>
      <c r="L905" s="242"/>
    </row>
    <row r="906" spans="1:12">
      <c r="A906" s="298"/>
      <c r="B906" s="227"/>
      <c r="C906" s="263"/>
      <c r="D906" s="263"/>
      <c r="E906" s="263"/>
      <c r="F906" s="263"/>
      <c r="G906" s="263"/>
      <c r="H906" s="263"/>
      <c r="I906" s="263"/>
      <c r="J906" s="242"/>
      <c r="K906" s="242"/>
      <c r="L906" s="242"/>
    </row>
    <row r="907" spans="1:12">
      <c r="A907" s="298"/>
      <c r="B907" s="227"/>
      <c r="C907" s="263"/>
      <c r="D907" s="263"/>
      <c r="E907" s="263"/>
      <c r="F907" s="263"/>
      <c r="G907" s="263"/>
      <c r="H907" s="263"/>
      <c r="I907" s="263"/>
      <c r="J907" s="242"/>
      <c r="K907" s="242"/>
      <c r="L907" s="242"/>
    </row>
    <row r="908" spans="1:12">
      <c r="A908" s="298"/>
      <c r="B908" s="227"/>
      <c r="C908" s="263"/>
      <c r="D908" s="263"/>
      <c r="E908" s="263"/>
      <c r="F908" s="263"/>
      <c r="G908" s="263"/>
      <c r="H908" s="263"/>
      <c r="I908" s="263"/>
      <c r="J908" s="242"/>
      <c r="K908" s="242"/>
      <c r="L908" s="242"/>
    </row>
    <row r="909" spans="1:12">
      <c r="A909" s="298"/>
      <c r="B909" s="227"/>
      <c r="C909" s="263"/>
      <c r="D909" s="263"/>
      <c r="E909" s="263"/>
      <c r="F909" s="263"/>
      <c r="G909" s="263"/>
      <c r="H909" s="263"/>
      <c r="I909" s="263"/>
      <c r="J909" s="242"/>
      <c r="K909" s="242"/>
      <c r="L909" s="242"/>
    </row>
    <row r="910" spans="1:12">
      <c r="A910" s="298"/>
      <c r="B910" s="227"/>
      <c r="C910" s="263"/>
      <c r="D910" s="263"/>
      <c r="E910" s="263"/>
      <c r="F910" s="263"/>
      <c r="G910" s="263"/>
      <c r="H910" s="263"/>
      <c r="I910" s="263"/>
      <c r="J910" s="242"/>
      <c r="K910" s="242"/>
      <c r="L910" s="242"/>
    </row>
    <row r="911" spans="1:12">
      <c r="A911" s="298"/>
      <c r="B911" s="227"/>
      <c r="C911" s="263"/>
      <c r="D911" s="263"/>
      <c r="E911" s="263"/>
      <c r="F911" s="263"/>
      <c r="G911" s="263"/>
      <c r="H911" s="263"/>
      <c r="I911" s="263"/>
      <c r="J911" s="242"/>
      <c r="K911" s="242"/>
      <c r="L911" s="242"/>
    </row>
    <row r="912" spans="1:12">
      <c r="A912" s="298"/>
      <c r="B912" s="227"/>
      <c r="C912" s="263"/>
      <c r="D912" s="263"/>
      <c r="E912" s="263"/>
      <c r="F912" s="263"/>
      <c r="G912" s="263"/>
      <c r="H912" s="263"/>
      <c r="I912" s="263"/>
      <c r="J912" s="242"/>
      <c r="K912" s="242"/>
      <c r="L912" s="242"/>
    </row>
    <row r="913" spans="1:12">
      <c r="A913" s="298"/>
      <c r="B913" s="227"/>
      <c r="C913" s="263"/>
      <c r="D913" s="263"/>
      <c r="E913" s="263"/>
      <c r="F913" s="263"/>
      <c r="G913" s="263"/>
      <c r="H913" s="263"/>
      <c r="I913" s="263"/>
      <c r="J913" s="242"/>
      <c r="K913" s="242"/>
      <c r="L913" s="242"/>
    </row>
    <row r="914" spans="1:12">
      <c r="A914" s="298"/>
      <c r="B914" s="227"/>
      <c r="C914" s="263"/>
      <c r="D914" s="263"/>
      <c r="E914" s="263"/>
      <c r="F914" s="263"/>
      <c r="G914" s="263"/>
      <c r="H914" s="263"/>
      <c r="I914" s="263"/>
      <c r="J914" s="242"/>
      <c r="K914" s="242"/>
      <c r="L914" s="242"/>
    </row>
    <row r="915" spans="1:12">
      <c r="A915" s="298"/>
      <c r="B915" s="227"/>
      <c r="C915" s="263"/>
      <c r="D915" s="263"/>
      <c r="E915" s="263"/>
      <c r="F915" s="263"/>
      <c r="G915" s="263"/>
      <c r="H915" s="263"/>
      <c r="I915" s="263"/>
      <c r="J915" s="242"/>
      <c r="K915" s="242"/>
      <c r="L915" s="242"/>
    </row>
    <row r="916" spans="1:12">
      <c r="A916" s="298"/>
      <c r="B916" s="227"/>
      <c r="C916" s="263"/>
      <c r="D916" s="263"/>
      <c r="E916" s="263"/>
      <c r="F916" s="263"/>
      <c r="G916" s="263"/>
      <c r="H916" s="263"/>
      <c r="I916" s="263"/>
      <c r="J916" s="242"/>
      <c r="K916" s="242"/>
      <c r="L916" s="242"/>
    </row>
    <row r="917" spans="1:12">
      <c r="A917" s="298"/>
      <c r="B917" s="227"/>
      <c r="C917" s="263"/>
      <c r="D917" s="263"/>
      <c r="E917" s="263"/>
      <c r="F917" s="263"/>
      <c r="G917" s="263"/>
      <c r="H917" s="263"/>
      <c r="I917" s="263"/>
      <c r="J917" s="242"/>
      <c r="K917" s="242"/>
      <c r="L917" s="242"/>
    </row>
    <row r="918" spans="1:12">
      <c r="A918" s="298"/>
      <c r="B918" s="227"/>
      <c r="C918" s="263"/>
      <c r="D918" s="263"/>
      <c r="E918" s="263"/>
      <c r="F918" s="263"/>
      <c r="G918" s="263"/>
      <c r="H918" s="263"/>
      <c r="I918" s="263"/>
      <c r="J918" s="242"/>
      <c r="K918" s="242"/>
      <c r="L918" s="242"/>
    </row>
    <row r="919" spans="1:12">
      <c r="A919" s="298"/>
      <c r="B919" s="227"/>
      <c r="C919" s="263"/>
      <c r="D919" s="263"/>
      <c r="E919" s="263"/>
      <c r="F919" s="263"/>
      <c r="G919" s="263"/>
      <c r="H919" s="263"/>
      <c r="I919" s="263"/>
      <c r="J919" s="242"/>
      <c r="K919" s="242"/>
      <c r="L919" s="242"/>
    </row>
    <row r="920" spans="1:12">
      <c r="A920" s="298"/>
      <c r="B920" s="227"/>
      <c r="C920" s="263"/>
      <c r="D920" s="263"/>
      <c r="E920" s="263"/>
      <c r="F920" s="263"/>
      <c r="G920" s="263"/>
      <c r="H920" s="263"/>
      <c r="I920" s="263"/>
      <c r="J920" s="242"/>
      <c r="K920" s="242"/>
      <c r="L920" s="242"/>
    </row>
    <row r="921" spans="1:12">
      <c r="A921" s="298"/>
      <c r="B921" s="227"/>
      <c r="C921" s="263"/>
      <c r="D921" s="263"/>
      <c r="E921" s="263"/>
      <c r="F921" s="263"/>
      <c r="G921" s="263"/>
      <c r="H921" s="263"/>
      <c r="I921" s="263"/>
      <c r="J921" s="242"/>
      <c r="K921" s="242"/>
      <c r="L921" s="242"/>
    </row>
    <row r="922" spans="1:12">
      <c r="A922" s="298"/>
      <c r="B922" s="227"/>
      <c r="C922" s="263"/>
      <c r="D922" s="263"/>
      <c r="E922" s="263"/>
      <c r="F922" s="263"/>
      <c r="G922" s="263"/>
      <c r="H922" s="263"/>
      <c r="I922" s="263"/>
      <c r="J922" s="242"/>
      <c r="K922" s="242"/>
      <c r="L922" s="242"/>
    </row>
    <row r="923" spans="1:12">
      <c r="A923" s="298"/>
      <c r="B923" s="227"/>
      <c r="C923" s="263"/>
      <c r="D923" s="263"/>
      <c r="E923" s="263"/>
      <c r="F923" s="263"/>
      <c r="G923" s="263"/>
      <c r="H923" s="263"/>
      <c r="I923" s="263"/>
      <c r="J923" s="242"/>
      <c r="K923" s="242"/>
      <c r="L923" s="242"/>
    </row>
    <row r="924" spans="1:12">
      <c r="A924" s="298"/>
      <c r="B924" s="227"/>
      <c r="C924" s="263"/>
      <c r="D924" s="263"/>
      <c r="E924" s="263"/>
      <c r="F924" s="263"/>
      <c r="G924" s="263"/>
      <c r="H924" s="263"/>
      <c r="I924" s="263"/>
      <c r="J924" s="242"/>
      <c r="K924" s="242"/>
      <c r="L924" s="242"/>
    </row>
    <row r="925" spans="1:12">
      <c r="A925" s="298"/>
      <c r="B925" s="227"/>
      <c r="C925" s="263"/>
      <c r="D925" s="263"/>
      <c r="E925" s="263"/>
      <c r="F925" s="263"/>
      <c r="G925" s="263"/>
      <c r="H925" s="263"/>
      <c r="I925" s="263"/>
      <c r="J925" s="242"/>
      <c r="K925" s="242"/>
      <c r="L925" s="242"/>
    </row>
    <row r="926" spans="1:12">
      <c r="A926" s="298"/>
      <c r="B926" s="227"/>
      <c r="C926" s="263"/>
      <c r="D926" s="263"/>
      <c r="E926" s="263"/>
      <c r="F926" s="263"/>
      <c r="G926" s="263"/>
      <c r="H926" s="263"/>
      <c r="I926" s="263"/>
      <c r="J926" s="242"/>
      <c r="K926" s="242"/>
      <c r="L926" s="242"/>
    </row>
    <row r="927" spans="1:12">
      <c r="A927" s="298"/>
      <c r="B927" s="227"/>
      <c r="C927" s="263"/>
      <c r="D927" s="263"/>
      <c r="E927" s="263"/>
      <c r="F927" s="263"/>
      <c r="G927" s="263"/>
      <c r="H927" s="263"/>
      <c r="I927" s="263"/>
      <c r="J927" s="242"/>
      <c r="K927" s="242"/>
      <c r="L927" s="242"/>
    </row>
    <row r="928" spans="1:12">
      <c r="A928" s="298"/>
      <c r="B928" s="227"/>
      <c r="C928" s="263"/>
      <c r="D928" s="263"/>
      <c r="E928" s="263"/>
      <c r="F928" s="263"/>
      <c r="G928" s="263"/>
      <c r="H928" s="263"/>
      <c r="I928" s="263"/>
      <c r="J928" s="242"/>
      <c r="K928" s="242"/>
      <c r="L928" s="242"/>
    </row>
    <row r="929" spans="1:12">
      <c r="A929" s="298"/>
      <c r="B929" s="227"/>
      <c r="C929" s="263"/>
      <c r="D929" s="263"/>
      <c r="E929" s="263"/>
      <c r="F929" s="263"/>
      <c r="G929" s="263"/>
      <c r="H929" s="263"/>
      <c r="I929" s="263"/>
      <c r="J929" s="242"/>
      <c r="K929" s="242"/>
      <c r="L929" s="242"/>
    </row>
    <row r="930" spans="1:12">
      <c r="A930" s="298"/>
      <c r="B930" s="227"/>
      <c r="C930" s="263"/>
      <c r="D930" s="263"/>
      <c r="E930" s="263"/>
      <c r="F930" s="263"/>
      <c r="G930" s="263"/>
      <c r="H930" s="263"/>
      <c r="I930" s="263"/>
      <c r="J930" s="242"/>
      <c r="K930" s="242"/>
      <c r="L930" s="242"/>
    </row>
    <row r="931" spans="1:12">
      <c r="A931" s="298"/>
      <c r="B931" s="227"/>
      <c r="C931" s="263"/>
      <c r="D931" s="263"/>
      <c r="E931" s="263"/>
      <c r="F931" s="263"/>
      <c r="G931" s="263"/>
      <c r="H931" s="263"/>
      <c r="I931" s="263"/>
      <c r="J931" s="242"/>
      <c r="K931" s="242"/>
      <c r="L931" s="242"/>
    </row>
    <row r="932" spans="1:12">
      <c r="A932" s="298"/>
      <c r="B932" s="227"/>
      <c r="C932" s="263"/>
      <c r="D932" s="263"/>
      <c r="E932" s="263"/>
      <c r="F932" s="263"/>
      <c r="G932" s="263"/>
      <c r="H932" s="263"/>
      <c r="I932" s="263"/>
      <c r="J932" s="242"/>
      <c r="K932" s="242"/>
      <c r="L932" s="242"/>
    </row>
    <row r="933" spans="1:12">
      <c r="A933" s="298"/>
      <c r="B933" s="227"/>
      <c r="C933" s="263"/>
      <c r="D933" s="263"/>
      <c r="E933" s="263"/>
      <c r="F933" s="263"/>
      <c r="G933" s="263"/>
      <c r="H933" s="263"/>
      <c r="I933" s="263"/>
      <c r="J933" s="242"/>
      <c r="K933" s="242"/>
      <c r="L933" s="242"/>
    </row>
    <row r="934" spans="1:12">
      <c r="A934" s="298"/>
      <c r="B934" s="227"/>
      <c r="C934" s="263"/>
      <c r="D934" s="263"/>
      <c r="E934" s="263"/>
      <c r="F934" s="263"/>
      <c r="G934" s="263"/>
      <c r="H934" s="263"/>
      <c r="I934" s="263"/>
      <c r="J934" s="242"/>
      <c r="K934" s="242"/>
      <c r="L934" s="242"/>
    </row>
    <row r="935" spans="1:12">
      <c r="A935" s="298"/>
      <c r="B935" s="227"/>
      <c r="C935" s="263"/>
      <c r="D935" s="263"/>
      <c r="E935" s="263"/>
      <c r="F935" s="263"/>
      <c r="G935" s="263"/>
      <c r="H935" s="263"/>
      <c r="I935" s="263"/>
      <c r="J935" s="242"/>
      <c r="K935" s="242"/>
      <c r="L935" s="242"/>
    </row>
    <row r="936" spans="1:12">
      <c r="A936" s="298"/>
      <c r="B936" s="227"/>
      <c r="C936" s="263"/>
      <c r="D936" s="263"/>
      <c r="E936" s="263"/>
      <c r="F936" s="263"/>
      <c r="G936" s="263"/>
      <c r="H936" s="263"/>
      <c r="I936" s="263"/>
      <c r="J936" s="242"/>
      <c r="K936" s="242"/>
      <c r="L936" s="242"/>
    </row>
    <row r="937" spans="1:12">
      <c r="A937" s="298"/>
      <c r="B937" s="227"/>
      <c r="C937" s="263"/>
      <c r="D937" s="263"/>
      <c r="E937" s="263"/>
      <c r="F937" s="263"/>
      <c r="G937" s="263"/>
      <c r="H937" s="263"/>
      <c r="I937" s="263"/>
      <c r="J937" s="242"/>
      <c r="K937" s="242"/>
      <c r="L937" s="242"/>
    </row>
    <row r="938" spans="1:12">
      <c r="A938" s="298"/>
      <c r="B938" s="227"/>
      <c r="C938" s="263"/>
      <c r="D938" s="263"/>
      <c r="E938" s="263"/>
      <c r="F938" s="263"/>
      <c r="G938" s="263"/>
      <c r="H938" s="263"/>
      <c r="I938" s="263"/>
      <c r="J938" s="242"/>
      <c r="K938" s="242"/>
      <c r="L938" s="242"/>
    </row>
    <row r="939" spans="1:12">
      <c r="A939" s="298"/>
      <c r="B939" s="227"/>
      <c r="C939" s="263"/>
      <c r="D939" s="263"/>
      <c r="E939" s="263"/>
      <c r="F939" s="263"/>
      <c r="G939" s="263"/>
      <c r="H939" s="263"/>
      <c r="I939" s="263"/>
      <c r="J939" s="242"/>
      <c r="K939" s="242"/>
      <c r="L939" s="242"/>
    </row>
    <row r="940" spans="1:12">
      <c r="A940" s="298"/>
      <c r="B940" s="227"/>
      <c r="C940" s="263"/>
      <c r="D940" s="263"/>
      <c r="E940" s="263"/>
      <c r="F940" s="263"/>
      <c r="G940" s="263"/>
      <c r="H940" s="263"/>
      <c r="I940" s="263"/>
      <c r="J940" s="242"/>
      <c r="K940" s="242"/>
      <c r="L940" s="242"/>
    </row>
    <row r="941" spans="1:12">
      <c r="A941" s="298"/>
      <c r="B941" s="227"/>
      <c r="C941" s="263"/>
      <c r="D941" s="263"/>
      <c r="E941" s="263"/>
      <c r="F941" s="263"/>
      <c r="G941" s="263"/>
      <c r="H941" s="263"/>
      <c r="I941" s="263"/>
      <c r="J941" s="242"/>
      <c r="K941" s="242"/>
      <c r="L941" s="242"/>
    </row>
    <row r="942" spans="1:12">
      <c r="A942" s="298"/>
      <c r="B942" s="227"/>
      <c r="C942" s="263"/>
      <c r="D942" s="263"/>
      <c r="E942" s="263"/>
      <c r="F942" s="263"/>
      <c r="G942" s="263"/>
      <c r="H942" s="263"/>
      <c r="I942" s="263"/>
      <c r="J942" s="242"/>
      <c r="K942" s="242"/>
      <c r="L942" s="242"/>
    </row>
    <row r="943" spans="1:12">
      <c r="A943" s="298"/>
      <c r="B943" s="227"/>
      <c r="C943" s="263"/>
      <c r="D943" s="263"/>
      <c r="E943" s="263"/>
      <c r="F943" s="263"/>
      <c r="G943" s="263"/>
      <c r="H943" s="263"/>
      <c r="I943" s="263"/>
      <c r="J943" s="242"/>
      <c r="K943" s="242"/>
      <c r="L943" s="242"/>
    </row>
    <row r="944" spans="1:12">
      <c r="A944" s="298"/>
      <c r="B944" s="227"/>
      <c r="C944" s="263"/>
      <c r="D944" s="263"/>
      <c r="E944" s="263"/>
      <c r="F944" s="263"/>
      <c r="G944" s="263"/>
      <c r="H944" s="263"/>
      <c r="I944" s="263"/>
      <c r="J944" s="242"/>
      <c r="K944" s="242"/>
      <c r="L944" s="242"/>
    </row>
    <row r="945" spans="1:12">
      <c r="A945" s="298"/>
      <c r="B945" s="227"/>
      <c r="C945" s="263"/>
      <c r="D945" s="263"/>
      <c r="E945" s="263"/>
      <c r="F945" s="263"/>
      <c r="G945" s="263"/>
      <c r="H945" s="263"/>
      <c r="I945" s="263"/>
      <c r="J945" s="242"/>
      <c r="K945" s="242"/>
      <c r="L945" s="242"/>
    </row>
    <row r="946" spans="1:12">
      <c r="A946" s="298"/>
      <c r="B946" s="227"/>
      <c r="C946" s="263"/>
      <c r="D946" s="263"/>
      <c r="E946" s="263"/>
      <c r="F946" s="263"/>
      <c r="G946" s="263"/>
      <c r="H946" s="263"/>
      <c r="I946" s="263"/>
      <c r="J946" s="242"/>
      <c r="K946" s="242"/>
      <c r="L946" s="242"/>
    </row>
    <row r="947" spans="1:12">
      <c r="A947" s="298"/>
      <c r="B947" s="227"/>
      <c r="C947" s="263"/>
      <c r="D947" s="263"/>
      <c r="E947" s="263"/>
      <c r="F947" s="263"/>
      <c r="G947" s="263"/>
      <c r="H947" s="263"/>
      <c r="I947" s="263"/>
      <c r="J947" s="242"/>
      <c r="K947" s="242"/>
      <c r="L947" s="242"/>
    </row>
    <row r="948" spans="1:12">
      <c r="A948" s="298"/>
      <c r="B948" s="227"/>
      <c r="C948" s="263"/>
      <c r="D948" s="263"/>
      <c r="E948" s="263"/>
      <c r="F948" s="263"/>
      <c r="G948" s="263"/>
      <c r="H948" s="263"/>
      <c r="I948" s="263"/>
      <c r="J948" s="242"/>
      <c r="K948" s="242"/>
      <c r="L948" s="242"/>
    </row>
    <row r="949" spans="1:12">
      <c r="A949" s="298"/>
      <c r="B949" s="227"/>
      <c r="C949" s="263"/>
      <c r="D949" s="263"/>
      <c r="E949" s="263"/>
      <c r="F949" s="263"/>
      <c r="G949" s="263"/>
      <c r="H949" s="263"/>
      <c r="I949" s="263"/>
      <c r="J949" s="242"/>
      <c r="K949" s="242"/>
      <c r="L949" s="242"/>
    </row>
    <row r="950" spans="1:12">
      <c r="A950" s="298"/>
      <c r="B950" s="227"/>
      <c r="C950" s="263"/>
      <c r="D950" s="263"/>
      <c r="E950" s="263"/>
      <c r="F950" s="263"/>
      <c r="G950" s="263"/>
      <c r="H950" s="263"/>
      <c r="I950" s="263"/>
      <c r="J950" s="242"/>
      <c r="K950" s="242"/>
      <c r="L950" s="242"/>
    </row>
    <row r="951" spans="1:12">
      <c r="A951" s="298"/>
      <c r="B951" s="227"/>
      <c r="C951" s="263"/>
      <c r="D951" s="263"/>
      <c r="E951" s="263"/>
      <c r="F951" s="263"/>
      <c r="G951" s="263"/>
      <c r="H951" s="263"/>
      <c r="I951" s="263"/>
      <c r="J951" s="242"/>
      <c r="K951" s="242"/>
      <c r="L951" s="242"/>
    </row>
    <row r="952" spans="1:12">
      <c r="A952" s="298"/>
      <c r="B952" s="227"/>
      <c r="C952" s="263"/>
      <c r="D952" s="263"/>
      <c r="E952" s="263"/>
      <c r="F952" s="263"/>
      <c r="G952" s="263"/>
      <c r="H952" s="263"/>
      <c r="I952" s="263"/>
      <c r="J952" s="242"/>
      <c r="K952" s="242"/>
      <c r="L952" s="242"/>
    </row>
    <row r="953" spans="1:12">
      <c r="A953" s="298"/>
      <c r="B953" s="227"/>
      <c r="C953" s="263"/>
      <c r="D953" s="263"/>
      <c r="E953" s="263"/>
      <c r="F953" s="263"/>
      <c r="G953" s="263"/>
      <c r="H953" s="263"/>
      <c r="I953" s="263"/>
      <c r="J953" s="242"/>
      <c r="K953" s="242"/>
      <c r="L953" s="242"/>
    </row>
    <row r="954" spans="1:12">
      <c r="A954" s="298"/>
      <c r="B954" s="227"/>
      <c r="C954" s="263"/>
      <c r="D954" s="263"/>
      <c r="E954" s="263"/>
      <c r="F954" s="263"/>
      <c r="G954" s="263"/>
      <c r="H954" s="263"/>
      <c r="I954" s="263"/>
      <c r="J954" s="242"/>
      <c r="K954" s="242"/>
      <c r="L954" s="242"/>
    </row>
    <row r="955" spans="1:12">
      <c r="A955" s="298"/>
      <c r="B955" s="227"/>
      <c r="C955" s="263"/>
      <c r="D955" s="263"/>
      <c r="E955" s="263"/>
      <c r="F955" s="263"/>
      <c r="G955" s="263"/>
      <c r="H955" s="263"/>
      <c r="I955" s="263"/>
      <c r="J955" s="242"/>
      <c r="K955" s="242"/>
      <c r="L955" s="242"/>
    </row>
    <row r="956" spans="1:12">
      <c r="A956" s="298"/>
      <c r="B956" s="227"/>
      <c r="C956" s="263"/>
      <c r="D956" s="263"/>
      <c r="E956" s="263"/>
      <c r="F956" s="263"/>
      <c r="G956" s="263"/>
      <c r="H956" s="263"/>
      <c r="I956" s="263"/>
      <c r="J956" s="242"/>
      <c r="K956" s="242"/>
      <c r="L956" s="242"/>
    </row>
    <row r="957" spans="1:12">
      <c r="A957" s="298"/>
      <c r="B957" s="227"/>
      <c r="C957" s="263"/>
      <c r="D957" s="263"/>
      <c r="E957" s="263"/>
      <c r="F957" s="263"/>
      <c r="G957" s="263"/>
      <c r="H957" s="263"/>
      <c r="I957" s="263"/>
      <c r="J957" s="242"/>
      <c r="K957" s="242"/>
      <c r="L957" s="242"/>
    </row>
    <row r="958" spans="1:12">
      <c r="A958" s="298"/>
      <c r="B958" s="227"/>
      <c r="C958" s="263"/>
      <c r="D958" s="263"/>
      <c r="E958" s="263"/>
      <c r="F958" s="263"/>
      <c r="G958" s="263"/>
      <c r="H958" s="263"/>
      <c r="I958" s="263"/>
      <c r="J958" s="242"/>
      <c r="K958" s="242"/>
      <c r="L958" s="242"/>
    </row>
    <row r="959" spans="1:12">
      <c r="A959" s="298"/>
      <c r="B959" s="227"/>
      <c r="C959" s="263"/>
      <c r="D959" s="263"/>
      <c r="E959" s="263"/>
      <c r="F959" s="263"/>
      <c r="G959" s="263"/>
      <c r="H959" s="263"/>
      <c r="I959" s="263"/>
      <c r="J959" s="242"/>
      <c r="K959" s="242"/>
      <c r="L959" s="242"/>
    </row>
    <row r="960" spans="1:12">
      <c r="A960" s="298"/>
      <c r="B960" s="227"/>
      <c r="C960" s="263"/>
      <c r="D960" s="263"/>
      <c r="E960" s="263"/>
      <c r="F960" s="263"/>
      <c r="G960" s="263"/>
      <c r="H960" s="263"/>
      <c r="I960" s="263"/>
      <c r="J960" s="242"/>
      <c r="K960" s="242"/>
      <c r="L960" s="242"/>
    </row>
    <row r="961" spans="1:12">
      <c r="A961" s="298"/>
      <c r="B961" s="227"/>
      <c r="C961" s="263"/>
      <c r="D961" s="263"/>
      <c r="E961" s="263"/>
      <c r="F961" s="263"/>
      <c r="G961" s="263"/>
      <c r="H961" s="263"/>
      <c r="I961" s="263"/>
      <c r="J961" s="242"/>
      <c r="K961" s="242"/>
      <c r="L961" s="242"/>
    </row>
    <row r="962" spans="1:12">
      <c r="A962" s="298"/>
      <c r="B962" s="227"/>
      <c r="C962" s="263"/>
      <c r="D962" s="263"/>
      <c r="E962" s="263"/>
      <c r="F962" s="263"/>
      <c r="G962" s="263"/>
      <c r="H962" s="263"/>
      <c r="I962" s="263"/>
      <c r="J962" s="242"/>
      <c r="K962" s="242"/>
      <c r="L962" s="242"/>
    </row>
    <row r="963" spans="1:12">
      <c r="A963" s="298"/>
      <c r="B963" s="227"/>
      <c r="C963" s="263"/>
      <c r="D963" s="263"/>
      <c r="E963" s="263"/>
      <c r="F963" s="263"/>
      <c r="G963" s="263"/>
      <c r="H963" s="263"/>
      <c r="I963" s="263"/>
      <c r="J963" s="242"/>
      <c r="K963" s="242"/>
      <c r="L963" s="242"/>
    </row>
    <row r="964" spans="1:12">
      <c r="A964" s="298"/>
      <c r="B964" s="227"/>
      <c r="C964" s="263"/>
      <c r="D964" s="263"/>
      <c r="E964" s="263"/>
      <c r="F964" s="263"/>
      <c r="G964" s="263"/>
      <c r="H964" s="263"/>
      <c r="I964" s="263"/>
      <c r="J964" s="242"/>
      <c r="K964" s="242"/>
      <c r="L964" s="242"/>
    </row>
    <row r="965" spans="1:12">
      <c r="A965" s="298"/>
      <c r="B965" s="227"/>
      <c r="C965" s="263"/>
      <c r="D965" s="263"/>
      <c r="E965" s="263"/>
      <c r="F965" s="263"/>
      <c r="G965" s="263"/>
      <c r="H965" s="263"/>
      <c r="I965" s="263"/>
      <c r="J965" s="242"/>
      <c r="K965" s="242"/>
      <c r="L965" s="242"/>
    </row>
    <row r="966" spans="1:12">
      <c r="A966" s="298"/>
      <c r="B966" s="227"/>
      <c r="C966" s="263"/>
      <c r="D966" s="263"/>
      <c r="E966" s="263"/>
      <c r="F966" s="263"/>
      <c r="G966" s="263"/>
      <c r="H966" s="263"/>
      <c r="I966" s="263"/>
      <c r="J966" s="242"/>
      <c r="K966" s="242"/>
      <c r="L966" s="242"/>
    </row>
    <row r="967" spans="1:12">
      <c r="A967" s="298"/>
      <c r="B967" s="227"/>
      <c r="C967" s="263"/>
      <c r="D967" s="263"/>
      <c r="E967" s="263"/>
      <c r="F967" s="263"/>
      <c r="G967" s="263"/>
      <c r="H967" s="263"/>
      <c r="I967" s="263"/>
      <c r="J967" s="242"/>
      <c r="K967" s="242"/>
      <c r="L967" s="242"/>
    </row>
    <row r="968" spans="1:12">
      <c r="A968" s="298"/>
      <c r="B968" s="227"/>
      <c r="C968" s="263"/>
      <c r="D968" s="263"/>
      <c r="E968" s="263"/>
      <c r="F968" s="263"/>
      <c r="G968" s="263"/>
      <c r="H968" s="263"/>
      <c r="I968" s="263"/>
      <c r="J968" s="242"/>
      <c r="K968" s="242"/>
      <c r="L968" s="242"/>
    </row>
    <row r="969" spans="1:12">
      <c r="A969" s="298"/>
      <c r="B969" s="227"/>
      <c r="C969" s="263"/>
      <c r="D969" s="263"/>
      <c r="E969" s="263"/>
      <c r="F969" s="263"/>
      <c r="G969" s="263"/>
      <c r="H969" s="263"/>
      <c r="I969" s="263"/>
      <c r="J969" s="242"/>
      <c r="K969" s="242"/>
      <c r="L969" s="242"/>
    </row>
    <row r="970" spans="1:12">
      <c r="A970" s="298"/>
      <c r="B970" s="227"/>
      <c r="C970" s="263"/>
      <c r="D970" s="263"/>
      <c r="E970" s="263"/>
      <c r="F970" s="263"/>
      <c r="G970" s="263"/>
      <c r="H970" s="263"/>
      <c r="I970" s="263"/>
      <c r="J970" s="242"/>
      <c r="K970" s="242"/>
      <c r="L970" s="242"/>
    </row>
    <row r="971" spans="1:12">
      <c r="A971" s="298"/>
      <c r="B971" s="227"/>
      <c r="C971" s="263"/>
      <c r="D971" s="263"/>
      <c r="E971" s="263"/>
      <c r="F971" s="263"/>
      <c r="G971" s="263"/>
      <c r="H971" s="263"/>
      <c r="I971" s="263"/>
      <c r="J971" s="242"/>
      <c r="K971" s="242"/>
      <c r="L971" s="242"/>
    </row>
    <row r="972" spans="1:12">
      <c r="A972" s="298"/>
      <c r="B972" s="227"/>
      <c r="C972" s="263"/>
      <c r="D972" s="263"/>
      <c r="E972" s="263"/>
      <c r="F972" s="263"/>
      <c r="G972" s="263"/>
      <c r="H972" s="263"/>
      <c r="I972" s="263"/>
      <c r="J972" s="242"/>
      <c r="K972" s="242"/>
      <c r="L972" s="242"/>
    </row>
    <row r="973" spans="1:12">
      <c r="A973" s="298"/>
      <c r="B973" s="227"/>
      <c r="C973" s="263"/>
      <c r="D973" s="263"/>
      <c r="E973" s="263"/>
      <c r="F973" s="263"/>
      <c r="G973" s="263"/>
      <c r="H973" s="263"/>
      <c r="I973" s="263"/>
      <c r="J973" s="242"/>
      <c r="K973" s="242"/>
      <c r="L973" s="242"/>
    </row>
    <row r="974" spans="1:12">
      <c r="A974" s="298"/>
      <c r="B974" s="227"/>
      <c r="C974" s="263"/>
      <c r="D974" s="263"/>
      <c r="E974" s="263"/>
      <c r="F974" s="263"/>
      <c r="G974" s="263"/>
      <c r="H974" s="263"/>
      <c r="I974" s="263"/>
      <c r="J974" s="242"/>
      <c r="K974" s="242"/>
      <c r="L974" s="242"/>
    </row>
    <row r="975" spans="1:12">
      <c r="A975" s="298"/>
      <c r="B975" s="227"/>
      <c r="C975" s="263"/>
      <c r="D975" s="263"/>
      <c r="E975" s="263"/>
      <c r="F975" s="263"/>
      <c r="G975" s="263"/>
      <c r="H975" s="263"/>
      <c r="I975" s="263"/>
      <c r="J975" s="242"/>
      <c r="K975" s="242"/>
      <c r="L975" s="242"/>
    </row>
    <row r="976" spans="1:12">
      <c r="A976" s="298"/>
      <c r="B976" s="227"/>
      <c r="C976" s="263"/>
      <c r="D976" s="263"/>
      <c r="E976" s="263"/>
      <c r="F976" s="263"/>
      <c r="G976" s="263"/>
      <c r="H976" s="263"/>
      <c r="I976" s="263"/>
      <c r="J976" s="242"/>
      <c r="K976" s="242"/>
      <c r="L976" s="242"/>
    </row>
    <row r="977" spans="1:12">
      <c r="A977" s="298"/>
      <c r="B977" s="227"/>
      <c r="C977" s="263"/>
      <c r="D977" s="263"/>
      <c r="E977" s="263"/>
      <c r="F977" s="263"/>
      <c r="G977" s="263"/>
      <c r="H977" s="263"/>
      <c r="I977" s="263"/>
      <c r="J977" s="242"/>
      <c r="K977" s="242"/>
      <c r="L977" s="242"/>
    </row>
    <row r="978" spans="1:12">
      <c r="A978" s="298"/>
      <c r="B978" s="227"/>
      <c r="C978" s="263"/>
      <c r="D978" s="263"/>
      <c r="E978" s="263"/>
      <c r="F978" s="263"/>
      <c r="G978" s="263"/>
      <c r="H978" s="263"/>
      <c r="I978" s="263"/>
      <c r="J978" s="242"/>
      <c r="K978" s="242"/>
      <c r="L978" s="242"/>
    </row>
    <row r="979" spans="1:12">
      <c r="A979" s="298"/>
      <c r="B979" s="227"/>
      <c r="C979" s="263"/>
      <c r="D979" s="263"/>
      <c r="E979" s="263"/>
      <c r="F979" s="263"/>
      <c r="G979" s="263"/>
      <c r="H979" s="263"/>
      <c r="I979" s="263"/>
      <c r="J979" s="242"/>
      <c r="K979" s="242"/>
      <c r="L979" s="242"/>
    </row>
    <row r="980" spans="1:12">
      <c r="A980" s="298"/>
      <c r="B980" s="227"/>
      <c r="C980" s="263"/>
      <c r="D980" s="263"/>
      <c r="E980" s="263"/>
      <c r="F980" s="263"/>
      <c r="G980" s="263"/>
      <c r="H980" s="263"/>
      <c r="I980" s="263"/>
      <c r="J980" s="242"/>
      <c r="K980" s="242"/>
      <c r="L980" s="242"/>
    </row>
    <row r="981" spans="1:12">
      <c r="A981" s="298"/>
      <c r="B981" s="227"/>
      <c r="C981" s="263"/>
      <c r="D981" s="263"/>
      <c r="E981" s="263"/>
      <c r="F981" s="263"/>
      <c r="G981" s="263"/>
      <c r="H981" s="263"/>
      <c r="I981" s="263"/>
      <c r="J981" s="242"/>
      <c r="K981" s="242"/>
      <c r="L981" s="242"/>
    </row>
    <row r="982" spans="1:12">
      <c r="A982" s="298"/>
      <c r="B982" s="227"/>
      <c r="C982" s="263"/>
      <c r="D982" s="263"/>
      <c r="E982" s="263"/>
      <c r="F982" s="263"/>
      <c r="G982" s="263"/>
      <c r="H982" s="263"/>
      <c r="I982" s="263"/>
      <c r="J982" s="242"/>
      <c r="K982" s="242"/>
      <c r="L982" s="242"/>
    </row>
    <row r="983" spans="1:12">
      <c r="A983" s="298"/>
      <c r="B983" s="227"/>
      <c r="C983" s="263"/>
      <c r="D983" s="263"/>
      <c r="E983" s="263"/>
      <c r="F983" s="263"/>
      <c r="G983" s="263"/>
      <c r="H983" s="263"/>
      <c r="I983" s="263"/>
      <c r="J983" s="242"/>
      <c r="K983" s="242"/>
      <c r="L983" s="242"/>
    </row>
    <row r="984" spans="1:12">
      <c r="A984" s="298"/>
      <c r="B984" s="227"/>
      <c r="C984" s="263"/>
      <c r="D984" s="263"/>
      <c r="E984" s="263"/>
      <c r="F984" s="263"/>
      <c r="G984" s="263"/>
      <c r="H984" s="263"/>
      <c r="I984" s="263"/>
      <c r="J984" s="242"/>
      <c r="K984" s="242"/>
      <c r="L984" s="242"/>
    </row>
    <row r="985" spans="1:12">
      <c r="A985" s="298"/>
      <c r="B985" s="227"/>
      <c r="C985" s="263"/>
      <c r="D985" s="263"/>
      <c r="E985" s="263"/>
      <c r="F985" s="263"/>
      <c r="G985" s="263"/>
      <c r="H985" s="263"/>
      <c r="I985" s="263"/>
      <c r="J985" s="242"/>
      <c r="K985" s="242"/>
      <c r="L985" s="242"/>
    </row>
    <row r="986" spans="1:12">
      <c r="A986" s="298"/>
      <c r="B986" s="227"/>
      <c r="C986" s="263"/>
      <c r="D986" s="263"/>
      <c r="E986" s="263"/>
      <c r="F986" s="263"/>
      <c r="G986" s="263"/>
      <c r="H986" s="263"/>
      <c r="I986" s="263"/>
      <c r="J986" s="242"/>
      <c r="K986" s="242"/>
      <c r="L986" s="242"/>
    </row>
    <row r="987" spans="1:12">
      <c r="A987" s="298"/>
      <c r="B987" s="227"/>
      <c r="C987" s="263"/>
      <c r="D987" s="263"/>
      <c r="E987" s="263"/>
      <c r="F987" s="263"/>
      <c r="G987" s="263"/>
      <c r="H987" s="263"/>
      <c r="I987" s="263"/>
      <c r="J987" s="242"/>
      <c r="K987" s="242"/>
      <c r="L987" s="242"/>
    </row>
    <row r="988" spans="1:12">
      <c r="A988" s="298"/>
      <c r="B988" s="227"/>
      <c r="C988" s="263"/>
      <c r="D988" s="263"/>
      <c r="E988" s="263"/>
      <c r="F988" s="263"/>
      <c r="G988" s="263"/>
      <c r="H988" s="263"/>
      <c r="I988" s="263"/>
      <c r="J988" s="242"/>
      <c r="K988" s="242"/>
      <c r="L988" s="242"/>
    </row>
    <row r="989" spans="1:12">
      <c r="A989" s="298"/>
      <c r="B989" s="227"/>
      <c r="C989" s="263"/>
      <c r="D989" s="263"/>
      <c r="E989" s="263"/>
      <c r="F989" s="263"/>
      <c r="G989" s="263"/>
      <c r="H989" s="263"/>
      <c r="I989" s="263"/>
      <c r="J989" s="242"/>
      <c r="K989" s="242"/>
      <c r="L989" s="242"/>
    </row>
    <row r="990" spans="1:12">
      <c r="A990" s="298"/>
      <c r="B990" s="227"/>
      <c r="C990" s="263"/>
      <c r="D990" s="263"/>
      <c r="E990" s="263"/>
      <c r="F990" s="263"/>
      <c r="G990" s="263"/>
      <c r="H990" s="263"/>
      <c r="I990" s="263"/>
      <c r="J990" s="242"/>
      <c r="K990" s="242"/>
      <c r="L990" s="242"/>
    </row>
    <row r="991" spans="1:12">
      <c r="A991" s="298"/>
      <c r="B991" s="227"/>
      <c r="C991" s="263"/>
      <c r="D991" s="263"/>
      <c r="E991" s="263"/>
      <c r="F991" s="263"/>
      <c r="G991" s="263"/>
      <c r="H991" s="263"/>
      <c r="I991" s="263"/>
      <c r="J991" s="242"/>
      <c r="K991" s="242"/>
      <c r="L991" s="242"/>
    </row>
    <row r="992" spans="1:12">
      <c r="A992" s="298"/>
      <c r="B992" s="227"/>
      <c r="C992" s="263"/>
      <c r="D992" s="263"/>
      <c r="E992" s="263"/>
      <c r="F992" s="263"/>
      <c r="G992" s="263"/>
      <c r="H992" s="263"/>
      <c r="I992" s="263"/>
      <c r="J992" s="242"/>
      <c r="K992" s="242"/>
      <c r="L992" s="242"/>
    </row>
    <row r="993" spans="1:12">
      <c r="A993" s="298"/>
      <c r="B993" s="227"/>
      <c r="C993" s="263"/>
      <c r="D993" s="263"/>
      <c r="E993" s="263"/>
      <c r="F993" s="263"/>
      <c r="G993" s="263"/>
      <c r="H993" s="263"/>
      <c r="I993" s="263"/>
      <c r="J993" s="242"/>
      <c r="K993" s="242"/>
      <c r="L993" s="242"/>
    </row>
    <row r="994" spans="1:12">
      <c r="A994" s="298"/>
      <c r="B994" s="227"/>
      <c r="C994" s="263"/>
      <c r="D994" s="263"/>
      <c r="E994" s="263"/>
      <c r="F994" s="263"/>
      <c r="G994" s="263"/>
      <c r="H994" s="263"/>
      <c r="I994" s="263"/>
      <c r="J994" s="242"/>
      <c r="K994" s="242"/>
      <c r="L994" s="242"/>
    </row>
    <row r="995" spans="1:12">
      <c r="A995" s="298"/>
      <c r="B995" s="227"/>
      <c r="C995" s="263"/>
      <c r="D995" s="263"/>
      <c r="E995" s="263"/>
      <c r="F995" s="263"/>
      <c r="G995" s="263"/>
      <c r="H995" s="263"/>
      <c r="I995" s="263"/>
      <c r="J995" s="242"/>
      <c r="K995" s="242"/>
      <c r="L995" s="242"/>
    </row>
    <row r="996" spans="1:12">
      <c r="A996" s="298"/>
      <c r="B996" s="227"/>
      <c r="C996" s="263"/>
      <c r="D996" s="263"/>
      <c r="E996" s="263"/>
      <c r="F996" s="263"/>
      <c r="G996" s="263"/>
      <c r="H996" s="263"/>
      <c r="I996" s="263"/>
      <c r="J996" s="242"/>
      <c r="K996" s="242"/>
      <c r="L996" s="242"/>
    </row>
    <row r="997" spans="1:12">
      <c r="A997" s="298"/>
      <c r="B997" s="227"/>
      <c r="C997" s="263"/>
      <c r="D997" s="263"/>
      <c r="E997" s="263"/>
      <c r="F997" s="263"/>
      <c r="G997" s="263"/>
      <c r="H997" s="263"/>
      <c r="I997" s="263"/>
      <c r="J997" s="242"/>
      <c r="K997" s="242"/>
      <c r="L997" s="242"/>
    </row>
    <row r="998" spans="1:12">
      <c r="A998" s="298"/>
      <c r="B998" s="227"/>
      <c r="C998" s="263"/>
      <c r="D998" s="263"/>
      <c r="E998" s="263"/>
      <c r="F998" s="263"/>
      <c r="G998" s="263"/>
      <c r="H998" s="263"/>
      <c r="I998" s="263"/>
      <c r="J998" s="242"/>
      <c r="K998" s="242"/>
      <c r="L998" s="242"/>
    </row>
    <row r="999" spans="1:12">
      <c r="A999" s="298"/>
      <c r="B999" s="227"/>
      <c r="C999" s="263"/>
      <c r="D999" s="263"/>
      <c r="E999" s="263"/>
      <c r="F999" s="263"/>
      <c r="G999" s="263"/>
      <c r="H999" s="263"/>
      <c r="I999" s="263"/>
      <c r="J999" s="242"/>
      <c r="K999" s="242"/>
      <c r="L999" s="242"/>
    </row>
  </sheetData>
  <sheetProtection password="CA9F" sheet="1"/>
  <mergeCells count="7">
    <mergeCell ref="A29:C29"/>
    <mergeCell ref="F1:I2"/>
    <mergeCell ref="A3:I3"/>
    <mergeCell ref="H5:I5"/>
    <mergeCell ref="A28:C28"/>
    <mergeCell ref="A5:E5"/>
    <mergeCell ref="A9:A26"/>
  </mergeCells>
  <dataValidations count="1">
    <dataValidation type="decimal" allowBlank="1" showInputMessage="1" showErrorMessage="1" sqref="E9:I28 J28">
      <formula1>0</formula1>
      <formula2>1E+29</formula2>
    </dataValidation>
  </dataValidations>
  <pageMargins left="0.7" right="0.7" top="0.46" bottom="0.34" header="0.3" footer="0.3"/>
  <pageSetup scale="7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C1002"/>
  <sheetViews>
    <sheetView zoomScale="85" zoomScaleNormal="85" workbookViewId="0">
      <selection activeCell="N48" sqref="N48"/>
    </sheetView>
  </sheetViews>
  <sheetFormatPr defaultColWidth="15.1796875" defaultRowHeight="14"/>
  <cols>
    <col min="1" max="1" width="3.453125" style="615" customWidth="1"/>
    <col min="2" max="2" width="20.7265625" style="615" customWidth="1"/>
    <col min="3" max="3" width="8" style="615" customWidth="1"/>
    <col min="4" max="4" width="18" style="615" customWidth="1"/>
    <col min="5" max="7" width="17.26953125" style="615" customWidth="1"/>
    <col min="8" max="11" width="15.453125" style="615" customWidth="1"/>
    <col min="12" max="12" width="19.54296875" style="615" customWidth="1"/>
    <col min="13" max="15" width="8.7265625" style="615" customWidth="1"/>
    <col min="16" max="16" width="9.7265625" style="615" customWidth="1"/>
    <col min="17" max="17" width="6.453125" style="615" customWidth="1"/>
    <col min="18" max="19" width="8.7265625" style="615" customWidth="1"/>
    <col min="20" max="21" width="8" style="615" customWidth="1"/>
    <col min="22" max="29" width="7.453125" style="615" customWidth="1"/>
    <col min="30" max="16384" width="15.1796875" style="615"/>
  </cols>
  <sheetData>
    <row r="1" spans="1:29" ht="12.75" customHeight="1">
      <c r="A1" s="319"/>
      <c r="B1" s="614"/>
      <c r="C1" s="319"/>
      <c r="D1" s="614"/>
      <c r="E1" s="614"/>
      <c r="F1" s="614"/>
      <c r="G1" s="614"/>
      <c r="H1" s="614"/>
      <c r="I1" s="614"/>
      <c r="J1" s="614"/>
      <c r="K1" s="614"/>
      <c r="L1" s="1183" t="s">
        <v>1007</v>
      </c>
      <c r="M1" s="1183"/>
      <c r="N1" s="1183"/>
      <c r="O1" s="1183"/>
      <c r="P1" s="1183"/>
      <c r="Q1" s="1183"/>
      <c r="R1" s="1183"/>
      <c r="S1" s="1183"/>
      <c r="T1" s="614"/>
      <c r="U1" s="614"/>
      <c r="V1" s="614"/>
      <c r="W1" s="614"/>
      <c r="X1" s="614"/>
      <c r="Y1" s="614"/>
      <c r="Z1" s="614"/>
      <c r="AA1" s="614"/>
      <c r="AB1" s="614"/>
      <c r="AC1" s="614"/>
    </row>
    <row r="2" spans="1:29" ht="12.75" customHeight="1">
      <c r="A2" s="319"/>
      <c r="B2" s="614"/>
      <c r="C2" s="319"/>
      <c r="D2" s="614"/>
      <c r="E2" s="614"/>
      <c r="F2" s="614"/>
      <c r="G2" s="614"/>
      <c r="H2" s="614"/>
      <c r="I2" s="614"/>
      <c r="J2" s="614"/>
      <c r="K2" s="614"/>
      <c r="L2" s="1183"/>
      <c r="M2" s="1183"/>
      <c r="N2" s="1183"/>
      <c r="O2" s="1183"/>
      <c r="P2" s="1183"/>
      <c r="Q2" s="1183"/>
      <c r="R2" s="1183"/>
      <c r="S2" s="1183"/>
      <c r="T2" s="614"/>
      <c r="U2" s="614"/>
      <c r="V2" s="614"/>
      <c r="W2" s="614"/>
      <c r="X2" s="614"/>
      <c r="Y2" s="614"/>
      <c r="Z2" s="614"/>
      <c r="AA2" s="614"/>
      <c r="AB2" s="614"/>
      <c r="AC2" s="614"/>
    </row>
    <row r="3" spans="1:29" ht="12.75" customHeight="1">
      <c r="A3" s="1186" t="s">
        <v>725</v>
      </c>
      <c r="B3" s="1187"/>
      <c r="C3" s="1187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</row>
    <row r="4" spans="1:29" ht="12.75" customHeight="1">
      <c r="A4" s="319"/>
      <c r="B4" s="614"/>
      <c r="C4" s="319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</row>
    <row r="5" spans="1:29" ht="15.75" customHeight="1">
      <c r="A5" s="1192" t="str">
        <f>+i.04108!A7</f>
        <v>Даатгагчийн нэр:</v>
      </c>
      <c r="B5" s="1190"/>
      <c r="C5" s="1190"/>
      <c r="D5" s="1190"/>
      <c r="E5" s="616"/>
      <c r="F5" s="616"/>
      <c r="G5" s="617"/>
      <c r="H5" s="1189"/>
      <c r="I5" s="1190"/>
      <c r="J5" s="1190"/>
      <c r="K5" s="1190"/>
      <c r="L5" s="614"/>
      <c r="M5" s="614"/>
      <c r="N5" s="614"/>
      <c r="O5" s="1188" t="str">
        <f>+i.04108!F7</f>
        <v>..... оны .... сарын ...-ны өдөр</v>
      </c>
      <c r="P5" s="1187"/>
      <c r="Q5" s="1187"/>
      <c r="R5" s="1187"/>
      <c r="S5" s="618"/>
      <c r="T5" s="614"/>
      <c r="U5" s="614"/>
      <c r="V5" s="614"/>
      <c r="W5" s="614"/>
      <c r="X5" s="614"/>
      <c r="Y5" s="614"/>
      <c r="Z5" s="614"/>
      <c r="AA5" s="614"/>
      <c r="AB5" s="614"/>
      <c r="AC5" s="614"/>
    </row>
    <row r="6" spans="1:29" ht="12.75" customHeight="1">
      <c r="A6" s="618"/>
      <c r="B6" s="614"/>
      <c r="C6" s="319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1191" t="s">
        <v>1</v>
      </c>
      <c r="R6" s="1187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</row>
    <row r="7" spans="1:29" s="620" customFormat="1" ht="24.75" customHeight="1">
      <c r="A7" s="1184" t="s">
        <v>2</v>
      </c>
      <c r="B7" s="1184" t="s">
        <v>726</v>
      </c>
      <c r="C7" s="1184" t="s">
        <v>4</v>
      </c>
      <c r="D7" s="1184" t="s">
        <v>727</v>
      </c>
      <c r="E7" s="1184" t="s">
        <v>728</v>
      </c>
      <c r="F7" s="1184"/>
      <c r="G7" s="1184"/>
      <c r="H7" s="1184" t="s">
        <v>355</v>
      </c>
      <c r="I7" s="1184" t="s">
        <v>388</v>
      </c>
      <c r="J7" s="1184" t="s">
        <v>314</v>
      </c>
      <c r="K7" s="1184" t="s">
        <v>396</v>
      </c>
      <c r="L7" s="1184" t="s">
        <v>433</v>
      </c>
      <c r="M7" s="1184" t="s">
        <v>729</v>
      </c>
      <c r="N7" s="1184" t="s">
        <v>720</v>
      </c>
      <c r="O7" s="1185"/>
      <c r="P7" s="1185"/>
      <c r="Q7" s="1184" t="s">
        <v>730</v>
      </c>
      <c r="R7" s="1185"/>
      <c r="S7" s="1185"/>
      <c r="T7" s="619"/>
      <c r="U7" s="619"/>
      <c r="V7" s="619"/>
      <c r="W7" s="619"/>
      <c r="X7" s="619"/>
      <c r="Z7" s="621"/>
      <c r="AA7" s="621"/>
      <c r="AB7" s="621"/>
      <c r="AC7" s="619"/>
    </row>
    <row r="8" spans="1:29" s="620" customFormat="1" ht="39" customHeight="1">
      <c r="A8" s="1184"/>
      <c r="B8" s="1184"/>
      <c r="C8" s="1184"/>
      <c r="D8" s="1184"/>
      <c r="E8" s="622" t="s">
        <v>716</v>
      </c>
      <c r="F8" s="622" t="s">
        <v>56</v>
      </c>
      <c r="G8" s="622" t="s">
        <v>731</v>
      </c>
      <c r="H8" s="1184"/>
      <c r="I8" s="1184"/>
      <c r="J8" s="1184"/>
      <c r="K8" s="1184"/>
      <c r="L8" s="1184"/>
      <c r="M8" s="1184"/>
      <c r="N8" s="622" t="s">
        <v>732</v>
      </c>
      <c r="O8" s="622" t="s">
        <v>733</v>
      </c>
      <c r="P8" s="623" t="s">
        <v>734</v>
      </c>
      <c r="Q8" s="622" t="s">
        <v>732</v>
      </c>
      <c r="R8" s="622" t="s">
        <v>733</v>
      </c>
      <c r="S8" s="622" t="s">
        <v>696</v>
      </c>
      <c r="T8" s="619"/>
      <c r="U8" s="619"/>
      <c r="V8" s="619"/>
      <c r="W8" s="619"/>
      <c r="X8" s="619"/>
      <c r="Y8" s="621"/>
      <c r="Z8" s="621"/>
      <c r="AA8" s="621"/>
      <c r="AB8" s="621"/>
      <c r="AC8" s="619"/>
    </row>
    <row r="9" spans="1:29" s="620" customFormat="1" ht="12.75" customHeight="1">
      <c r="A9" s="622" t="s">
        <v>6</v>
      </c>
      <c r="B9" s="622" t="s">
        <v>7</v>
      </c>
      <c r="C9" s="622" t="s">
        <v>8</v>
      </c>
      <c r="D9" s="622">
        <v>1</v>
      </c>
      <c r="E9" s="622">
        <f>+D9+1</f>
        <v>2</v>
      </c>
      <c r="F9" s="622">
        <f t="shared" ref="F9:S9" si="0">+E9+1</f>
        <v>3</v>
      </c>
      <c r="G9" s="622">
        <f t="shared" si="0"/>
        <v>4</v>
      </c>
      <c r="H9" s="622">
        <f t="shared" si="0"/>
        <v>5</v>
      </c>
      <c r="I9" s="622">
        <f t="shared" si="0"/>
        <v>6</v>
      </c>
      <c r="J9" s="622">
        <f t="shared" si="0"/>
        <v>7</v>
      </c>
      <c r="K9" s="622">
        <f t="shared" si="0"/>
        <v>8</v>
      </c>
      <c r="L9" s="622">
        <f t="shared" si="0"/>
        <v>9</v>
      </c>
      <c r="M9" s="622">
        <f t="shared" si="0"/>
        <v>10</v>
      </c>
      <c r="N9" s="622">
        <f t="shared" si="0"/>
        <v>11</v>
      </c>
      <c r="O9" s="622">
        <f t="shared" si="0"/>
        <v>12</v>
      </c>
      <c r="P9" s="622">
        <f t="shared" si="0"/>
        <v>13</v>
      </c>
      <c r="Q9" s="622">
        <f t="shared" si="0"/>
        <v>14</v>
      </c>
      <c r="R9" s="622">
        <f t="shared" si="0"/>
        <v>15</v>
      </c>
      <c r="S9" s="622">
        <f t="shared" si="0"/>
        <v>16</v>
      </c>
      <c r="T9" s="619"/>
      <c r="U9" s="619"/>
      <c r="V9" s="619"/>
      <c r="W9" s="619"/>
      <c r="X9" s="619"/>
      <c r="Y9" s="619"/>
      <c r="Z9" s="619"/>
      <c r="AA9" s="619"/>
      <c r="AB9" s="619"/>
      <c r="AC9" s="619"/>
    </row>
    <row r="10" spans="1:29" ht="12.75" customHeight="1">
      <c r="A10" s="624">
        <v>1</v>
      </c>
      <c r="B10" s="625" t="s">
        <v>735</v>
      </c>
      <c r="C10" s="624">
        <v>1</v>
      </c>
      <c r="D10" s="280"/>
      <c r="E10" s="280"/>
      <c r="F10" s="280"/>
      <c r="G10" s="280"/>
      <c r="H10" s="280"/>
      <c r="I10" s="280"/>
      <c r="J10" s="280"/>
      <c r="K10" s="280"/>
      <c r="L10" s="1008"/>
      <c r="M10" s="876"/>
      <c r="N10" s="877"/>
      <c r="O10" s="877"/>
      <c r="P10" s="877"/>
      <c r="Q10" s="876"/>
      <c r="R10" s="876"/>
      <c r="S10" s="876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</row>
    <row r="11" spans="1:29" ht="12.75" customHeight="1">
      <c r="A11" s="624">
        <f t="shared" ref="A11:A40" si="1">+A10+1</f>
        <v>2</v>
      </c>
      <c r="B11" s="633" t="s">
        <v>1072</v>
      </c>
      <c r="C11" s="624">
        <f t="shared" ref="C11:C40" si="2">1+C10</f>
        <v>2</v>
      </c>
      <c r="D11" s="280"/>
      <c r="E11" s="280"/>
      <c r="F11" s="280"/>
      <c r="G11" s="280"/>
      <c r="H11" s="280"/>
      <c r="I11" s="280"/>
      <c r="J11" s="280"/>
      <c r="K11" s="280"/>
      <c r="L11" s="1008"/>
      <c r="M11" s="876"/>
      <c r="N11" s="877"/>
      <c r="O11" s="877"/>
      <c r="P11" s="877"/>
      <c r="Q11" s="876"/>
      <c r="R11" s="876"/>
      <c r="S11" s="876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</row>
    <row r="12" spans="1:29" ht="12.75" customHeight="1">
      <c r="A12" s="624">
        <f t="shared" si="1"/>
        <v>3</v>
      </c>
      <c r="B12" s="633" t="s">
        <v>1073</v>
      </c>
      <c r="C12" s="624">
        <f t="shared" si="2"/>
        <v>3</v>
      </c>
      <c r="D12" s="280"/>
      <c r="E12" s="280"/>
      <c r="F12" s="280"/>
      <c r="G12" s="280"/>
      <c r="H12" s="280"/>
      <c r="I12" s="280"/>
      <c r="J12" s="280"/>
      <c r="K12" s="280"/>
      <c r="L12" s="1008"/>
      <c r="M12" s="876"/>
      <c r="N12" s="877"/>
      <c r="O12" s="877"/>
      <c r="P12" s="877"/>
      <c r="Q12" s="876"/>
      <c r="R12" s="876"/>
      <c r="S12" s="876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</row>
    <row r="13" spans="1:29" ht="12.75" customHeight="1">
      <c r="A13" s="624">
        <f t="shared" si="1"/>
        <v>4</v>
      </c>
      <c r="B13" s="633" t="s">
        <v>1074</v>
      </c>
      <c r="C13" s="624">
        <f t="shared" si="2"/>
        <v>4</v>
      </c>
      <c r="D13" s="280"/>
      <c r="E13" s="280"/>
      <c r="F13" s="280"/>
      <c r="G13" s="280"/>
      <c r="H13" s="280"/>
      <c r="I13" s="280"/>
      <c r="J13" s="280"/>
      <c r="K13" s="280"/>
      <c r="L13" s="1008"/>
      <c r="M13" s="876"/>
      <c r="N13" s="877"/>
      <c r="O13" s="877"/>
      <c r="P13" s="877"/>
      <c r="Q13" s="876"/>
      <c r="R13" s="876"/>
      <c r="S13" s="876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</row>
    <row r="14" spans="1:29" ht="12.75" customHeight="1">
      <c r="A14" s="624">
        <f t="shared" si="1"/>
        <v>5</v>
      </c>
      <c r="B14" s="633" t="s">
        <v>1075</v>
      </c>
      <c r="C14" s="624">
        <f t="shared" si="2"/>
        <v>5</v>
      </c>
      <c r="D14" s="280"/>
      <c r="E14" s="280"/>
      <c r="F14" s="280"/>
      <c r="G14" s="280"/>
      <c r="H14" s="280"/>
      <c r="I14" s="280"/>
      <c r="J14" s="280"/>
      <c r="K14" s="280"/>
      <c r="L14" s="1008"/>
      <c r="M14" s="876"/>
      <c r="N14" s="877"/>
      <c r="O14" s="877"/>
      <c r="P14" s="877"/>
      <c r="Q14" s="876"/>
      <c r="R14" s="876"/>
      <c r="S14" s="876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</row>
    <row r="15" spans="1:29" ht="12.75" customHeight="1">
      <c r="A15" s="624">
        <f t="shared" si="1"/>
        <v>6</v>
      </c>
      <c r="B15" s="633" t="s">
        <v>1076</v>
      </c>
      <c r="C15" s="624">
        <f t="shared" si="2"/>
        <v>6</v>
      </c>
      <c r="D15" s="280"/>
      <c r="E15" s="280"/>
      <c r="F15" s="280"/>
      <c r="G15" s="280"/>
      <c r="H15" s="280"/>
      <c r="I15" s="280"/>
      <c r="J15" s="280"/>
      <c r="K15" s="280"/>
      <c r="L15" s="1008"/>
      <c r="M15" s="876"/>
      <c r="N15" s="877"/>
      <c r="O15" s="877"/>
      <c r="P15" s="877"/>
      <c r="Q15" s="876"/>
      <c r="R15" s="876"/>
      <c r="S15" s="876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</row>
    <row r="16" spans="1:29" ht="12.75" customHeight="1">
      <c r="A16" s="624">
        <f t="shared" si="1"/>
        <v>7</v>
      </c>
      <c r="B16" s="633" t="s">
        <v>1077</v>
      </c>
      <c r="C16" s="624">
        <f t="shared" si="2"/>
        <v>7</v>
      </c>
      <c r="D16" s="280"/>
      <c r="E16" s="280"/>
      <c r="F16" s="280"/>
      <c r="G16" s="280"/>
      <c r="H16" s="280"/>
      <c r="I16" s="280"/>
      <c r="J16" s="280"/>
      <c r="K16" s="280"/>
      <c r="L16" s="1008"/>
      <c r="M16" s="876"/>
      <c r="N16" s="877"/>
      <c r="O16" s="877"/>
      <c r="P16" s="877"/>
      <c r="Q16" s="876"/>
      <c r="R16" s="876"/>
      <c r="S16" s="876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</row>
    <row r="17" spans="1:29" ht="12.75" customHeight="1">
      <c r="A17" s="624">
        <f t="shared" si="1"/>
        <v>8</v>
      </c>
      <c r="B17" s="633" t="s">
        <v>1078</v>
      </c>
      <c r="C17" s="624">
        <f t="shared" si="2"/>
        <v>8</v>
      </c>
      <c r="D17" s="280"/>
      <c r="E17" s="280"/>
      <c r="F17" s="280"/>
      <c r="G17" s="280"/>
      <c r="H17" s="280"/>
      <c r="I17" s="280"/>
      <c r="J17" s="280"/>
      <c r="K17" s="280"/>
      <c r="L17" s="1008"/>
      <c r="M17" s="876"/>
      <c r="N17" s="877"/>
      <c r="O17" s="877"/>
      <c r="P17" s="877"/>
      <c r="Q17" s="876"/>
      <c r="R17" s="876"/>
      <c r="S17" s="876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</row>
    <row r="18" spans="1:29" ht="12.75" customHeight="1">
      <c r="A18" s="624">
        <f t="shared" si="1"/>
        <v>9</v>
      </c>
      <c r="B18" s="633" t="s">
        <v>1079</v>
      </c>
      <c r="C18" s="624">
        <f t="shared" si="2"/>
        <v>9</v>
      </c>
      <c r="D18" s="280"/>
      <c r="E18" s="280"/>
      <c r="F18" s="280"/>
      <c r="G18" s="280"/>
      <c r="H18" s="280"/>
      <c r="I18" s="280"/>
      <c r="J18" s="280"/>
      <c r="K18" s="280"/>
      <c r="L18" s="1008"/>
      <c r="M18" s="876"/>
      <c r="N18" s="877"/>
      <c r="O18" s="877"/>
      <c r="P18" s="877"/>
      <c r="Q18" s="876"/>
      <c r="R18" s="876"/>
      <c r="S18" s="876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</row>
    <row r="19" spans="1:29" ht="12.75" customHeight="1">
      <c r="A19" s="624">
        <f t="shared" si="1"/>
        <v>10</v>
      </c>
      <c r="B19" s="633" t="s">
        <v>1080</v>
      </c>
      <c r="C19" s="624">
        <f t="shared" si="2"/>
        <v>10</v>
      </c>
      <c r="D19" s="280"/>
      <c r="E19" s="280"/>
      <c r="F19" s="280"/>
      <c r="G19" s="280"/>
      <c r="H19" s="280"/>
      <c r="I19" s="280"/>
      <c r="J19" s="280"/>
      <c r="K19" s="280"/>
      <c r="L19" s="1008"/>
      <c r="M19" s="876"/>
      <c r="N19" s="877"/>
      <c r="O19" s="877"/>
      <c r="P19" s="877"/>
      <c r="Q19" s="876"/>
      <c r="R19" s="876"/>
      <c r="S19" s="876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</row>
    <row r="20" spans="1:29" ht="12.75" customHeight="1">
      <c r="A20" s="624">
        <f t="shared" si="1"/>
        <v>11</v>
      </c>
      <c r="B20" s="633" t="s">
        <v>1081</v>
      </c>
      <c r="C20" s="624">
        <f t="shared" si="2"/>
        <v>11</v>
      </c>
      <c r="D20" s="280"/>
      <c r="E20" s="280"/>
      <c r="F20" s="280"/>
      <c r="G20" s="280"/>
      <c r="H20" s="280"/>
      <c r="I20" s="280"/>
      <c r="J20" s="280"/>
      <c r="K20" s="280"/>
      <c r="L20" s="1008"/>
      <c r="M20" s="876"/>
      <c r="N20" s="877"/>
      <c r="O20" s="877"/>
      <c r="P20" s="877"/>
      <c r="Q20" s="876"/>
      <c r="R20" s="876"/>
      <c r="S20" s="876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</row>
    <row r="21" spans="1:29" ht="12.75" customHeight="1">
      <c r="A21" s="624">
        <f t="shared" si="1"/>
        <v>12</v>
      </c>
      <c r="B21" s="633" t="s">
        <v>1082</v>
      </c>
      <c r="C21" s="624">
        <f t="shared" si="2"/>
        <v>12</v>
      </c>
      <c r="D21" s="280"/>
      <c r="E21" s="280"/>
      <c r="F21" s="280"/>
      <c r="G21" s="280"/>
      <c r="H21" s="280"/>
      <c r="I21" s="280"/>
      <c r="J21" s="280"/>
      <c r="K21" s="280"/>
      <c r="L21" s="1008"/>
      <c r="M21" s="876"/>
      <c r="N21" s="877"/>
      <c r="O21" s="877"/>
      <c r="P21" s="877"/>
      <c r="Q21" s="876"/>
      <c r="R21" s="876"/>
      <c r="S21" s="876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</row>
    <row r="22" spans="1:29" ht="12.75" customHeight="1">
      <c r="A22" s="624">
        <f t="shared" si="1"/>
        <v>13</v>
      </c>
      <c r="B22" s="633" t="s">
        <v>1083</v>
      </c>
      <c r="C22" s="624">
        <f t="shared" si="2"/>
        <v>13</v>
      </c>
      <c r="D22" s="280"/>
      <c r="E22" s="280"/>
      <c r="F22" s="280"/>
      <c r="G22" s="280"/>
      <c r="H22" s="280"/>
      <c r="I22" s="280"/>
      <c r="J22" s="280"/>
      <c r="K22" s="280"/>
      <c r="L22" s="1008"/>
      <c r="M22" s="876"/>
      <c r="N22" s="877"/>
      <c r="O22" s="877"/>
      <c r="P22" s="877"/>
      <c r="Q22" s="876"/>
      <c r="R22" s="876"/>
      <c r="S22" s="876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</row>
    <row r="23" spans="1:29" ht="12.75" customHeight="1">
      <c r="A23" s="624">
        <f t="shared" si="1"/>
        <v>14</v>
      </c>
      <c r="B23" s="633" t="s">
        <v>1084</v>
      </c>
      <c r="C23" s="624">
        <f t="shared" si="2"/>
        <v>14</v>
      </c>
      <c r="D23" s="280"/>
      <c r="E23" s="280"/>
      <c r="F23" s="280"/>
      <c r="G23" s="280"/>
      <c r="H23" s="280"/>
      <c r="I23" s="280"/>
      <c r="J23" s="280"/>
      <c r="K23" s="280"/>
      <c r="L23" s="1008"/>
      <c r="M23" s="876"/>
      <c r="N23" s="877"/>
      <c r="O23" s="877"/>
      <c r="P23" s="877"/>
      <c r="Q23" s="876"/>
      <c r="R23" s="876"/>
      <c r="S23" s="876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</row>
    <row r="24" spans="1:29" ht="12.75" customHeight="1">
      <c r="A24" s="624">
        <f t="shared" si="1"/>
        <v>15</v>
      </c>
      <c r="B24" s="633" t="s">
        <v>1085</v>
      </c>
      <c r="C24" s="624">
        <f t="shared" si="2"/>
        <v>15</v>
      </c>
      <c r="D24" s="280"/>
      <c r="E24" s="280"/>
      <c r="F24" s="280"/>
      <c r="G24" s="280"/>
      <c r="H24" s="280"/>
      <c r="I24" s="280"/>
      <c r="J24" s="280"/>
      <c r="K24" s="280"/>
      <c r="L24" s="1008"/>
      <c r="M24" s="876"/>
      <c r="N24" s="877"/>
      <c r="O24" s="877"/>
      <c r="P24" s="877"/>
      <c r="Q24" s="876"/>
      <c r="R24" s="876"/>
      <c r="S24" s="876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</row>
    <row r="25" spans="1:29" ht="12.75" customHeight="1">
      <c r="A25" s="624">
        <f t="shared" si="1"/>
        <v>16</v>
      </c>
      <c r="B25" s="633" t="s">
        <v>1086</v>
      </c>
      <c r="C25" s="624">
        <f t="shared" si="2"/>
        <v>16</v>
      </c>
      <c r="D25" s="280"/>
      <c r="E25" s="280"/>
      <c r="F25" s="280"/>
      <c r="G25" s="280"/>
      <c r="H25" s="280"/>
      <c r="I25" s="280"/>
      <c r="J25" s="280"/>
      <c r="K25" s="280"/>
      <c r="L25" s="1008"/>
      <c r="M25" s="876"/>
      <c r="N25" s="877"/>
      <c r="O25" s="877"/>
      <c r="P25" s="877"/>
      <c r="Q25" s="876"/>
      <c r="R25" s="876"/>
      <c r="S25" s="876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</row>
    <row r="26" spans="1:29" ht="12.75" customHeight="1">
      <c r="A26" s="624">
        <f t="shared" si="1"/>
        <v>17</v>
      </c>
      <c r="B26" s="633" t="s">
        <v>1087</v>
      </c>
      <c r="C26" s="624">
        <f t="shared" si="2"/>
        <v>17</v>
      </c>
      <c r="D26" s="280"/>
      <c r="E26" s="280"/>
      <c r="F26" s="280"/>
      <c r="G26" s="280"/>
      <c r="H26" s="280"/>
      <c r="I26" s="280"/>
      <c r="J26" s="280"/>
      <c r="K26" s="280"/>
      <c r="L26" s="1008"/>
      <c r="M26" s="876"/>
      <c r="N26" s="877"/>
      <c r="O26" s="877"/>
      <c r="P26" s="877"/>
      <c r="Q26" s="876"/>
      <c r="R26" s="876"/>
      <c r="S26" s="876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</row>
    <row r="27" spans="1:29" ht="12.75" customHeight="1">
      <c r="A27" s="624">
        <f t="shared" si="1"/>
        <v>18</v>
      </c>
      <c r="B27" s="633" t="s">
        <v>1088</v>
      </c>
      <c r="C27" s="624">
        <f t="shared" si="2"/>
        <v>18</v>
      </c>
      <c r="D27" s="280"/>
      <c r="E27" s="280"/>
      <c r="F27" s="280"/>
      <c r="G27" s="280"/>
      <c r="H27" s="280"/>
      <c r="I27" s="280"/>
      <c r="J27" s="280"/>
      <c r="K27" s="280"/>
      <c r="L27" s="1008"/>
      <c r="M27" s="876"/>
      <c r="N27" s="877"/>
      <c r="O27" s="877"/>
      <c r="P27" s="877"/>
      <c r="Q27" s="876"/>
      <c r="R27" s="876"/>
      <c r="S27" s="876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</row>
    <row r="28" spans="1:29" ht="12.75" customHeight="1">
      <c r="A28" s="624">
        <f t="shared" si="1"/>
        <v>19</v>
      </c>
      <c r="B28" s="633" t="s">
        <v>1089</v>
      </c>
      <c r="C28" s="624">
        <f t="shared" si="2"/>
        <v>19</v>
      </c>
      <c r="D28" s="280"/>
      <c r="E28" s="280"/>
      <c r="F28" s="280"/>
      <c r="G28" s="280"/>
      <c r="H28" s="280"/>
      <c r="I28" s="280"/>
      <c r="J28" s="280"/>
      <c r="K28" s="280"/>
      <c r="L28" s="1008"/>
      <c r="M28" s="876"/>
      <c r="N28" s="877"/>
      <c r="O28" s="877"/>
      <c r="P28" s="877"/>
      <c r="Q28" s="876"/>
      <c r="R28" s="876"/>
      <c r="S28" s="876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</row>
    <row r="29" spans="1:29" ht="12.75" customHeight="1">
      <c r="A29" s="624">
        <f t="shared" si="1"/>
        <v>20</v>
      </c>
      <c r="B29" s="633" t="s">
        <v>1090</v>
      </c>
      <c r="C29" s="624">
        <f t="shared" si="2"/>
        <v>20</v>
      </c>
      <c r="D29" s="280"/>
      <c r="E29" s="280"/>
      <c r="F29" s="280"/>
      <c r="G29" s="280"/>
      <c r="H29" s="280"/>
      <c r="I29" s="280"/>
      <c r="J29" s="280"/>
      <c r="K29" s="280"/>
      <c r="L29" s="1008"/>
      <c r="M29" s="876"/>
      <c r="N29" s="877"/>
      <c r="O29" s="877"/>
      <c r="P29" s="877"/>
      <c r="Q29" s="876"/>
      <c r="R29" s="876"/>
      <c r="S29" s="876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</row>
    <row r="30" spans="1:29" ht="12.75" customHeight="1">
      <c r="A30" s="624">
        <f t="shared" si="1"/>
        <v>21</v>
      </c>
      <c r="B30" s="633" t="s">
        <v>1091</v>
      </c>
      <c r="C30" s="624">
        <f t="shared" si="2"/>
        <v>21</v>
      </c>
      <c r="D30" s="280"/>
      <c r="E30" s="280"/>
      <c r="F30" s="280"/>
      <c r="G30" s="280"/>
      <c r="H30" s="280"/>
      <c r="I30" s="280"/>
      <c r="J30" s="280"/>
      <c r="K30" s="280"/>
      <c r="L30" s="1008"/>
      <c r="M30" s="876"/>
      <c r="N30" s="877"/>
      <c r="O30" s="877"/>
      <c r="P30" s="877"/>
      <c r="Q30" s="876"/>
      <c r="R30" s="876"/>
      <c r="S30" s="876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</row>
    <row r="31" spans="1:29" ht="12.75" customHeight="1">
      <c r="A31" s="624">
        <f t="shared" si="1"/>
        <v>22</v>
      </c>
      <c r="B31" s="633" t="s">
        <v>1092</v>
      </c>
      <c r="C31" s="624">
        <f t="shared" si="2"/>
        <v>22</v>
      </c>
      <c r="D31" s="280"/>
      <c r="E31" s="280"/>
      <c r="F31" s="280"/>
      <c r="G31" s="280"/>
      <c r="H31" s="280"/>
      <c r="I31" s="280"/>
      <c r="J31" s="280"/>
      <c r="K31" s="280"/>
      <c r="L31" s="1008"/>
      <c r="M31" s="876"/>
      <c r="N31" s="877"/>
      <c r="O31" s="877"/>
      <c r="P31" s="877"/>
      <c r="Q31" s="876"/>
      <c r="R31" s="876"/>
      <c r="S31" s="876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</row>
    <row r="32" spans="1:29" ht="12.75" customHeight="1">
      <c r="A32" s="624">
        <f t="shared" si="1"/>
        <v>23</v>
      </c>
      <c r="B32" s="633" t="s">
        <v>1093</v>
      </c>
      <c r="C32" s="624">
        <f t="shared" si="2"/>
        <v>23</v>
      </c>
      <c r="D32" s="280"/>
      <c r="E32" s="280"/>
      <c r="F32" s="280"/>
      <c r="G32" s="280"/>
      <c r="H32" s="280"/>
      <c r="I32" s="280"/>
      <c r="J32" s="280"/>
      <c r="K32" s="280"/>
      <c r="L32" s="1008"/>
      <c r="M32" s="876"/>
      <c r="N32" s="877"/>
      <c r="O32" s="877"/>
      <c r="P32" s="877"/>
      <c r="Q32" s="876"/>
      <c r="R32" s="876"/>
      <c r="S32" s="876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</row>
    <row r="33" spans="1:29" ht="12.75" customHeight="1">
      <c r="A33" s="624">
        <f t="shared" si="1"/>
        <v>24</v>
      </c>
      <c r="B33" s="633" t="s">
        <v>1094</v>
      </c>
      <c r="C33" s="624">
        <f t="shared" si="2"/>
        <v>24</v>
      </c>
      <c r="D33" s="280"/>
      <c r="E33" s="280"/>
      <c r="F33" s="280"/>
      <c r="G33" s="280"/>
      <c r="H33" s="280"/>
      <c r="I33" s="280"/>
      <c r="J33" s="280"/>
      <c r="K33" s="280"/>
      <c r="L33" s="1008"/>
      <c r="M33" s="876"/>
      <c r="N33" s="877"/>
      <c r="O33" s="877"/>
      <c r="P33" s="877"/>
      <c r="Q33" s="876"/>
      <c r="R33" s="876"/>
      <c r="S33" s="876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</row>
    <row r="34" spans="1:29" ht="12.75" customHeight="1">
      <c r="A34" s="624">
        <f t="shared" si="1"/>
        <v>25</v>
      </c>
      <c r="B34" s="633" t="s">
        <v>1095</v>
      </c>
      <c r="C34" s="624">
        <f t="shared" si="2"/>
        <v>25</v>
      </c>
      <c r="D34" s="280"/>
      <c r="E34" s="280"/>
      <c r="F34" s="280"/>
      <c r="G34" s="280"/>
      <c r="H34" s="280"/>
      <c r="I34" s="280"/>
      <c r="J34" s="280"/>
      <c r="K34" s="280"/>
      <c r="L34" s="1008"/>
      <c r="M34" s="876"/>
      <c r="N34" s="877"/>
      <c r="O34" s="877"/>
      <c r="P34" s="877"/>
      <c r="Q34" s="876"/>
      <c r="R34" s="876"/>
      <c r="S34" s="876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</row>
    <row r="35" spans="1:29" ht="12.75" customHeight="1">
      <c r="A35" s="624">
        <f t="shared" si="1"/>
        <v>26</v>
      </c>
      <c r="B35" s="633" t="s">
        <v>1096</v>
      </c>
      <c r="C35" s="624">
        <f t="shared" si="2"/>
        <v>26</v>
      </c>
      <c r="D35" s="280"/>
      <c r="E35" s="280"/>
      <c r="F35" s="280"/>
      <c r="G35" s="280"/>
      <c r="H35" s="280"/>
      <c r="I35" s="280"/>
      <c r="J35" s="280"/>
      <c r="K35" s="280"/>
      <c r="L35" s="1008"/>
      <c r="M35" s="876"/>
      <c r="N35" s="877"/>
      <c r="O35" s="877"/>
      <c r="P35" s="877"/>
      <c r="Q35" s="876"/>
      <c r="R35" s="876"/>
      <c r="S35" s="876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</row>
    <row r="36" spans="1:29" ht="12.75" customHeight="1">
      <c r="A36" s="624">
        <f t="shared" si="1"/>
        <v>27</v>
      </c>
      <c r="B36" s="633" t="s">
        <v>1097</v>
      </c>
      <c r="C36" s="624">
        <f t="shared" si="2"/>
        <v>27</v>
      </c>
      <c r="D36" s="280"/>
      <c r="E36" s="280"/>
      <c r="F36" s="280"/>
      <c r="G36" s="280"/>
      <c r="H36" s="280"/>
      <c r="I36" s="280"/>
      <c r="J36" s="280"/>
      <c r="K36" s="280"/>
      <c r="L36" s="1008"/>
      <c r="M36" s="876"/>
      <c r="N36" s="877"/>
      <c r="O36" s="877"/>
      <c r="P36" s="877"/>
      <c r="Q36" s="876"/>
      <c r="R36" s="876"/>
      <c r="S36" s="876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</row>
    <row r="37" spans="1:29" ht="12.75" customHeight="1">
      <c r="A37" s="624">
        <f t="shared" si="1"/>
        <v>28</v>
      </c>
      <c r="B37" s="633" t="s">
        <v>1098</v>
      </c>
      <c r="C37" s="624">
        <f t="shared" si="2"/>
        <v>28</v>
      </c>
      <c r="D37" s="280"/>
      <c r="E37" s="280"/>
      <c r="F37" s="280"/>
      <c r="G37" s="280"/>
      <c r="H37" s="280"/>
      <c r="I37" s="280"/>
      <c r="J37" s="280"/>
      <c r="K37" s="280"/>
      <c r="L37" s="1008"/>
      <c r="M37" s="876"/>
      <c r="N37" s="877"/>
      <c r="O37" s="877"/>
      <c r="P37" s="877"/>
      <c r="Q37" s="876"/>
      <c r="R37" s="876"/>
      <c r="S37" s="876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</row>
    <row r="38" spans="1:29" ht="12.75" customHeight="1">
      <c r="A38" s="624">
        <f t="shared" si="1"/>
        <v>29</v>
      </c>
      <c r="B38" s="633" t="s">
        <v>1099</v>
      </c>
      <c r="C38" s="624">
        <f t="shared" si="2"/>
        <v>29</v>
      </c>
      <c r="D38" s="280"/>
      <c r="E38" s="280"/>
      <c r="F38" s="280"/>
      <c r="G38" s="280"/>
      <c r="H38" s="280"/>
      <c r="I38" s="280"/>
      <c r="J38" s="280"/>
      <c r="K38" s="280"/>
      <c r="L38" s="1008"/>
      <c r="M38" s="876"/>
      <c r="N38" s="877"/>
      <c r="O38" s="877"/>
      <c r="P38" s="877"/>
      <c r="Q38" s="876"/>
      <c r="R38" s="876"/>
      <c r="S38" s="876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</row>
    <row r="39" spans="1:29" ht="12.75" customHeight="1">
      <c r="A39" s="624">
        <f t="shared" si="1"/>
        <v>30</v>
      </c>
      <c r="B39" s="633" t="s">
        <v>1100</v>
      </c>
      <c r="C39" s="624">
        <f t="shared" si="2"/>
        <v>30</v>
      </c>
      <c r="D39" s="280"/>
      <c r="E39" s="280"/>
      <c r="F39" s="280"/>
      <c r="G39" s="280"/>
      <c r="H39" s="280"/>
      <c r="I39" s="280"/>
      <c r="J39" s="280"/>
      <c r="K39" s="280"/>
      <c r="L39" s="1008"/>
      <c r="M39" s="876"/>
      <c r="N39" s="877"/>
      <c r="O39" s="877"/>
      <c r="P39" s="877"/>
      <c r="Q39" s="876"/>
      <c r="R39" s="876"/>
      <c r="S39" s="876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</row>
    <row r="40" spans="1:29" ht="12.75" customHeight="1">
      <c r="A40" s="624">
        <f t="shared" si="1"/>
        <v>31</v>
      </c>
      <c r="B40" s="633" t="s">
        <v>1101</v>
      </c>
      <c r="C40" s="624">
        <f t="shared" si="2"/>
        <v>31</v>
      </c>
      <c r="D40" s="280"/>
      <c r="E40" s="280"/>
      <c r="F40" s="280"/>
      <c r="G40" s="280"/>
      <c r="H40" s="280"/>
      <c r="I40" s="280"/>
      <c r="J40" s="280"/>
      <c r="K40" s="280"/>
      <c r="L40" s="1008"/>
      <c r="M40" s="876"/>
      <c r="N40" s="877"/>
      <c r="O40" s="877"/>
      <c r="P40" s="877"/>
      <c r="Q40" s="876"/>
      <c r="R40" s="876"/>
      <c r="S40" s="876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</row>
    <row r="41" spans="1:29" ht="13.5" customHeight="1">
      <c r="A41" s="626"/>
      <c r="B41" s="627" t="s">
        <v>664</v>
      </c>
      <c r="C41" s="626">
        <v>41</v>
      </c>
      <c r="D41" s="634">
        <f t="shared" ref="D41:S41" si="3">SUM(D10:D40)</f>
        <v>0</v>
      </c>
      <c r="E41" s="634">
        <f t="shared" si="3"/>
        <v>0</v>
      </c>
      <c r="F41" s="634">
        <f t="shared" si="3"/>
        <v>0</v>
      </c>
      <c r="G41" s="634">
        <f t="shared" si="3"/>
        <v>0</v>
      </c>
      <c r="H41" s="634">
        <f t="shared" si="3"/>
        <v>0</v>
      </c>
      <c r="I41" s="634">
        <f t="shared" si="3"/>
        <v>0</v>
      </c>
      <c r="J41" s="634">
        <f t="shared" si="3"/>
        <v>0</v>
      </c>
      <c r="K41" s="634">
        <f t="shared" si="3"/>
        <v>0</v>
      </c>
      <c r="L41" s="634">
        <f>SUM(L10:L40)</f>
        <v>0</v>
      </c>
      <c r="M41" s="878">
        <f t="shared" si="3"/>
        <v>0</v>
      </c>
      <c r="N41" s="878">
        <f t="shared" si="3"/>
        <v>0</v>
      </c>
      <c r="O41" s="878">
        <f t="shared" si="3"/>
        <v>0</v>
      </c>
      <c r="P41" s="878">
        <f t="shared" si="3"/>
        <v>0</v>
      </c>
      <c r="Q41" s="878">
        <f t="shared" si="3"/>
        <v>0</v>
      </c>
      <c r="R41" s="878">
        <f t="shared" si="3"/>
        <v>0</v>
      </c>
      <c r="S41" s="878">
        <f t="shared" si="3"/>
        <v>0</v>
      </c>
      <c r="T41" s="614"/>
      <c r="U41" s="614"/>
      <c r="V41" s="614"/>
      <c r="W41" s="614"/>
      <c r="X41" s="614"/>
      <c r="Y41" s="614"/>
      <c r="Z41" s="614"/>
      <c r="AA41" s="614"/>
      <c r="AB41" s="614"/>
      <c r="AC41" s="614"/>
    </row>
    <row r="42" spans="1:29" ht="27.75" customHeight="1">
      <c r="A42" s="319"/>
      <c r="B42" s="614"/>
      <c r="C42" s="319"/>
      <c r="D42" s="744" t="str">
        <f>IF(D41=i.04101!E47,"","ДҮН ЗӨРҮҮТЭЙ БАЙНА")</f>
        <v/>
      </c>
      <c r="E42" s="744" t="str">
        <f>IF(E41=i.04101!E16,"","ДҮН ЗӨРҮҮТЭЙ БАЙНА")</f>
        <v/>
      </c>
      <c r="F42" s="744" t="str">
        <f>IF(F41=i.04101!E38,"","ДҮН ЗӨРҮҮТЭЙ БАЙНА")</f>
        <v/>
      </c>
      <c r="G42" s="744" t="str">
        <f>IF(G41=i.04101!E44,"","ДҮН ЗӨРҮҮТЭЙ БАЙНА")</f>
        <v/>
      </c>
      <c r="H42" s="744" t="str">
        <f>IF(H41=i.04102!E9,"","ДҮН ЗӨРҮҮТЭЙ БАЙНА")</f>
        <v/>
      </c>
      <c r="I42" s="768"/>
      <c r="J42" s="744" t="str">
        <f>IF(J41=i.04102!E16,"","ДҮН ЗӨРҮҮТЭЙ БАЙНА")</f>
        <v/>
      </c>
      <c r="K42" s="768"/>
      <c r="L42" s="768"/>
      <c r="M42" s="768"/>
      <c r="N42" s="768"/>
      <c r="O42" s="768"/>
      <c r="P42" s="768"/>
      <c r="Q42" s="768"/>
      <c r="R42" s="768"/>
      <c r="S42" s="768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</row>
    <row r="43" spans="1:29" s="721" customFormat="1" ht="12.75" customHeight="1">
      <c r="A43" s="319"/>
      <c r="B43" s="614"/>
      <c r="C43" s="319"/>
      <c r="D43" s="769">
        <f>+D41-i.04101!E47</f>
        <v>0</v>
      </c>
      <c r="E43" s="769">
        <f>+E41-i.04101!E16</f>
        <v>0</v>
      </c>
      <c r="F43" s="769">
        <f>+F41-i.04101!E38</f>
        <v>0</v>
      </c>
      <c r="G43" s="769">
        <f>+G41-i.04101!E44</f>
        <v>0</v>
      </c>
      <c r="H43" s="769">
        <f>+H41-i.04102!E9</f>
        <v>0</v>
      </c>
      <c r="I43" s="768"/>
      <c r="J43" s="769">
        <f>+J41-i.04102!E16</f>
        <v>0</v>
      </c>
      <c r="K43" s="768"/>
      <c r="L43" s="769">
        <f>L41-i.04102!E42</f>
        <v>0</v>
      </c>
      <c r="M43" s="769"/>
      <c r="N43" s="769">
        <f>N41-i.04113!G31</f>
        <v>0</v>
      </c>
      <c r="O43" s="769">
        <f>O41-i.04113!H31</f>
        <v>0</v>
      </c>
      <c r="P43" s="769">
        <f>P41-i.04113!I31</f>
        <v>0</v>
      </c>
      <c r="Q43" s="769">
        <f>Q41-i.04113!L31</f>
        <v>0</v>
      </c>
      <c r="R43" s="769">
        <f>R41-i.04113!M31</f>
        <v>0</v>
      </c>
      <c r="S43" s="769">
        <f>S41-i.04113!N31</f>
        <v>0</v>
      </c>
      <c r="T43" s="614"/>
      <c r="U43" s="614"/>
      <c r="V43" s="614"/>
      <c r="W43" s="614"/>
      <c r="X43" s="614"/>
      <c r="Y43" s="614"/>
      <c r="Z43" s="614"/>
      <c r="AA43" s="614"/>
      <c r="AB43" s="614"/>
      <c r="AC43" s="614"/>
    </row>
    <row r="44" spans="1:29" s="630" customFormat="1" ht="15" customHeight="1">
      <c r="A44" s="628"/>
      <c r="B44" s="629" t="str">
        <f>+i.04108!C32</f>
        <v>тамга тэмдэг</v>
      </c>
      <c r="C44" s="628"/>
      <c r="D44" s="628"/>
      <c r="E44" s="628"/>
      <c r="F44" s="628"/>
      <c r="G44" s="628"/>
      <c r="H44" s="628"/>
      <c r="I44" s="628"/>
      <c r="J44" s="628"/>
      <c r="K44" s="628"/>
      <c r="L44" s="628"/>
    </row>
    <row r="45" spans="1:29" ht="15.75" customHeight="1">
      <c r="A45" s="628"/>
      <c r="B45" s="628"/>
      <c r="C45" s="628"/>
      <c r="D45" s="628"/>
      <c r="E45" s="628"/>
      <c r="F45" s="628"/>
      <c r="G45" s="628"/>
      <c r="H45" s="628"/>
      <c r="I45" s="628"/>
      <c r="J45" s="628"/>
      <c r="K45" s="628"/>
      <c r="L45" s="628"/>
      <c r="M45" s="614"/>
      <c r="N45" s="614"/>
      <c r="O45" s="614"/>
      <c r="P45" s="614"/>
      <c r="Q45" s="614"/>
      <c r="R45" s="614"/>
      <c r="S45" s="614"/>
      <c r="T45" s="614"/>
      <c r="U45" s="614"/>
    </row>
    <row r="46" spans="1:29" ht="15.75" customHeight="1">
      <c r="A46" s="631"/>
      <c r="B46" s="628" t="str">
        <f>+i.04108!C34</f>
        <v xml:space="preserve">ТАЙЛАН ГАРГАСАН:    </v>
      </c>
      <c r="C46" s="628"/>
      <c r="D46" s="628"/>
      <c r="E46" s="628"/>
      <c r="F46" s="628"/>
      <c r="G46" s="628"/>
      <c r="H46" s="628"/>
      <c r="I46" s="631"/>
      <c r="J46" s="631"/>
      <c r="K46" s="631"/>
      <c r="L46" s="631"/>
      <c r="M46" s="614"/>
      <c r="N46" s="614"/>
      <c r="O46" s="614"/>
      <c r="P46" s="614"/>
      <c r="Q46" s="614"/>
      <c r="R46" s="614"/>
      <c r="S46" s="614"/>
      <c r="T46" s="614"/>
      <c r="U46" s="614"/>
    </row>
    <row r="47" spans="1:29" ht="18">
      <c r="A47" s="628"/>
      <c r="B47" s="628"/>
      <c r="C47" s="628"/>
      <c r="D47" s="628"/>
      <c r="E47" s="628"/>
      <c r="F47" s="628"/>
      <c r="G47" s="628"/>
      <c r="H47" s="628"/>
      <c r="I47" s="628"/>
      <c r="J47" s="628"/>
      <c r="K47" s="628"/>
      <c r="L47" s="628"/>
      <c r="M47" s="614"/>
      <c r="N47" s="614"/>
      <c r="O47" s="614"/>
      <c r="P47" s="614"/>
      <c r="Q47" s="614"/>
      <c r="R47" s="614"/>
      <c r="S47" s="614"/>
      <c r="T47" s="614"/>
      <c r="U47" s="614"/>
    </row>
    <row r="48" spans="1:29" ht="18">
      <c r="A48" s="628"/>
      <c r="B48" s="628" t="str">
        <f>+i.04108!C36</f>
        <v xml:space="preserve"> Гүйцэтгэх захирал</v>
      </c>
      <c r="E48" s="628" t="str">
        <f>+i.04108!D36</f>
        <v xml:space="preserve">/................................../   </v>
      </c>
      <c r="F48" s="628"/>
      <c r="G48" s="628" t="str">
        <f>+i.04108!F36</f>
        <v>/................................./</v>
      </c>
      <c r="H48" s="628"/>
      <c r="I48" s="628"/>
      <c r="J48" s="628"/>
      <c r="K48" s="628"/>
      <c r="L48" s="628"/>
      <c r="M48" s="614"/>
      <c r="N48" s="614"/>
      <c r="O48" s="614"/>
      <c r="P48" s="614"/>
      <c r="Q48" s="614"/>
      <c r="R48" s="614"/>
      <c r="S48" s="614"/>
      <c r="T48" s="614"/>
      <c r="U48" s="614"/>
    </row>
    <row r="49" spans="1:29" ht="18">
      <c r="A49" s="632"/>
      <c r="B49" s="628"/>
      <c r="E49" s="628"/>
      <c r="F49" s="628"/>
      <c r="G49" s="628"/>
      <c r="H49" s="628"/>
      <c r="I49" s="628"/>
      <c r="J49" s="628"/>
      <c r="K49" s="628"/>
      <c r="L49" s="628"/>
      <c r="M49" s="614"/>
      <c r="N49" s="614"/>
      <c r="O49" s="614"/>
      <c r="P49" s="614"/>
      <c r="Q49" s="614"/>
      <c r="R49" s="614"/>
      <c r="S49" s="614"/>
      <c r="T49" s="614"/>
      <c r="U49" s="614"/>
    </row>
    <row r="50" spans="1:29" ht="18">
      <c r="A50" s="628"/>
      <c r="B50" s="628" t="str">
        <f>+i.04108!C38</f>
        <v xml:space="preserve"> Ерөнхий нягтлан бодогч  </v>
      </c>
      <c r="E50" s="628" t="str">
        <f>+i.04108!D38</f>
        <v xml:space="preserve">/.................................../   </v>
      </c>
      <c r="F50" s="628"/>
      <c r="G50" s="628" t="str">
        <f>+i.04108!F38</f>
        <v>/................................/</v>
      </c>
      <c r="H50" s="628"/>
      <c r="I50" s="628"/>
      <c r="J50" s="628"/>
      <c r="K50" s="628"/>
      <c r="L50" s="628"/>
      <c r="M50" s="614"/>
      <c r="N50" s="614"/>
      <c r="O50" s="614"/>
      <c r="P50" s="614"/>
      <c r="Q50" s="614"/>
      <c r="R50" s="614"/>
      <c r="S50" s="614"/>
      <c r="T50" s="614"/>
      <c r="U50" s="614"/>
    </row>
    <row r="51" spans="1:29" ht="18">
      <c r="B51" s="628"/>
      <c r="E51" s="628"/>
      <c r="F51" s="628"/>
      <c r="G51" s="628"/>
      <c r="H51" s="628"/>
      <c r="I51" s="614"/>
      <c r="J51" s="614"/>
      <c r="K51" s="614"/>
      <c r="L51" s="614"/>
      <c r="M51" s="614"/>
      <c r="N51" s="614"/>
      <c r="O51" s="614"/>
      <c r="P51" s="614"/>
      <c r="Q51" s="614"/>
      <c r="R51" s="614"/>
      <c r="S51" s="614"/>
      <c r="T51" s="614"/>
      <c r="U51" s="614"/>
    </row>
    <row r="52" spans="1:29" ht="12.75" customHeight="1">
      <c r="A52" s="319"/>
      <c r="B52" s="628" t="str">
        <f>+i.04108!C40</f>
        <v>...................................................</v>
      </c>
      <c r="E52" s="628" t="str">
        <f>+i.04108!D40</f>
        <v xml:space="preserve">/................................../   </v>
      </c>
      <c r="F52" s="628"/>
      <c r="G52" s="628" t="str">
        <f>+i.04108!F40</f>
        <v>/................................/</v>
      </c>
      <c r="H52" s="628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</row>
    <row r="53" spans="1:29" ht="12.75" customHeight="1">
      <c r="A53" s="319"/>
      <c r="B53" s="614"/>
      <c r="C53" s="319"/>
      <c r="D53" s="614"/>
      <c r="E53" s="614"/>
      <c r="F53" s="614"/>
      <c r="G53" s="614"/>
      <c r="H53" s="614"/>
      <c r="I53" s="614"/>
      <c r="J53" s="614"/>
      <c r="K53" s="614"/>
      <c r="L53" s="614"/>
      <c r="M53" s="614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</row>
    <row r="54" spans="1:29" ht="12.75" customHeight="1">
      <c r="A54" s="319"/>
      <c r="B54" s="614"/>
      <c r="C54" s="319"/>
      <c r="D54" s="614"/>
      <c r="E54" s="614"/>
      <c r="F54" s="614"/>
      <c r="G54" s="614"/>
      <c r="H54" s="614"/>
      <c r="I54" s="614"/>
      <c r="J54" s="614"/>
      <c r="K54" s="614"/>
      <c r="L54" s="614"/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</row>
    <row r="55" spans="1:29" ht="12.75" customHeight="1">
      <c r="A55" s="319"/>
      <c r="B55" s="614"/>
      <c r="C55" s="319"/>
      <c r="D55" s="614"/>
      <c r="E55" s="614"/>
      <c r="F55" s="614"/>
      <c r="G55" s="614"/>
      <c r="H55" s="614"/>
      <c r="I55" s="614"/>
      <c r="J55" s="614"/>
      <c r="K55" s="614"/>
      <c r="L55" s="614"/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</row>
    <row r="56" spans="1:29" ht="12.75" customHeight="1">
      <c r="A56" s="319"/>
      <c r="B56" s="614"/>
      <c r="C56" s="319"/>
      <c r="D56" s="614"/>
      <c r="E56" s="614"/>
      <c r="F56" s="614"/>
      <c r="G56" s="614"/>
      <c r="H56" s="614"/>
      <c r="I56" s="614"/>
      <c r="J56" s="614"/>
      <c r="K56" s="614"/>
      <c r="L56" s="614"/>
      <c r="M56" s="614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</row>
    <row r="57" spans="1:29" ht="12.75" customHeight="1">
      <c r="A57" s="319"/>
      <c r="B57" s="614"/>
      <c r="C57" s="319"/>
      <c r="D57" s="614"/>
      <c r="E57" s="614"/>
      <c r="F57" s="614"/>
      <c r="G57" s="614"/>
      <c r="H57" s="614"/>
      <c r="I57" s="614"/>
      <c r="J57" s="614"/>
      <c r="K57" s="614"/>
      <c r="L57" s="614"/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</row>
    <row r="58" spans="1:29" ht="12.75" customHeight="1">
      <c r="A58" s="319"/>
      <c r="B58" s="614"/>
      <c r="C58" s="319"/>
      <c r="D58" s="614"/>
      <c r="E58" s="614"/>
      <c r="F58" s="614"/>
      <c r="G58" s="614"/>
      <c r="H58" s="614"/>
      <c r="I58" s="614"/>
      <c r="J58" s="614"/>
      <c r="K58" s="614"/>
      <c r="L58" s="614"/>
      <c r="M58" s="614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</row>
    <row r="59" spans="1:29" ht="12.75" customHeight="1">
      <c r="A59" s="319"/>
      <c r="B59" s="614"/>
      <c r="C59" s="319"/>
      <c r="D59" s="614"/>
      <c r="E59" s="614"/>
      <c r="F59" s="614"/>
      <c r="G59" s="614"/>
      <c r="H59" s="614"/>
      <c r="I59" s="614"/>
      <c r="J59" s="614"/>
      <c r="K59" s="614"/>
      <c r="L59" s="614"/>
      <c r="M59" s="614"/>
      <c r="N59" s="614"/>
      <c r="O59" s="614"/>
      <c r="P59" s="614"/>
      <c r="Q59" s="614"/>
      <c r="R59" s="614"/>
      <c r="S59" s="614"/>
      <c r="T59" s="614"/>
      <c r="U59" s="614"/>
      <c r="V59" s="614"/>
      <c r="W59" s="614"/>
      <c r="X59" s="614"/>
      <c r="Y59" s="614"/>
      <c r="Z59" s="614"/>
      <c r="AA59" s="614"/>
      <c r="AB59" s="614"/>
      <c r="AC59" s="614"/>
    </row>
    <row r="60" spans="1:29" ht="12.75" customHeight="1">
      <c r="A60" s="319"/>
      <c r="B60" s="614"/>
      <c r="C60" s="319"/>
      <c r="D60" s="614"/>
      <c r="E60" s="614"/>
      <c r="F60" s="614"/>
      <c r="G60" s="614"/>
      <c r="H60" s="614"/>
      <c r="I60" s="614"/>
      <c r="J60" s="614"/>
      <c r="K60" s="614"/>
      <c r="L60" s="614"/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614"/>
      <c r="AB60" s="614"/>
      <c r="AC60" s="614"/>
    </row>
    <row r="61" spans="1:29" ht="12.75" customHeight="1">
      <c r="A61" s="319"/>
      <c r="B61" s="614"/>
      <c r="C61" s="319"/>
      <c r="D61" s="614"/>
      <c r="E61" s="614"/>
      <c r="F61" s="614"/>
      <c r="G61" s="614"/>
      <c r="H61" s="614"/>
      <c r="I61" s="614"/>
      <c r="J61" s="614"/>
      <c r="K61" s="614"/>
      <c r="L61" s="614"/>
      <c r="M61" s="614"/>
      <c r="N61" s="614"/>
      <c r="O61" s="614"/>
      <c r="P61" s="614"/>
      <c r="Q61" s="614"/>
      <c r="R61" s="614"/>
      <c r="S61" s="614"/>
      <c r="T61" s="614"/>
      <c r="U61" s="614"/>
      <c r="V61" s="614"/>
      <c r="W61" s="614"/>
      <c r="X61" s="614"/>
      <c r="Y61" s="614"/>
      <c r="Z61" s="614"/>
      <c r="AA61" s="614"/>
      <c r="AB61" s="614"/>
      <c r="AC61" s="614"/>
    </row>
    <row r="62" spans="1:29" ht="12.75" customHeight="1">
      <c r="A62" s="319"/>
      <c r="B62" s="614"/>
      <c r="C62" s="319"/>
      <c r="D62" s="614"/>
      <c r="E62" s="614"/>
      <c r="F62" s="614"/>
      <c r="G62" s="614"/>
      <c r="H62" s="614"/>
      <c r="I62" s="614"/>
      <c r="J62" s="614"/>
      <c r="K62" s="614"/>
      <c r="L62" s="614"/>
      <c r="M62" s="614"/>
      <c r="N62" s="614"/>
      <c r="O62" s="614"/>
      <c r="P62" s="614"/>
      <c r="Q62" s="614"/>
      <c r="R62" s="614"/>
      <c r="S62" s="614"/>
      <c r="T62" s="614"/>
      <c r="U62" s="614"/>
      <c r="V62" s="614"/>
      <c r="W62" s="614"/>
      <c r="X62" s="614"/>
      <c r="Y62" s="614"/>
      <c r="Z62" s="614"/>
      <c r="AA62" s="614"/>
      <c r="AB62" s="614"/>
      <c r="AC62" s="614"/>
    </row>
    <row r="63" spans="1:29" ht="12.75" customHeight="1">
      <c r="A63" s="319"/>
      <c r="B63" s="614"/>
      <c r="C63" s="319"/>
      <c r="D63" s="614"/>
      <c r="E63" s="614"/>
      <c r="F63" s="614"/>
      <c r="G63" s="614"/>
      <c r="H63" s="614"/>
      <c r="I63" s="614"/>
      <c r="J63" s="614"/>
      <c r="K63" s="614"/>
      <c r="L63" s="614"/>
      <c r="M63" s="614"/>
      <c r="N63" s="614"/>
      <c r="O63" s="614"/>
      <c r="P63" s="614"/>
      <c r="Q63" s="614"/>
      <c r="R63" s="614"/>
      <c r="S63" s="614"/>
      <c r="T63" s="614"/>
      <c r="U63" s="614"/>
      <c r="V63" s="614"/>
      <c r="W63" s="614"/>
      <c r="X63" s="614"/>
      <c r="Y63" s="614"/>
      <c r="Z63" s="614"/>
      <c r="AA63" s="614"/>
      <c r="AB63" s="614"/>
      <c r="AC63" s="614"/>
    </row>
    <row r="64" spans="1:29" ht="12.75" customHeight="1">
      <c r="A64" s="319"/>
      <c r="B64" s="614"/>
      <c r="C64" s="319"/>
      <c r="D64" s="614"/>
      <c r="E64" s="614"/>
      <c r="F64" s="614"/>
      <c r="G64" s="614"/>
      <c r="H64" s="614"/>
      <c r="I64" s="614"/>
      <c r="J64" s="614"/>
      <c r="K64" s="614"/>
      <c r="L64" s="614"/>
      <c r="M64" s="614"/>
      <c r="N64" s="614"/>
      <c r="O64" s="614"/>
      <c r="P64" s="614"/>
      <c r="Q64" s="614"/>
      <c r="R64" s="614"/>
      <c r="S64" s="614"/>
      <c r="T64" s="614"/>
      <c r="U64" s="614"/>
      <c r="V64" s="614"/>
      <c r="W64" s="614"/>
      <c r="X64" s="614"/>
      <c r="Y64" s="614"/>
      <c r="Z64" s="614"/>
      <c r="AA64" s="614"/>
      <c r="AB64" s="614"/>
      <c r="AC64" s="614"/>
    </row>
    <row r="65" spans="1:29" ht="12.75" customHeight="1">
      <c r="A65" s="319"/>
      <c r="B65" s="614"/>
      <c r="C65" s="319"/>
      <c r="D65" s="614"/>
      <c r="E65" s="614"/>
      <c r="F65" s="614"/>
      <c r="G65" s="614"/>
      <c r="H65" s="614"/>
      <c r="I65" s="614"/>
      <c r="J65" s="614"/>
      <c r="K65" s="614"/>
      <c r="L65" s="614"/>
      <c r="M65" s="614"/>
      <c r="N65" s="614"/>
      <c r="O65" s="614"/>
      <c r="P65" s="614"/>
      <c r="Q65" s="614"/>
      <c r="R65" s="614"/>
      <c r="S65" s="614"/>
      <c r="T65" s="614"/>
      <c r="U65" s="614"/>
      <c r="V65" s="614"/>
      <c r="W65" s="614"/>
      <c r="X65" s="614"/>
      <c r="Y65" s="614"/>
      <c r="Z65" s="614"/>
      <c r="AA65" s="614"/>
      <c r="AB65" s="614"/>
      <c r="AC65" s="614"/>
    </row>
    <row r="66" spans="1:29" ht="12.75" customHeight="1">
      <c r="A66" s="319"/>
      <c r="B66" s="614"/>
      <c r="C66" s="319"/>
      <c r="D66" s="614"/>
      <c r="E66" s="614"/>
      <c r="F66" s="614"/>
      <c r="G66" s="614"/>
      <c r="H66" s="614"/>
      <c r="I66" s="614"/>
      <c r="J66" s="614"/>
      <c r="K66" s="614"/>
      <c r="L66" s="614"/>
      <c r="M66" s="614"/>
      <c r="N66" s="614"/>
      <c r="O66" s="614"/>
      <c r="P66" s="614"/>
      <c r="Q66" s="614"/>
      <c r="R66" s="614"/>
      <c r="S66" s="614"/>
      <c r="T66" s="614"/>
      <c r="U66" s="614"/>
      <c r="V66" s="614"/>
      <c r="W66" s="614"/>
      <c r="X66" s="614"/>
      <c r="Y66" s="614"/>
      <c r="Z66" s="614"/>
      <c r="AA66" s="614"/>
      <c r="AB66" s="614"/>
      <c r="AC66" s="614"/>
    </row>
    <row r="67" spans="1:29" ht="12.75" customHeight="1">
      <c r="A67" s="319"/>
      <c r="B67" s="614"/>
      <c r="C67" s="319"/>
      <c r="D67" s="614"/>
      <c r="E67" s="614"/>
      <c r="F67" s="614"/>
      <c r="G67" s="614"/>
      <c r="H67" s="614"/>
      <c r="I67" s="614"/>
      <c r="J67" s="614"/>
      <c r="K67" s="614"/>
      <c r="L67" s="614"/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614"/>
      <c r="AB67" s="614"/>
      <c r="AC67" s="614"/>
    </row>
    <row r="68" spans="1:29" ht="12.75" customHeight="1">
      <c r="A68" s="319"/>
      <c r="B68" s="614"/>
      <c r="C68" s="319"/>
      <c r="D68" s="614"/>
      <c r="E68" s="614"/>
      <c r="F68" s="614"/>
      <c r="G68" s="614"/>
      <c r="H68" s="614"/>
      <c r="I68" s="614"/>
      <c r="J68" s="614"/>
      <c r="K68" s="614"/>
      <c r="L68" s="614"/>
      <c r="M68" s="614"/>
      <c r="N68" s="614"/>
      <c r="O68" s="614"/>
      <c r="P68" s="614"/>
      <c r="Q68" s="614"/>
      <c r="R68" s="614"/>
      <c r="S68" s="614"/>
      <c r="T68" s="614"/>
      <c r="U68" s="614"/>
      <c r="V68" s="614"/>
      <c r="W68" s="614"/>
      <c r="X68" s="614"/>
      <c r="Y68" s="614"/>
      <c r="Z68" s="614"/>
      <c r="AA68" s="614"/>
      <c r="AB68" s="614"/>
      <c r="AC68" s="614"/>
    </row>
    <row r="69" spans="1:29" ht="12.75" customHeight="1">
      <c r="A69" s="319"/>
      <c r="B69" s="614"/>
      <c r="C69" s="319"/>
      <c r="D69" s="614"/>
      <c r="E69" s="614"/>
      <c r="F69" s="614"/>
      <c r="G69" s="614"/>
      <c r="H69" s="614"/>
      <c r="I69" s="614"/>
      <c r="J69" s="614"/>
      <c r="K69" s="614"/>
      <c r="L69" s="614"/>
      <c r="M69" s="614"/>
      <c r="N69" s="614"/>
      <c r="O69" s="614"/>
      <c r="P69" s="614"/>
      <c r="Q69" s="614"/>
      <c r="R69" s="614"/>
      <c r="S69" s="614"/>
      <c r="T69" s="614"/>
      <c r="U69" s="614"/>
      <c r="V69" s="614"/>
      <c r="W69" s="614"/>
      <c r="X69" s="614"/>
      <c r="Y69" s="614"/>
      <c r="Z69" s="614"/>
      <c r="AA69" s="614"/>
      <c r="AB69" s="614"/>
      <c r="AC69" s="614"/>
    </row>
    <row r="70" spans="1:29" ht="12.75" customHeight="1">
      <c r="A70" s="319"/>
      <c r="B70" s="614"/>
      <c r="C70" s="319"/>
      <c r="D70" s="614"/>
      <c r="E70" s="614"/>
      <c r="F70" s="614"/>
      <c r="G70" s="614"/>
      <c r="H70" s="614"/>
      <c r="I70" s="614"/>
      <c r="J70" s="614"/>
      <c r="K70" s="614"/>
      <c r="L70" s="614"/>
      <c r="M70" s="614"/>
      <c r="N70" s="614"/>
      <c r="O70" s="614"/>
      <c r="P70" s="614"/>
      <c r="Q70" s="614"/>
      <c r="R70" s="614"/>
      <c r="S70" s="614"/>
      <c r="T70" s="614"/>
      <c r="U70" s="614"/>
      <c r="V70" s="614"/>
      <c r="W70" s="614"/>
      <c r="X70" s="614"/>
      <c r="Y70" s="614"/>
      <c r="Z70" s="614"/>
      <c r="AA70" s="614"/>
      <c r="AB70" s="614"/>
      <c r="AC70" s="614"/>
    </row>
    <row r="71" spans="1:29" ht="12.75" customHeight="1">
      <c r="A71" s="319"/>
      <c r="B71" s="614"/>
      <c r="C71" s="319"/>
      <c r="D71" s="614"/>
      <c r="E71" s="614"/>
      <c r="F71" s="614"/>
      <c r="G71" s="614"/>
      <c r="H71" s="614"/>
      <c r="I71" s="614"/>
      <c r="J71" s="614"/>
      <c r="K71" s="614"/>
      <c r="L71" s="614"/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  <c r="AC71" s="614"/>
    </row>
    <row r="72" spans="1:29" ht="12.75" customHeight="1">
      <c r="A72" s="319"/>
      <c r="B72" s="614"/>
      <c r="C72" s="319"/>
      <c r="D72" s="614"/>
      <c r="E72" s="614"/>
      <c r="F72" s="614"/>
      <c r="G72" s="614"/>
      <c r="H72" s="614"/>
      <c r="I72" s="614"/>
      <c r="J72" s="614"/>
      <c r="K72" s="614"/>
      <c r="L72" s="614"/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</row>
    <row r="73" spans="1:29" ht="12.75" customHeight="1">
      <c r="A73" s="319"/>
      <c r="B73" s="614"/>
      <c r="C73" s="319"/>
      <c r="D73" s="614"/>
      <c r="E73" s="614"/>
      <c r="F73" s="614"/>
      <c r="G73" s="614"/>
      <c r="H73" s="614"/>
      <c r="I73" s="614"/>
      <c r="J73" s="614"/>
      <c r="K73" s="614"/>
      <c r="L73" s="614"/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</row>
    <row r="74" spans="1:29" ht="12.75" customHeight="1">
      <c r="A74" s="319"/>
      <c r="B74" s="614"/>
      <c r="C74" s="319"/>
      <c r="D74" s="614"/>
      <c r="E74" s="614"/>
      <c r="F74" s="614"/>
      <c r="G74" s="614"/>
      <c r="H74" s="614"/>
      <c r="I74" s="614"/>
      <c r="J74" s="614"/>
      <c r="K74" s="614"/>
      <c r="L74" s="614"/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614"/>
      <c r="AB74" s="614"/>
      <c r="AC74" s="614"/>
    </row>
    <row r="75" spans="1:29" ht="12.75" customHeight="1">
      <c r="A75" s="319"/>
      <c r="B75" s="614"/>
      <c r="C75" s="319"/>
      <c r="D75" s="614"/>
      <c r="E75" s="614"/>
      <c r="F75" s="614"/>
      <c r="G75" s="614"/>
      <c r="H75" s="614"/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614"/>
      <c r="AB75" s="614"/>
      <c r="AC75" s="614"/>
    </row>
    <row r="76" spans="1:29" ht="12.75" customHeight="1">
      <c r="A76" s="319"/>
      <c r="B76" s="614"/>
      <c r="C76" s="319"/>
      <c r="D76" s="614"/>
      <c r="E76" s="614"/>
      <c r="F76" s="614"/>
      <c r="G76" s="614"/>
      <c r="H76" s="614"/>
      <c r="I76" s="614"/>
      <c r="J76" s="614"/>
      <c r="K76" s="614"/>
      <c r="L76" s="614"/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4"/>
      <c r="Z76" s="614"/>
      <c r="AA76" s="614"/>
      <c r="AB76" s="614"/>
      <c r="AC76" s="614"/>
    </row>
    <row r="77" spans="1:29" ht="12.75" customHeight="1">
      <c r="A77" s="319"/>
      <c r="B77" s="614"/>
      <c r="C77" s="319"/>
      <c r="D77" s="614"/>
      <c r="E77" s="614"/>
      <c r="F77" s="614"/>
      <c r="G77" s="614"/>
      <c r="H77" s="614"/>
      <c r="I77" s="614"/>
      <c r="J77" s="614"/>
      <c r="K77" s="614"/>
      <c r="L77" s="614"/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14"/>
      <c r="X77" s="614"/>
      <c r="Y77" s="614"/>
      <c r="Z77" s="614"/>
      <c r="AA77" s="614"/>
      <c r="AB77" s="614"/>
      <c r="AC77" s="614"/>
    </row>
    <row r="78" spans="1:29" ht="12.75" customHeight="1">
      <c r="A78" s="319"/>
      <c r="B78" s="614"/>
      <c r="C78" s="319"/>
      <c r="D78" s="614"/>
      <c r="E78" s="614"/>
      <c r="F78" s="614"/>
      <c r="G78" s="614"/>
      <c r="H78" s="614"/>
      <c r="I78" s="614"/>
      <c r="J78" s="614"/>
      <c r="K78" s="614"/>
      <c r="L78" s="614"/>
      <c r="M78" s="614"/>
      <c r="N78" s="614"/>
      <c r="O78" s="614"/>
      <c r="P78" s="614"/>
      <c r="Q78" s="614"/>
      <c r="R78" s="614"/>
      <c r="S78" s="614"/>
      <c r="T78" s="614"/>
      <c r="U78" s="614"/>
      <c r="V78" s="614"/>
      <c r="W78" s="614"/>
      <c r="X78" s="614"/>
      <c r="Y78" s="614"/>
      <c r="Z78" s="614"/>
      <c r="AA78" s="614"/>
      <c r="AB78" s="614"/>
      <c r="AC78" s="614"/>
    </row>
    <row r="79" spans="1:29" ht="12.75" customHeight="1">
      <c r="A79" s="319"/>
      <c r="B79" s="614"/>
      <c r="C79" s="319"/>
      <c r="D79" s="614"/>
      <c r="E79" s="614"/>
      <c r="F79" s="614"/>
      <c r="G79" s="614"/>
      <c r="H79" s="614"/>
      <c r="I79" s="614"/>
      <c r="J79" s="614"/>
      <c r="K79" s="614"/>
      <c r="L79" s="614"/>
      <c r="M79" s="614"/>
      <c r="N79" s="614"/>
      <c r="O79" s="614"/>
      <c r="P79" s="614"/>
      <c r="Q79" s="614"/>
      <c r="R79" s="614"/>
      <c r="S79" s="614"/>
      <c r="T79" s="614"/>
      <c r="U79" s="614"/>
      <c r="V79" s="614"/>
      <c r="W79" s="614"/>
      <c r="X79" s="614"/>
      <c r="Y79" s="614"/>
      <c r="Z79" s="614"/>
      <c r="AA79" s="614"/>
      <c r="AB79" s="614"/>
      <c r="AC79" s="614"/>
    </row>
    <row r="80" spans="1:29" ht="12.75" customHeight="1">
      <c r="A80" s="319"/>
      <c r="B80" s="614"/>
      <c r="C80" s="319"/>
      <c r="D80" s="614"/>
      <c r="E80" s="614"/>
      <c r="F80" s="614"/>
      <c r="G80" s="614"/>
      <c r="H80" s="614"/>
      <c r="I80" s="614"/>
      <c r="J80" s="614"/>
      <c r="K80" s="614"/>
      <c r="L80" s="614"/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614"/>
      <c r="AB80" s="614"/>
      <c r="AC80" s="614"/>
    </row>
    <row r="81" spans="1:29" ht="12.75" customHeight="1">
      <c r="A81" s="319"/>
      <c r="B81" s="614"/>
      <c r="C81" s="319"/>
      <c r="D81" s="614"/>
      <c r="E81" s="614"/>
      <c r="F81" s="614"/>
      <c r="G81" s="614"/>
      <c r="H81" s="614"/>
      <c r="I81" s="614"/>
      <c r="J81" s="614"/>
      <c r="K81" s="614"/>
      <c r="L81" s="614"/>
      <c r="M81" s="614"/>
      <c r="N81" s="614"/>
      <c r="O81" s="614"/>
      <c r="P81" s="614"/>
      <c r="Q81" s="614"/>
      <c r="R81" s="614"/>
      <c r="S81" s="614"/>
      <c r="T81" s="614"/>
      <c r="U81" s="614"/>
      <c r="V81" s="614"/>
      <c r="W81" s="614"/>
      <c r="X81" s="614"/>
      <c r="Y81" s="614"/>
      <c r="Z81" s="614"/>
      <c r="AA81" s="614"/>
      <c r="AB81" s="614"/>
      <c r="AC81" s="614"/>
    </row>
    <row r="82" spans="1:29" ht="12.75" customHeight="1">
      <c r="A82" s="319"/>
      <c r="B82" s="614"/>
      <c r="C82" s="319"/>
      <c r="D82" s="614"/>
      <c r="E82" s="614"/>
      <c r="F82" s="614"/>
      <c r="G82" s="614"/>
      <c r="H82" s="614"/>
      <c r="I82" s="614"/>
      <c r="J82" s="614"/>
      <c r="K82" s="614"/>
      <c r="L82" s="614"/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614"/>
      <c r="X82" s="614"/>
      <c r="Y82" s="614"/>
      <c r="Z82" s="614"/>
      <c r="AA82" s="614"/>
      <c r="AB82" s="614"/>
      <c r="AC82" s="614"/>
    </row>
    <row r="83" spans="1:29" ht="12.75" customHeight="1">
      <c r="A83" s="319"/>
      <c r="B83" s="614"/>
      <c r="C83" s="319"/>
      <c r="D83" s="614"/>
      <c r="E83" s="614"/>
      <c r="F83" s="614"/>
      <c r="G83" s="614"/>
      <c r="H83" s="614"/>
      <c r="I83" s="614"/>
      <c r="J83" s="614"/>
      <c r="K83" s="614"/>
      <c r="L83" s="614"/>
      <c r="M83" s="614"/>
      <c r="N83" s="614"/>
      <c r="O83" s="614"/>
      <c r="P83" s="614"/>
      <c r="Q83" s="614"/>
      <c r="R83" s="614"/>
      <c r="S83" s="614"/>
      <c r="T83" s="614"/>
      <c r="U83" s="614"/>
      <c r="V83" s="614"/>
      <c r="W83" s="614"/>
      <c r="X83" s="614"/>
      <c r="Y83" s="614"/>
      <c r="Z83" s="614"/>
      <c r="AA83" s="614"/>
      <c r="AB83" s="614"/>
      <c r="AC83" s="614"/>
    </row>
    <row r="84" spans="1:29" ht="12.75" customHeight="1">
      <c r="A84" s="319"/>
      <c r="B84" s="614"/>
      <c r="C84" s="319"/>
      <c r="D84" s="614"/>
      <c r="E84" s="614"/>
      <c r="F84" s="614"/>
      <c r="G84" s="614"/>
      <c r="H84" s="614"/>
      <c r="I84" s="614"/>
      <c r="J84" s="614"/>
      <c r="K84" s="614"/>
      <c r="L84" s="614"/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614"/>
      <c r="AB84" s="614"/>
      <c r="AC84" s="614"/>
    </row>
    <row r="85" spans="1:29" ht="12.75" customHeight="1">
      <c r="A85" s="319"/>
      <c r="B85" s="614"/>
      <c r="C85" s="319"/>
      <c r="D85" s="614"/>
      <c r="E85" s="614"/>
      <c r="F85" s="614"/>
      <c r="G85" s="614"/>
      <c r="H85" s="614"/>
      <c r="I85" s="614"/>
      <c r="J85" s="614"/>
      <c r="K85" s="614"/>
      <c r="L85" s="614"/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614"/>
      <c r="AB85" s="614"/>
      <c r="AC85" s="614"/>
    </row>
    <row r="86" spans="1:29" ht="12.75" customHeight="1">
      <c r="A86" s="319"/>
      <c r="B86" s="614"/>
      <c r="C86" s="319"/>
      <c r="D86" s="614"/>
      <c r="E86" s="614"/>
      <c r="F86" s="614"/>
      <c r="G86" s="614"/>
      <c r="H86" s="614"/>
      <c r="I86" s="614"/>
      <c r="J86" s="614"/>
      <c r="K86" s="614"/>
      <c r="L86" s="614"/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</row>
    <row r="87" spans="1:29" ht="12.75" customHeight="1">
      <c r="A87" s="319"/>
      <c r="B87" s="614"/>
      <c r="C87" s="319"/>
      <c r="D87" s="614"/>
      <c r="E87" s="614"/>
      <c r="F87" s="614"/>
      <c r="G87" s="614"/>
      <c r="H87" s="614"/>
      <c r="I87" s="614"/>
      <c r="J87" s="614"/>
      <c r="K87" s="614"/>
      <c r="L87" s="614"/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</row>
    <row r="88" spans="1:29" ht="12.75" customHeight="1">
      <c r="A88" s="319"/>
      <c r="B88" s="614"/>
      <c r="C88" s="319"/>
      <c r="D88" s="614"/>
      <c r="E88" s="614"/>
      <c r="F88" s="614"/>
      <c r="G88" s="614"/>
      <c r="H88" s="614"/>
      <c r="I88" s="614"/>
      <c r="J88" s="614"/>
      <c r="K88" s="614"/>
      <c r="L88" s="614"/>
      <c r="M88" s="614"/>
      <c r="N88" s="614"/>
      <c r="O88" s="614"/>
      <c r="P88" s="614"/>
      <c r="Q88" s="614"/>
      <c r="R88" s="614"/>
      <c r="S88" s="614"/>
      <c r="T88" s="614"/>
      <c r="U88" s="614"/>
      <c r="V88" s="614"/>
      <c r="W88" s="614"/>
      <c r="X88" s="614"/>
      <c r="Y88" s="614"/>
      <c r="Z88" s="614"/>
      <c r="AA88" s="614"/>
      <c r="AB88" s="614"/>
      <c r="AC88" s="614"/>
    </row>
    <row r="89" spans="1:29" ht="12.75" customHeight="1">
      <c r="A89" s="319"/>
      <c r="B89" s="614"/>
      <c r="C89" s="319"/>
      <c r="D89" s="614"/>
      <c r="E89" s="614"/>
      <c r="F89" s="614"/>
      <c r="G89" s="614"/>
      <c r="H89" s="614"/>
      <c r="I89" s="614"/>
      <c r="J89" s="614"/>
      <c r="K89" s="614"/>
      <c r="L89" s="614"/>
      <c r="M89" s="614"/>
      <c r="N89" s="614"/>
      <c r="O89" s="614"/>
      <c r="P89" s="614"/>
      <c r="Q89" s="614"/>
      <c r="R89" s="614"/>
      <c r="S89" s="614"/>
      <c r="T89" s="614"/>
      <c r="U89" s="614"/>
      <c r="V89" s="614"/>
      <c r="W89" s="614"/>
      <c r="X89" s="614"/>
      <c r="Y89" s="614"/>
      <c r="Z89" s="614"/>
      <c r="AA89" s="614"/>
      <c r="AB89" s="614"/>
      <c r="AC89" s="614"/>
    </row>
    <row r="90" spans="1:29" ht="12.75" customHeight="1">
      <c r="A90" s="319"/>
      <c r="B90" s="614"/>
      <c r="C90" s="319"/>
      <c r="D90" s="614"/>
      <c r="E90" s="614"/>
      <c r="F90" s="614"/>
      <c r="G90" s="614"/>
      <c r="H90" s="614"/>
      <c r="I90" s="614"/>
      <c r="J90" s="614"/>
      <c r="K90" s="614"/>
      <c r="L90" s="614"/>
      <c r="M90" s="614"/>
      <c r="N90" s="614"/>
      <c r="O90" s="614"/>
      <c r="P90" s="614"/>
      <c r="Q90" s="614"/>
      <c r="R90" s="614"/>
      <c r="S90" s="614"/>
      <c r="T90" s="614"/>
      <c r="U90" s="614"/>
      <c r="V90" s="614"/>
      <c r="W90" s="614"/>
      <c r="X90" s="614"/>
      <c r="Y90" s="614"/>
      <c r="Z90" s="614"/>
      <c r="AA90" s="614"/>
      <c r="AB90" s="614"/>
      <c r="AC90" s="614"/>
    </row>
    <row r="91" spans="1:29" ht="12.75" customHeight="1">
      <c r="A91" s="319"/>
      <c r="B91" s="614"/>
      <c r="C91" s="319"/>
      <c r="D91" s="614"/>
      <c r="E91" s="614"/>
      <c r="F91" s="614"/>
      <c r="G91" s="614"/>
      <c r="H91" s="614"/>
      <c r="I91" s="614"/>
      <c r="J91" s="614"/>
      <c r="K91" s="614"/>
      <c r="L91" s="614"/>
      <c r="M91" s="614"/>
      <c r="N91" s="614"/>
      <c r="O91" s="614"/>
      <c r="P91" s="614"/>
      <c r="Q91" s="614"/>
      <c r="R91" s="614"/>
      <c r="S91" s="614"/>
      <c r="T91" s="614"/>
      <c r="U91" s="614"/>
      <c r="V91" s="614"/>
      <c r="W91" s="614"/>
      <c r="X91" s="614"/>
      <c r="Y91" s="614"/>
      <c r="Z91" s="614"/>
      <c r="AA91" s="614"/>
      <c r="AB91" s="614"/>
      <c r="AC91" s="614"/>
    </row>
    <row r="92" spans="1:29" ht="12.75" customHeight="1">
      <c r="A92" s="319"/>
      <c r="B92" s="614"/>
      <c r="C92" s="319"/>
      <c r="D92" s="614"/>
      <c r="E92" s="614"/>
      <c r="F92" s="614"/>
      <c r="G92" s="614"/>
      <c r="H92" s="614"/>
      <c r="I92" s="614"/>
      <c r="J92" s="614"/>
      <c r="K92" s="614"/>
      <c r="L92" s="614"/>
      <c r="M92" s="614"/>
      <c r="N92" s="614"/>
      <c r="O92" s="614"/>
      <c r="P92" s="614"/>
      <c r="Q92" s="614"/>
      <c r="R92" s="614"/>
      <c r="S92" s="614"/>
      <c r="T92" s="614"/>
      <c r="U92" s="614"/>
      <c r="V92" s="614"/>
      <c r="W92" s="614"/>
      <c r="X92" s="614"/>
      <c r="Y92" s="614"/>
      <c r="Z92" s="614"/>
      <c r="AA92" s="614"/>
      <c r="AB92" s="614"/>
      <c r="AC92" s="614"/>
    </row>
    <row r="93" spans="1:29" ht="12.75" customHeight="1">
      <c r="A93" s="319"/>
      <c r="B93" s="614"/>
      <c r="C93" s="319"/>
      <c r="D93" s="614"/>
      <c r="E93" s="614"/>
      <c r="F93" s="614"/>
      <c r="G93" s="614"/>
      <c r="H93" s="614"/>
      <c r="I93" s="614"/>
      <c r="J93" s="614"/>
      <c r="K93" s="614"/>
      <c r="L93" s="614"/>
      <c r="M93" s="614"/>
      <c r="N93" s="614"/>
      <c r="O93" s="614"/>
      <c r="P93" s="614"/>
      <c r="Q93" s="614"/>
      <c r="R93" s="614"/>
      <c r="S93" s="614"/>
      <c r="T93" s="614"/>
      <c r="U93" s="614"/>
      <c r="V93" s="614"/>
      <c r="W93" s="614"/>
      <c r="X93" s="614"/>
      <c r="Y93" s="614"/>
      <c r="Z93" s="614"/>
      <c r="AA93" s="614"/>
      <c r="AB93" s="614"/>
      <c r="AC93" s="614"/>
    </row>
    <row r="94" spans="1:29" ht="12.75" customHeight="1">
      <c r="A94" s="319"/>
      <c r="B94" s="614"/>
      <c r="C94" s="319"/>
      <c r="D94" s="614"/>
      <c r="E94" s="614"/>
      <c r="F94" s="614"/>
      <c r="G94" s="614"/>
      <c r="H94" s="614"/>
      <c r="I94" s="614"/>
      <c r="J94" s="614"/>
      <c r="K94" s="614"/>
      <c r="L94" s="614"/>
      <c r="M94" s="614"/>
      <c r="N94" s="614"/>
      <c r="O94" s="614"/>
      <c r="P94" s="614"/>
      <c r="Q94" s="614"/>
      <c r="R94" s="614"/>
      <c r="S94" s="614"/>
      <c r="T94" s="614"/>
      <c r="U94" s="614"/>
      <c r="V94" s="614"/>
      <c r="W94" s="614"/>
      <c r="X94" s="614"/>
      <c r="Y94" s="614"/>
      <c r="Z94" s="614"/>
      <c r="AA94" s="614"/>
      <c r="AB94" s="614"/>
      <c r="AC94" s="614"/>
    </row>
    <row r="95" spans="1:29" ht="12.75" customHeight="1">
      <c r="A95" s="319"/>
      <c r="B95" s="614"/>
      <c r="C95" s="319"/>
      <c r="D95" s="614"/>
      <c r="E95" s="614"/>
      <c r="F95" s="614"/>
      <c r="G95" s="614"/>
      <c r="H95" s="614"/>
      <c r="I95" s="614"/>
      <c r="J95" s="614"/>
      <c r="K95" s="614"/>
      <c r="L95" s="614"/>
      <c r="M95" s="614"/>
      <c r="N95" s="614"/>
      <c r="O95" s="614"/>
      <c r="P95" s="614"/>
      <c r="Q95" s="614"/>
      <c r="R95" s="614"/>
      <c r="S95" s="614"/>
      <c r="T95" s="614"/>
      <c r="U95" s="614"/>
      <c r="V95" s="614"/>
      <c r="W95" s="614"/>
      <c r="X95" s="614"/>
      <c r="Y95" s="614"/>
      <c r="Z95" s="614"/>
      <c r="AA95" s="614"/>
      <c r="AB95" s="614"/>
      <c r="AC95" s="614"/>
    </row>
    <row r="96" spans="1:29" ht="12.75" customHeight="1">
      <c r="A96" s="319"/>
      <c r="B96" s="614"/>
      <c r="C96" s="319"/>
      <c r="D96" s="614"/>
      <c r="E96" s="614"/>
      <c r="F96" s="614"/>
      <c r="G96" s="614"/>
      <c r="H96" s="614"/>
      <c r="I96" s="614"/>
      <c r="J96" s="614"/>
      <c r="K96" s="614"/>
      <c r="L96" s="614"/>
      <c r="M96" s="614"/>
      <c r="N96" s="614"/>
      <c r="O96" s="614"/>
      <c r="P96" s="614"/>
      <c r="Q96" s="614"/>
      <c r="R96" s="614"/>
      <c r="S96" s="614"/>
      <c r="T96" s="614"/>
      <c r="U96" s="614"/>
      <c r="V96" s="614"/>
      <c r="W96" s="614"/>
      <c r="X96" s="614"/>
      <c r="Y96" s="614"/>
      <c r="Z96" s="614"/>
      <c r="AA96" s="614"/>
      <c r="AB96" s="614"/>
      <c r="AC96" s="614"/>
    </row>
    <row r="97" spans="1:29" ht="12.75" customHeight="1">
      <c r="A97" s="319"/>
      <c r="B97" s="614"/>
      <c r="C97" s="319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4"/>
      <c r="Y97" s="614"/>
      <c r="Z97" s="614"/>
      <c r="AA97" s="614"/>
      <c r="AB97" s="614"/>
      <c r="AC97" s="614"/>
    </row>
    <row r="98" spans="1:29" ht="12.75" customHeight="1">
      <c r="A98" s="319"/>
      <c r="B98" s="614"/>
      <c r="C98" s="319"/>
      <c r="D98" s="614"/>
      <c r="E98" s="614"/>
      <c r="F98" s="614"/>
      <c r="G98" s="614"/>
      <c r="H98" s="614"/>
      <c r="I98" s="614"/>
      <c r="J98" s="614"/>
      <c r="K98" s="614"/>
      <c r="L98" s="614"/>
      <c r="M98" s="614"/>
      <c r="N98" s="614"/>
      <c r="O98" s="614"/>
      <c r="P98" s="614"/>
      <c r="Q98" s="614"/>
      <c r="R98" s="614"/>
      <c r="S98" s="614"/>
      <c r="T98" s="614"/>
      <c r="U98" s="614"/>
      <c r="V98" s="614"/>
      <c r="W98" s="614"/>
      <c r="X98" s="614"/>
      <c r="Y98" s="614"/>
      <c r="Z98" s="614"/>
      <c r="AA98" s="614"/>
      <c r="AB98" s="614"/>
      <c r="AC98" s="614"/>
    </row>
    <row r="99" spans="1:29" ht="12.75" customHeight="1">
      <c r="A99" s="319"/>
      <c r="B99" s="614"/>
      <c r="C99" s="319"/>
      <c r="D99" s="614"/>
      <c r="E99" s="614"/>
      <c r="F99" s="614"/>
      <c r="G99" s="614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4"/>
      <c r="S99" s="614"/>
      <c r="T99" s="614"/>
      <c r="U99" s="614"/>
      <c r="V99" s="614"/>
      <c r="W99" s="614"/>
      <c r="X99" s="614"/>
      <c r="Y99" s="614"/>
      <c r="Z99" s="614"/>
      <c r="AA99" s="614"/>
      <c r="AB99" s="614"/>
      <c r="AC99" s="614"/>
    </row>
    <row r="100" spans="1:29" ht="12.75" customHeight="1">
      <c r="A100" s="319"/>
      <c r="B100" s="614"/>
      <c r="C100" s="319"/>
      <c r="D100" s="614"/>
      <c r="E100" s="614"/>
      <c r="F100" s="614"/>
      <c r="G100" s="614"/>
      <c r="H100" s="614"/>
      <c r="I100" s="614"/>
      <c r="J100" s="614"/>
      <c r="K100" s="614"/>
      <c r="L100" s="614"/>
      <c r="M100" s="614"/>
      <c r="N100" s="614"/>
      <c r="O100" s="614"/>
      <c r="P100" s="614"/>
      <c r="Q100" s="614"/>
      <c r="R100" s="614"/>
      <c r="S100" s="614"/>
      <c r="T100" s="614"/>
      <c r="U100" s="614"/>
      <c r="V100" s="614"/>
      <c r="W100" s="614"/>
      <c r="X100" s="614"/>
      <c r="Y100" s="614"/>
      <c r="Z100" s="614"/>
      <c r="AA100" s="614"/>
      <c r="AB100" s="614"/>
      <c r="AC100" s="614"/>
    </row>
    <row r="101" spans="1:29" ht="12.75" customHeight="1">
      <c r="A101" s="319"/>
      <c r="B101" s="614"/>
      <c r="C101" s="319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14"/>
      <c r="Q101" s="614"/>
      <c r="R101" s="614"/>
      <c r="S101" s="614"/>
      <c r="T101" s="614"/>
      <c r="U101" s="614"/>
      <c r="V101" s="614"/>
      <c r="W101" s="614"/>
      <c r="X101" s="614"/>
      <c r="Y101" s="614"/>
      <c r="Z101" s="614"/>
      <c r="AA101" s="614"/>
      <c r="AB101" s="614"/>
      <c r="AC101" s="614"/>
    </row>
    <row r="102" spans="1:29" ht="12.75" customHeight="1">
      <c r="A102" s="319"/>
      <c r="B102" s="614"/>
      <c r="C102" s="319"/>
      <c r="D102" s="614"/>
      <c r="E102" s="614"/>
      <c r="F102" s="614"/>
      <c r="G102" s="614"/>
      <c r="H102" s="614"/>
      <c r="I102" s="614"/>
      <c r="J102" s="614"/>
      <c r="K102" s="614"/>
      <c r="L102" s="614"/>
      <c r="M102" s="614"/>
      <c r="N102" s="614"/>
      <c r="O102" s="614"/>
      <c r="P102" s="614"/>
      <c r="Q102" s="614"/>
      <c r="R102" s="614"/>
      <c r="S102" s="614"/>
      <c r="T102" s="614"/>
      <c r="U102" s="614"/>
      <c r="V102" s="614"/>
      <c r="W102" s="614"/>
      <c r="X102" s="614"/>
      <c r="Y102" s="614"/>
      <c r="Z102" s="614"/>
      <c r="AA102" s="614"/>
      <c r="AB102" s="614"/>
      <c r="AC102" s="614"/>
    </row>
    <row r="103" spans="1:29" ht="12.75" customHeight="1">
      <c r="A103" s="319"/>
      <c r="B103" s="614"/>
      <c r="C103" s="319"/>
      <c r="D103" s="614"/>
      <c r="E103" s="614"/>
      <c r="F103" s="614"/>
      <c r="G103" s="614"/>
      <c r="H103" s="614"/>
      <c r="I103" s="614"/>
      <c r="J103" s="614"/>
      <c r="K103" s="614"/>
      <c r="L103" s="614"/>
      <c r="M103" s="614"/>
      <c r="N103" s="614"/>
      <c r="O103" s="614"/>
      <c r="P103" s="614"/>
      <c r="Q103" s="614"/>
      <c r="R103" s="614"/>
      <c r="S103" s="614"/>
      <c r="T103" s="614"/>
      <c r="U103" s="614"/>
      <c r="V103" s="614"/>
      <c r="W103" s="614"/>
      <c r="X103" s="614"/>
      <c r="Y103" s="614"/>
      <c r="Z103" s="614"/>
      <c r="AA103" s="614"/>
      <c r="AB103" s="614"/>
      <c r="AC103" s="614"/>
    </row>
    <row r="104" spans="1:29" ht="12.75" customHeight="1">
      <c r="A104" s="319"/>
      <c r="B104" s="614"/>
      <c r="C104" s="319"/>
      <c r="D104" s="614"/>
      <c r="E104" s="614"/>
      <c r="F104" s="614"/>
      <c r="G104" s="614"/>
      <c r="H104" s="614"/>
      <c r="I104" s="614"/>
      <c r="J104" s="614"/>
      <c r="K104" s="614"/>
      <c r="L104" s="614"/>
      <c r="M104" s="614"/>
      <c r="N104" s="614"/>
      <c r="O104" s="614"/>
      <c r="P104" s="614"/>
      <c r="Q104" s="614"/>
      <c r="R104" s="614"/>
      <c r="S104" s="614"/>
      <c r="T104" s="614"/>
      <c r="U104" s="614"/>
      <c r="V104" s="614"/>
      <c r="W104" s="614"/>
      <c r="X104" s="614"/>
      <c r="Y104" s="614"/>
      <c r="Z104" s="614"/>
      <c r="AA104" s="614"/>
      <c r="AB104" s="614"/>
      <c r="AC104" s="614"/>
    </row>
    <row r="105" spans="1:29" ht="12.75" customHeight="1">
      <c r="A105" s="319"/>
      <c r="B105" s="614"/>
      <c r="C105" s="319"/>
      <c r="D105" s="614"/>
      <c r="E105" s="614"/>
      <c r="F105" s="614"/>
      <c r="G105" s="614"/>
      <c r="H105" s="614"/>
      <c r="I105" s="614"/>
      <c r="J105" s="614"/>
      <c r="K105" s="614"/>
      <c r="L105" s="614"/>
      <c r="M105" s="614"/>
      <c r="N105" s="614"/>
      <c r="O105" s="614"/>
      <c r="P105" s="614"/>
      <c r="Q105" s="614"/>
      <c r="R105" s="614"/>
      <c r="S105" s="614"/>
      <c r="T105" s="614"/>
      <c r="U105" s="614"/>
      <c r="V105" s="614"/>
      <c r="W105" s="614"/>
      <c r="X105" s="614"/>
      <c r="Y105" s="614"/>
      <c r="Z105" s="614"/>
      <c r="AA105" s="614"/>
      <c r="AB105" s="614"/>
      <c r="AC105" s="614"/>
    </row>
    <row r="106" spans="1:29" ht="12.75" customHeight="1">
      <c r="A106" s="319"/>
      <c r="B106" s="614"/>
      <c r="C106" s="319"/>
      <c r="D106" s="614"/>
      <c r="E106" s="614"/>
      <c r="F106" s="614"/>
      <c r="G106" s="614"/>
      <c r="H106" s="614"/>
      <c r="I106" s="614"/>
      <c r="J106" s="614"/>
      <c r="K106" s="614"/>
      <c r="L106" s="614"/>
      <c r="M106" s="614"/>
      <c r="N106" s="614"/>
      <c r="O106" s="614"/>
      <c r="P106" s="614"/>
      <c r="Q106" s="614"/>
      <c r="R106" s="614"/>
      <c r="S106" s="614"/>
      <c r="T106" s="614"/>
      <c r="U106" s="614"/>
      <c r="V106" s="614"/>
      <c r="W106" s="614"/>
      <c r="X106" s="614"/>
      <c r="Y106" s="614"/>
      <c r="Z106" s="614"/>
      <c r="AA106" s="614"/>
      <c r="AB106" s="614"/>
      <c r="AC106" s="614"/>
    </row>
    <row r="107" spans="1:29" ht="12.75" customHeight="1">
      <c r="A107" s="319"/>
      <c r="B107" s="614"/>
      <c r="C107" s="319"/>
      <c r="D107" s="614"/>
      <c r="E107" s="614"/>
      <c r="F107" s="614"/>
      <c r="G107" s="614"/>
      <c r="H107" s="614"/>
      <c r="I107" s="614"/>
      <c r="J107" s="614"/>
      <c r="K107" s="614"/>
      <c r="L107" s="614"/>
      <c r="M107" s="614"/>
      <c r="N107" s="614"/>
      <c r="O107" s="614"/>
      <c r="P107" s="614"/>
      <c r="Q107" s="614"/>
      <c r="R107" s="614"/>
      <c r="S107" s="614"/>
      <c r="T107" s="614"/>
      <c r="U107" s="614"/>
      <c r="V107" s="614"/>
      <c r="W107" s="614"/>
      <c r="X107" s="614"/>
      <c r="Y107" s="614"/>
      <c r="Z107" s="614"/>
      <c r="AA107" s="614"/>
      <c r="AB107" s="614"/>
      <c r="AC107" s="614"/>
    </row>
    <row r="108" spans="1:29" ht="12.75" customHeight="1">
      <c r="A108" s="319"/>
      <c r="B108" s="614"/>
      <c r="C108" s="319"/>
      <c r="D108" s="614"/>
      <c r="E108" s="614"/>
      <c r="F108" s="614"/>
      <c r="G108" s="614"/>
      <c r="H108" s="614"/>
      <c r="I108" s="614"/>
      <c r="J108" s="614"/>
      <c r="K108" s="614"/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4"/>
      <c r="Y108" s="614"/>
      <c r="Z108" s="614"/>
      <c r="AA108" s="614"/>
      <c r="AB108" s="614"/>
      <c r="AC108" s="614"/>
    </row>
    <row r="109" spans="1:29" ht="12.75" customHeight="1">
      <c r="A109" s="319"/>
      <c r="B109" s="614"/>
      <c r="C109" s="319"/>
      <c r="D109" s="614"/>
      <c r="E109" s="614"/>
      <c r="F109" s="614"/>
      <c r="G109" s="614"/>
      <c r="H109" s="614"/>
      <c r="I109" s="614"/>
      <c r="J109" s="614"/>
      <c r="K109" s="614"/>
      <c r="L109" s="614"/>
      <c r="M109" s="614"/>
      <c r="N109" s="614"/>
      <c r="O109" s="614"/>
      <c r="P109" s="614"/>
      <c r="Q109" s="614"/>
      <c r="R109" s="614"/>
      <c r="S109" s="614"/>
      <c r="T109" s="614"/>
      <c r="U109" s="614"/>
      <c r="V109" s="614"/>
      <c r="W109" s="614"/>
      <c r="X109" s="614"/>
      <c r="Y109" s="614"/>
      <c r="Z109" s="614"/>
      <c r="AA109" s="614"/>
      <c r="AB109" s="614"/>
      <c r="AC109" s="614"/>
    </row>
    <row r="110" spans="1:29" ht="12.75" customHeight="1">
      <c r="A110" s="319"/>
      <c r="B110" s="614"/>
      <c r="C110" s="319"/>
      <c r="D110" s="614"/>
      <c r="E110" s="614"/>
      <c r="F110" s="614"/>
      <c r="G110" s="614"/>
      <c r="H110" s="614"/>
      <c r="I110" s="614"/>
      <c r="J110" s="614"/>
      <c r="K110" s="614"/>
      <c r="L110" s="614"/>
      <c r="M110" s="614"/>
      <c r="N110" s="614"/>
      <c r="O110" s="614"/>
      <c r="P110" s="614"/>
      <c r="Q110" s="614"/>
      <c r="R110" s="614"/>
      <c r="S110" s="614"/>
      <c r="T110" s="614"/>
      <c r="U110" s="614"/>
      <c r="V110" s="614"/>
      <c r="W110" s="614"/>
      <c r="X110" s="614"/>
      <c r="Y110" s="614"/>
      <c r="Z110" s="614"/>
      <c r="AA110" s="614"/>
      <c r="AB110" s="614"/>
      <c r="AC110" s="614"/>
    </row>
    <row r="111" spans="1:29" ht="12.75" customHeight="1">
      <c r="A111" s="319"/>
      <c r="B111" s="614"/>
      <c r="C111" s="319"/>
      <c r="D111" s="614"/>
      <c r="E111" s="614"/>
      <c r="F111" s="614"/>
      <c r="G111" s="614"/>
      <c r="H111" s="614"/>
      <c r="I111" s="614"/>
      <c r="J111" s="614"/>
      <c r="K111" s="614"/>
      <c r="L111" s="614"/>
      <c r="M111" s="614"/>
      <c r="N111" s="614"/>
      <c r="O111" s="614"/>
      <c r="P111" s="614"/>
      <c r="Q111" s="614"/>
      <c r="R111" s="614"/>
      <c r="S111" s="614"/>
      <c r="T111" s="614"/>
      <c r="U111" s="614"/>
      <c r="V111" s="614"/>
      <c r="W111" s="614"/>
      <c r="X111" s="614"/>
      <c r="Y111" s="614"/>
      <c r="Z111" s="614"/>
      <c r="AA111" s="614"/>
      <c r="AB111" s="614"/>
      <c r="AC111" s="614"/>
    </row>
    <row r="112" spans="1:29" ht="12.75" customHeight="1">
      <c r="A112" s="319"/>
      <c r="B112" s="614"/>
      <c r="C112" s="319"/>
      <c r="D112" s="614"/>
      <c r="E112" s="614"/>
      <c r="F112" s="614"/>
      <c r="G112" s="614"/>
      <c r="H112" s="614"/>
      <c r="I112" s="614"/>
      <c r="J112" s="614"/>
      <c r="K112" s="614"/>
      <c r="L112" s="614"/>
      <c r="M112" s="614"/>
      <c r="N112" s="614"/>
      <c r="O112" s="614"/>
      <c r="P112" s="614"/>
      <c r="Q112" s="614"/>
      <c r="R112" s="614"/>
      <c r="S112" s="614"/>
      <c r="T112" s="614"/>
      <c r="U112" s="614"/>
      <c r="V112" s="614"/>
      <c r="W112" s="614"/>
      <c r="X112" s="614"/>
      <c r="Y112" s="614"/>
      <c r="Z112" s="614"/>
      <c r="AA112" s="614"/>
      <c r="AB112" s="614"/>
      <c r="AC112" s="614"/>
    </row>
    <row r="113" spans="1:29" ht="12.75" customHeight="1">
      <c r="A113" s="319"/>
      <c r="B113" s="614"/>
      <c r="C113" s="319"/>
      <c r="D113" s="614"/>
      <c r="E113" s="614"/>
      <c r="F113" s="614"/>
      <c r="G113" s="614"/>
      <c r="H113" s="614"/>
      <c r="I113" s="614"/>
      <c r="J113" s="614"/>
      <c r="K113" s="614"/>
      <c r="L113" s="614"/>
      <c r="M113" s="614"/>
      <c r="N113" s="614"/>
      <c r="O113" s="614"/>
      <c r="P113" s="614"/>
      <c r="Q113" s="614"/>
      <c r="R113" s="614"/>
      <c r="S113" s="614"/>
      <c r="T113" s="614"/>
      <c r="U113" s="614"/>
      <c r="V113" s="614"/>
      <c r="W113" s="614"/>
      <c r="X113" s="614"/>
      <c r="Y113" s="614"/>
      <c r="Z113" s="614"/>
      <c r="AA113" s="614"/>
      <c r="AB113" s="614"/>
      <c r="AC113" s="614"/>
    </row>
    <row r="114" spans="1:29" ht="12.75" customHeight="1">
      <c r="A114" s="319"/>
      <c r="B114" s="614"/>
      <c r="C114" s="319"/>
      <c r="D114" s="614"/>
      <c r="E114" s="614"/>
      <c r="F114" s="614"/>
      <c r="G114" s="614"/>
      <c r="H114" s="614"/>
      <c r="I114" s="614"/>
      <c r="J114" s="614"/>
      <c r="K114" s="614"/>
      <c r="L114" s="614"/>
      <c r="M114" s="614"/>
      <c r="N114" s="614"/>
      <c r="O114" s="614"/>
      <c r="P114" s="614"/>
      <c r="Q114" s="614"/>
      <c r="R114" s="614"/>
      <c r="S114" s="614"/>
      <c r="T114" s="614"/>
      <c r="U114" s="614"/>
      <c r="V114" s="614"/>
      <c r="W114" s="614"/>
      <c r="X114" s="614"/>
      <c r="Y114" s="614"/>
      <c r="Z114" s="614"/>
      <c r="AA114" s="614"/>
      <c r="AB114" s="614"/>
      <c r="AC114" s="614"/>
    </row>
    <row r="115" spans="1:29" ht="12.75" customHeight="1">
      <c r="A115" s="319"/>
      <c r="B115" s="614"/>
      <c r="C115" s="319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614"/>
      <c r="S115" s="614"/>
      <c r="T115" s="614"/>
      <c r="U115" s="614"/>
      <c r="V115" s="614"/>
      <c r="W115" s="614"/>
      <c r="X115" s="614"/>
      <c r="Y115" s="614"/>
      <c r="Z115" s="614"/>
      <c r="AA115" s="614"/>
      <c r="AB115" s="614"/>
      <c r="AC115" s="614"/>
    </row>
    <row r="116" spans="1:29" ht="12.75" customHeight="1">
      <c r="A116" s="319"/>
      <c r="B116" s="614"/>
      <c r="C116" s="319"/>
      <c r="D116" s="614"/>
      <c r="E116" s="614"/>
      <c r="F116" s="614"/>
      <c r="G116" s="614"/>
      <c r="H116" s="614"/>
      <c r="I116" s="614"/>
      <c r="J116" s="614"/>
      <c r="K116" s="614"/>
      <c r="L116" s="614"/>
      <c r="M116" s="614"/>
      <c r="N116" s="614"/>
      <c r="O116" s="614"/>
      <c r="P116" s="614"/>
      <c r="Q116" s="614"/>
      <c r="R116" s="614"/>
      <c r="S116" s="614"/>
      <c r="T116" s="614"/>
      <c r="U116" s="614"/>
      <c r="V116" s="614"/>
      <c r="W116" s="614"/>
      <c r="X116" s="614"/>
      <c r="Y116" s="614"/>
      <c r="Z116" s="614"/>
      <c r="AA116" s="614"/>
      <c r="AB116" s="614"/>
      <c r="AC116" s="614"/>
    </row>
    <row r="117" spans="1:29" ht="12.75" customHeight="1">
      <c r="A117" s="319"/>
      <c r="B117" s="614"/>
      <c r="C117" s="319"/>
      <c r="D117" s="614"/>
      <c r="E117" s="614"/>
      <c r="F117" s="614"/>
      <c r="G117" s="614"/>
      <c r="H117" s="614"/>
      <c r="I117" s="614"/>
      <c r="J117" s="614"/>
      <c r="K117" s="614"/>
      <c r="L117" s="614"/>
      <c r="M117" s="614"/>
      <c r="N117" s="614"/>
      <c r="O117" s="614"/>
      <c r="P117" s="614"/>
      <c r="Q117" s="614"/>
      <c r="R117" s="614"/>
      <c r="S117" s="614"/>
      <c r="T117" s="614"/>
      <c r="U117" s="614"/>
      <c r="V117" s="614"/>
      <c r="W117" s="614"/>
      <c r="X117" s="614"/>
      <c r="Y117" s="614"/>
      <c r="Z117" s="614"/>
      <c r="AA117" s="614"/>
      <c r="AB117" s="614"/>
      <c r="AC117" s="614"/>
    </row>
    <row r="118" spans="1:29" ht="12.75" customHeight="1">
      <c r="A118" s="319"/>
      <c r="B118" s="614"/>
      <c r="C118" s="319"/>
      <c r="D118" s="614"/>
      <c r="E118" s="614"/>
      <c r="F118" s="614"/>
      <c r="G118" s="614"/>
      <c r="H118" s="614"/>
      <c r="I118" s="614"/>
      <c r="J118" s="614"/>
      <c r="K118" s="614"/>
      <c r="L118" s="614"/>
      <c r="M118" s="614"/>
      <c r="N118" s="614"/>
      <c r="O118" s="614"/>
      <c r="P118" s="614"/>
      <c r="Q118" s="614"/>
      <c r="R118" s="614"/>
      <c r="S118" s="614"/>
      <c r="T118" s="614"/>
      <c r="U118" s="614"/>
      <c r="V118" s="614"/>
      <c r="W118" s="614"/>
      <c r="X118" s="614"/>
      <c r="Y118" s="614"/>
      <c r="Z118" s="614"/>
      <c r="AA118" s="614"/>
      <c r="AB118" s="614"/>
      <c r="AC118" s="614"/>
    </row>
    <row r="119" spans="1:29" ht="12.75" customHeight="1">
      <c r="A119" s="319"/>
      <c r="B119" s="614"/>
      <c r="C119" s="319"/>
      <c r="D119" s="614"/>
      <c r="E119" s="614"/>
      <c r="F119" s="614"/>
      <c r="G119" s="614"/>
      <c r="H119" s="614"/>
      <c r="I119" s="614"/>
      <c r="J119" s="614"/>
      <c r="K119" s="614"/>
      <c r="L119" s="614"/>
      <c r="M119" s="614"/>
      <c r="N119" s="614"/>
      <c r="O119" s="614"/>
      <c r="P119" s="614"/>
      <c r="Q119" s="614"/>
      <c r="R119" s="614"/>
      <c r="S119" s="614"/>
      <c r="T119" s="614"/>
      <c r="U119" s="614"/>
      <c r="V119" s="614"/>
      <c r="W119" s="614"/>
      <c r="X119" s="614"/>
      <c r="Y119" s="614"/>
      <c r="Z119" s="614"/>
      <c r="AA119" s="614"/>
      <c r="AB119" s="614"/>
      <c r="AC119" s="614"/>
    </row>
    <row r="120" spans="1:29" ht="12.75" customHeight="1">
      <c r="A120" s="319"/>
      <c r="B120" s="614"/>
      <c r="C120" s="319"/>
      <c r="D120" s="614"/>
      <c r="E120" s="614"/>
      <c r="F120" s="614"/>
      <c r="G120" s="614"/>
      <c r="H120" s="614"/>
      <c r="I120" s="614"/>
      <c r="J120" s="614"/>
      <c r="K120" s="614"/>
      <c r="L120" s="614"/>
      <c r="M120" s="614"/>
      <c r="N120" s="614"/>
      <c r="O120" s="614"/>
      <c r="P120" s="614"/>
      <c r="Q120" s="614"/>
      <c r="R120" s="614"/>
      <c r="S120" s="614"/>
      <c r="T120" s="614"/>
      <c r="U120" s="614"/>
      <c r="V120" s="614"/>
      <c r="W120" s="614"/>
      <c r="X120" s="614"/>
      <c r="Y120" s="614"/>
      <c r="Z120" s="614"/>
      <c r="AA120" s="614"/>
      <c r="AB120" s="614"/>
      <c r="AC120" s="614"/>
    </row>
    <row r="121" spans="1:29" ht="12.75" customHeight="1">
      <c r="A121" s="319"/>
      <c r="B121" s="614"/>
      <c r="C121" s="319"/>
      <c r="D121" s="614"/>
      <c r="E121" s="614"/>
      <c r="F121" s="614"/>
      <c r="G121" s="614"/>
      <c r="H121" s="614"/>
      <c r="I121" s="614"/>
      <c r="J121" s="614"/>
      <c r="K121" s="614"/>
      <c r="L121" s="614"/>
      <c r="M121" s="614"/>
      <c r="N121" s="614"/>
      <c r="O121" s="614"/>
      <c r="P121" s="614"/>
      <c r="Q121" s="614"/>
      <c r="R121" s="614"/>
      <c r="S121" s="614"/>
      <c r="T121" s="614"/>
      <c r="U121" s="614"/>
      <c r="V121" s="614"/>
      <c r="W121" s="614"/>
      <c r="X121" s="614"/>
      <c r="Y121" s="614"/>
      <c r="Z121" s="614"/>
      <c r="AA121" s="614"/>
      <c r="AB121" s="614"/>
      <c r="AC121" s="614"/>
    </row>
    <row r="122" spans="1:29" ht="12.75" customHeight="1">
      <c r="A122" s="319"/>
      <c r="B122" s="614"/>
      <c r="C122" s="319"/>
      <c r="D122" s="614"/>
      <c r="E122" s="614"/>
      <c r="F122" s="614"/>
      <c r="G122" s="614"/>
      <c r="H122" s="614"/>
      <c r="I122" s="614"/>
      <c r="J122" s="614"/>
      <c r="K122" s="614"/>
      <c r="L122" s="614"/>
      <c r="M122" s="614"/>
      <c r="N122" s="614"/>
      <c r="O122" s="614"/>
      <c r="P122" s="614"/>
      <c r="Q122" s="614"/>
      <c r="R122" s="614"/>
      <c r="S122" s="614"/>
      <c r="T122" s="614"/>
      <c r="U122" s="614"/>
      <c r="V122" s="614"/>
      <c r="W122" s="614"/>
      <c r="X122" s="614"/>
      <c r="Y122" s="614"/>
      <c r="Z122" s="614"/>
      <c r="AA122" s="614"/>
      <c r="AB122" s="614"/>
      <c r="AC122" s="614"/>
    </row>
    <row r="123" spans="1:29" ht="12.75" customHeight="1">
      <c r="A123" s="319"/>
      <c r="B123" s="614"/>
      <c r="C123" s="319"/>
      <c r="D123" s="614"/>
      <c r="E123" s="614"/>
      <c r="F123" s="614"/>
      <c r="G123" s="614"/>
      <c r="H123" s="614"/>
      <c r="I123" s="614"/>
      <c r="J123" s="614"/>
      <c r="K123" s="614"/>
      <c r="L123" s="614"/>
      <c r="M123" s="614"/>
      <c r="N123" s="614"/>
      <c r="O123" s="614"/>
      <c r="P123" s="614"/>
      <c r="Q123" s="614"/>
      <c r="R123" s="614"/>
      <c r="S123" s="614"/>
      <c r="T123" s="614"/>
      <c r="U123" s="614"/>
      <c r="V123" s="614"/>
      <c r="W123" s="614"/>
      <c r="X123" s="614"/>
      <c r="Y123" s="614"/>
      <c r="Z123" s="614"/>
      <c r="AA123" s="614"/>
      <c r="AB123" s="614"/>
      <c r="AC123" s="614"/>
    </row>
    <row r="124" spans="1:29" ht="12.75" customHeight="1">
      <c r="A124" s="319"/>
      <c r="B124" s="614"/>
      <c r="C124" s="319"/>
      <c r="D124" s="614"/>
      <c r="E124" s="614"/>
      <c r="F124" s="614"/>
      <c r="G124" s="614"/>
      <c r="H124" s="614"/>
      <c r="I124" s="614"/>
      <c r="J124" s="614"/>
      <c r="K124" s="614"/>
      <c r="L124" s="614"/>
      <c r="M124" s="614"/>
      <c r="N124" s="614"/>
      <c r="O124" s="614"/>
      <c r="P124" s="614"/>
      <c r="Q124" s="614"/>
      <c r="R124" s="614"/>
      <c r="S124" s="614"/>
      <c r="T124" s="614"/>
      <c r="U124" s="614"/>
      <c r="V124" s="614"/>
      <c r="W124" s="614"/>
      <c r="X124" s="614"/>
      <c r="Y124" s="614"/>
      <c r="Z124" s="614"/>
      <c r="AA124" s="614"/>
      <c r="AB124" s="614"/>
      <c r="AC124" s="614"/>
    </row>
    <row r="125" spans="1:29" ht="12.75" customHeight="1">
      <c r="A125" s="319"/>
      <c r="B125" s="614"/>
      <c r="C125" s="319"/>
      <c r="D125" s="614"/>
      <c r="E125" s="614"/>
      <c r="F125" s="614"/>
      <c r="G125" s="614"/>
      <c r="H125" s="614"/>
      <c r="I125" s="614"/>
      <c r="J125" s="614"/>
      <c r="K125" s="614"/>
      <c r="L125" s="614"/>
      <c r="M125" s="614"/>
      <c r="N125" s="614"/>
      <c r="O125" s="614"/>
      <c r="P125" s="614"/>
      <c r="Q125" s="614"/>
      <c r="R125" s="614"/>
      <c r="S125" s="614"/>
      <c r="T125" s="614"/>
      <c r="U125" s="614"/>
      <c r="V125" s="614"/>
      <c r="W125" s="614"/>
      <c r="X125" s="614"/>
      <c r="Y125" s="614"/>
      <c r="Z125" s="614"/>
      <c r="AA125" s="614"/>
      <c r="AB125" s="614"/>
      <c r="AC125" s="614"/>
    </row>
    <row r="126" spans="1:29" ht="12.75" customHeight="1">
      <c r="A126" s="319"/>
      <c r="B126" s="614"/>
      <c r="C126" s="319"/>
      <c r="D126" s="614"/>
      <c r="E126" s="614"/>
      <c r="F126" s="614"/>
      <c r="G126" s="614"/>
      <c r="H126" s="614"/>
      <c r="I126" s="614"/>
      <c r="J126" s="614"/>
      <c r="K126" s="614"/>
      <c r="L126" s="614"/>
      <c r="M126" s="614"/>
      <c r="N126" s="614"/>
      <c r="O126" s="614"/>
      <c r="P126" s="614"/>
      <c r="Q126" s="614"/>
      <c r="R126" s="614"/>
      <c r="S126" s="614"/>
      <c r="T126" s="614"/>
      <c r="U126" s="614"/>
      <c r="V126" s="614"/>
      <c r="W126" s="614"/>
      <c r="X126" s="614"/>
      <c r="Y126" s="614"/>
      <c r="Z126" s="614"/>
      <c r="AA126" s="614"/>
      <c r="AB126" s="614"/>
      <c r="AC126" s="614"/>
    </row>
    <row r="127" spans="1:29" ht="12.75" customHeight="1">
      <c r="A127" s="319"/>
      <c r="B127" s="614"/>
      <c r="C127" s="319"/>
      <c r="D127" s="614"/>
      <c r="E127" s="614"/>
      <c r="F127" s="614"/>
      <c r="G127" s="614"/>
      <c r="H127" s="614"/>
      <c r="I127" s="614"/>
      <c r="J127" s="614"/>
      <c r="K127" s="614"/>
      <c r="L127" s="614"/>
      <c r="M127" s="614"/>
      <c r="N127" s="614"/>
      <c r="O127" s="614"/>
      <c r="P127" s="614"/>
      <c r="Q127" s="614"/>
      <c r="R127" s="614"/>
      <c r="S127" s="614"/>
      <c r="T127" s="614"/>
      <c r="U127" s="614"/>
      <c r="V127" s="614"/>
      <c r="W127" s="614"/>
      <c r="X127" s="614"/>
      <c r="Y127" s="614"/>
      <c r="Z127" s="614"/>
      <c r="AA127" s="614"/>
      <c r="AB127" s="614"/>
      <c r="AC127" s="614"/>
    </row>
    <row r="128" spans="1:29" ht="12.75" customHeight="1">
      <c r="A128" s="319"/>
      <c r="B128" s="614"/>
      <c r="C128" s="319"/>
      <c r="D128" s="614"/>
      <c r="E128" s="614"/>
      <c r="F128" s="614"/>
      <c r="G128" s="614"/>
      <c r="H128" s="614"/>
      <c r="I128" s="614"/>
      <c r="J128" s="614"/>
      <c r="K128" s="614"/>
      <c r="L128" s="614"/>
      <c r="M128" s="614"/>
      <c r="N128" s="614"/>
      <c r="O128" s="614"/>
      <c r="P128" s="614"/>
      <c r="Q128" s="614"/>
      <c r="R128" s="614"/>
      <c r="S128" s="614"/>
      <c r="T128" s="614"/>
      <c r="U128" s="614"/>
      <c r="V128" s="614"/>
      <c r="W128" s="614"/>
      <c r="X128" s="614"/>
      <c r="Y128" s="614"/>
      <c r="Z128" s="614"/>
      <c r="AA128" s="614"/>
      <c r="AB128" s="614"/>
      <c r="AC128" s="614"/>
    </row>
    <row r="129" spans="1:29" ht="12.75" customHeight="1">
      <c r="A129" s="319"/>
      <c r="B129" s="614"/>
      <c r="C129" s="319"/>
      <c r="D129" s="614"/>
      <c r="E129" s="614"/>
      <c r="F129" s="614"/>
      <c r="G129" s="614"/>
      <c r="H129" s="614"/>
      <c r="I129" s="614"/>
      <c r="J129" s="614"/>
      <c r="K129" s="614"/>
      <c r="L129" s="614"/>
      <c r="M129" s="614"/>
      <c r="N129" s="614"/>
      <c r="O129" s="614"/>
      <c r="P129" s="614"/>
      <c r="Q129" s="614"/>
      <c r="R129" s="614"/>
      <c r="S129" s="614"/>
      <c r="T129" s="614"/>
      <c r="U129" s="614"/>
      <c r="V129" s="614"/>
      <c r="W129" s="614"/>
      <c r="X129" s="614"/>
      <c r="Y129" s="614"/>
      <c r="Z129" s="614"/>
      <c r="AA129" s="614"/>
      <c r="AB129" s="614"/>
      <c r="AC129" s="614"/>
    </row>
    <row r="130" spans="1:29" ht="12.75" customHeight="1">
      <c r="A130" s="319"/>
      <c r="B130" s="614"/>
      <c r="C130" s="319"/>
      <c r="D130" s="614"/>
      <c r="E130" s="614"/>
      <c r="F130" s="614"/>
      <c r="G130" s="614"/>
      <c r="H130" s="614"/>
      <c r="I130" s="614"/>
      <c r="J130" s="614"/>
      <c r="K130" s="614"/>
      <c r="L130" s="614"/>
      <c r="M130" s="614"/>
      <c r="N130" s="614"/>
      <c r="O130" s="614"/>
      <c r="P130" s="614"/>
      <c r="Q130" s="614"/>
      <c r="R130" s="614"/>
      <c r="S130" s="614"/>
      <c r="T130" s="614"/>
      <c r="U130" s="614"/>
      <c r="V130" s="614"/>
      <c r="W130" s="614"/>
      <c r="X130" s="614"/>
      <c r="Y130" s="614"/>
      <c r="Z130" s="614"/>
      <c r="AA130" s="614"/>
      <c r="AB130" s="614"/>
      <c r="AC130" s="614"/>
    </row>
    <row r="131" spans="1:29" ht="12.75" customHeight="1">
      <c r="A131" s="319"/>
      <c r="B131" s="614"/>
      <c r="C131" s="319"/>
      <c r="D131" s="614"/>
      <c r="E131" s="614"/>
      <c r="F131" s="614"/>
      <c r="G131" s="614"/>
      <c r="H131" s="614"/>
      <c r="I131" s="614"/>
      <c r="J131" s="614"/>
      <c r="K131" s="614"/>
      <c r="L131" s="614"/>
      <c r="M131" s="614"/>
      <c r="N131" s="614"/>
      <c r="O131" s="614"/>
      <c r="P131" s="614"/>
      <c r="Q131" s="614"/>
      <c r="R131" s="614"/>
      <c r="S131" s="614"/>
      <c r="T131" s="614"/>
      <c r="U131" s="614"/>
      <c r="V131" s="614"/>
      <c r="W131" s="614"/>
      <c r="X131" s="614"/>
      <c r="Y131" s="614"/>
      <c r="Z131" s="614"/>
      <c r="AA131" s="614"/>
      <c r="AB131" s="614"/>
      <c r="AC131" s="614"/>
    </row>
    <row r="132" spans="1:29" ht="12.75" customHeight="1">
      <c r="A132" s="319"/>
      <c r="B132" s="614"/>
      <c r="C132" s="319"/>
      <c r="D132" s="614"/>
      <c r="E132" s="614"/>
      <c r="F132" s="614"/>
      <c r="G132" s="614"/>
      <c r="H132" s="614"/>
      <c r="I132" s="614"/>
      <c r="J132" s="614"/>
      <c r="K132" s="614"/>
      <c r="L132" s="614"/>
      <c r="M132" s="614"/>
      <c r="N132" s="614"/>
      <c r="O132" s="614"/>
      <c r="P132" s="614"/>
      <c r="Q132" s="614"/>
      <c r="R132" s="614"/>
      <c r="S132" s="614"/>
      <c r="T132" s="614"/>
      <c r="U132" s="614"/>
      <c r="V132" s="614"/>
      <c r="W132" s="614"/>
      <c r="X132" s="614"/>
      <c r="Y132" s="614"/>
      <c r="Z132" s="614"/>
      <c r="AA132" s="614"/>
      <c r="AB132" s="614"/>
      <c r="AC132" s="614"/>
    </row>
    <row r="133" spans="1:29" ht="12.75" customHeight="1">
      <c r="A133" s="319"/>
      <c r="B133" s="614"/>
      <c r="C133" s="319"/>
      <c r="D133" s="614"/>
      <c r="E133" s="614"/>
      <c r="F133" s="614"/>
      <c r="G133" s="614"/>
      <c r="H133" s="614"/>
      <c r="I133" s="614"/>
      <c r="J133" s="614"/>
      <c r="K133" s="614"/>
      <c r="L133" s="614"/>
      <c r="M133" s="614"/>
      <c r="N133" s="614"/>
      <c r="O133" s="614"/>
      <c r="P133" s="614"/>
      <c r="Q133" s="614"/>
      <c r="R133" s="614"/>
      <c r="S133" s="614"/>
      <c r="T133" s="614"/>
      <c r="U133" s="614"/>
      <c r="V133" s="614"/>
      <c r="W133" s="614"/>
      <c r="X133" s="614"/>
      <c r="Y133" s="614"/>
      <c r="Z133" s="614"/>
      <c r="AA133" s="614"/>
      <c r="AB133" s="614"/>
      <c r="AC133" s="614"/>
    </row>
    <row r="134" spans="1:29" ht="12.75" customHeight="1">
      <c r="A134" s="319"/>
      <c r="B134" s="614"/>
      <c r="C134" s="319"/>
      <c r="D134" s="614"/>
      <c r="E134" s="614"/>
      <c r="F134" s="614"/>
      <c r="G134" s="614"/>
      <c r="H134" s="614"/>
      <c r="I134" s="614"/>
      <c r="J134" s="614"/>
      <c r="K134" s="614"/>
      <c r="L134" s="614"/>
      <c r="M134" s="614"/>
      <c r="N134" s="614"/>
      <c r="O134" s="614"/>
      <c r="P134" s="614"/>
      <c r="Q134" s="614"/>
      <c r="R134" s="614"/>
      <c r="S134" s="614"/>
      <c r="T134" s="614"/>
      <c r="U134" s="614"/>
      <c r="V134" s="614"/>
      <c r="W134" s="614"/>
      <c r="X134" s="614"/>
      <c r="Y134" s="614"/>
      <c r="Z134" s="614"/>
      <c r="AA134" s="614"/>
      <c r="AB134" s="614"/>
      <c r="AC134" s="614"/>
    </row>
    <row r="135" spans="1:29" ht="12.75" customHeight="1">
      <c r="A135" s="319"/>
      <c r="B135" s="614"/>
      <c r="C135" s="319"/>
      <c r="D135" s="614"/>
      <c r="E135" s="614"/>
      <c r="F135" s="614"/>
      <c r="G135" s="614"/>
      <c r="H135" s="614"/>
      <c r="I135" s="614"/>
      <c r="J135" s="614"/>
      <c r="K135" s="614"/>
      <c r="L135" s="614"/>
      <c r="M135" s="614"/>
      <c r="N135" s="614"/>
      <c r="O135" s="614"/>
      <c r="P135" s="614"/>
      <c r="Q135" s="614"/>
      <c r="R135" s="614"/>
      <c r="S135" s="614"/>
      <c r="T135" s="614"/>
      <c r="U135" s="614"/>
      <c r="V135" s="614"/>
      <c r="W135" s="614"/>
      <c r="X135" s="614"/>
      <c r="Y135" s="614"/>
      <c r="Z135" s="614"/>
      <c r="AA135" s="614"/>
      <c r="AB135" s="614"/>
      <c r="AC135" s="614"/>
    </row>
    <row r="136" spans="1:29" ht="12.75" customHeight="1">
      <c r="A136" s="319"/>
      <c r="B136" s="614"/>
      <c r="C136" s="319"/>
      <c r="D136" s="614"/>
      <c r="E136" s="614"/>
      <c r="F136" s="614"/>
      <c r="G136" s="614"/>
      <c r="H136" s="614"/>
      <c r="I136" s="614"/>
      <c r="J136" s="614"/>
      <c r="K136" s="614"/>
      <c r="L136" s="614"/>
      <c r="M136" s="614"/>
      <c r="N136" s="614"/>
      <c r="O136" s="614"/>
      <c r="P136" s="614"/>
      <c r="Q136" s="614"/>
      <c r="R136" s="614"/>
      <c r="S136" s="614"/>
      <c r="T136" s="614"/>
      <c r="U136" s="614"/>
      <c r="V136" s="614"/>
      <c r="W136" s="614"/>
      <c r="X136" s="614"/>
      <c r="Y136" s="614"/>
      <c r="Z136" s="614"/>
      <c r="AA136" s="614"/>
      <c r="AB136" s="614"/>
      <c r="AC136" s="614"/>
    </row>
    <row r="137" spans="1:29" ht="12.75" customHeight="1">
      <c r="A137" s="319"/>
      <c r="B137" s="614"/>
      <c r="C137" s="319"/>
      <c r="D137" s="614"/>
      <c r="E137" s="614"/>
      <c r="F137" s="614"/>
      <c r="G137" s="614"/>
      <c r="H137" s="614"/>
      <c r="I137" s="614"/>
      <c r="J137" s="614"/>
      <c r="K137" s="614"/>
      <c r="L137" s="614"/>
      <c r="M137" s="614"/>
      <c r="N137" s="614"/>
      <c r="O137" s="614"/>
      <c r="P137" s="614"/>
      <c r="Q137" s="614"/>
      <c r="R137" s="614"/>
      <c r="S137" s="614"/>
      <c r="T137" s="614"/>
      <c r="U137" s="614"/>
      <c r="V137" s="614"/>
      <c r="W137" s="614"/>
      <c r="X137" s="614"/>
      <c r="Y137" s="614"/>
      <c r="Z137" s="614"/>
      <c r="AA137" s="614"/>
      <c r="AB137" s="614"/>
      <c r="AC137" s="614"/>
    </row>
    <row r="138" spans="1:29" ht="12.75" customHeight="1">
      <c r="A138" s="319"/>
      <c r="B138" s="614"/>
      <c r="C138" s="319"/>
      <c r="D138" s="614"/>
      <c r="E138" s="614"/>
      <c r="F138" s="614"/>
      <c r="G138" s="614"/>
      <c r="H138" s="614"/>
      <c r="I138" s="614"/>
      <c r="J138" s="614"/>
      <c r="K138" s="614"/>
      <c r="L138" s="614"/>
      <c r="M138" s="614"/>
      <c r="N138" s="614"/>
      <c r="O138" s="614"/>
      <c r="P138" s="614"/>
      <c r="Q138" s="614"/>
      <c r="R138" s="614"/>
      <c r="S138" s="614"/>
      <c r="T138" s="614"/>
      <c r="U138" s="614"/>
      <c r="V138" s="614"/>
      <c r="W138" s="614"/>
      <c r="X138" s="614"/>
      <c r="Y138" s="614"/>
      <c r="Z138" s="614"/>
      <c r="AA138" s="614"/>
      <c r="AB138" s="614"/>
      <c r="AC138" s="614"/>
    </row>
    <row r="139" spans="1:29" ht="12.75" customHeight="1">
      <c r="A139" s="319"/>
      <c r="B139" s="614"/>
      <c r="C139" s="319"/>
      <c r="D139" s="614"/>
      <c r="E139" s="614"/>
      <c r="F139" s="614"/>
      <c r="G139" s="614"/>
      <c r="H139" s="614"/>
      <c r="I139" s="614"/>
      <c r="J139" s="614"/>
      <c r="K139" s="614"/>
      <c r="L139" s="614"/>
      <c r="M139" s="614"/>
      <c r="N139" s="614"/>
      <c r="O139" s="614"/>
      <c r="P139" s="614"/>
      <c r="Q139" s="614"/>
      <c r="R139" s="614"/>
      <c r="S139" s="614"/>
      <c r="T139" s="614"/>
      <c r="U139" s="614"/>
      <c r="V139" s="614"/>
      <c r="W139" s="614"/>
      <c r="X139" s="614"/>
      <c r="Y139" s="614"/>
      <c r="Z139" s="614"/>
      <c r="AA139" s="614"/>
      <c r="AB139" s="614"/>
      <c r="AC139" s="614"/>
    </row>
    <row r="140" spans="1:29" ht="12.75" customHeight="1">
      <c r="A140" s="319"/>
      <c r="B140" s="614"/>
      <c r="C140" s="319"/>
      <c r="D140" s="614"/>
      <c r="E140" s="614"/>
      <c r="F140" s="614"/>
      <c r="G140" s="614"/>
      <c r="H140" s="614"/>
      <c r="I140" s="614"/>
      <c r="J140" s="614"/>
      <c r="K140" s="614"/>
      <c r="L140" s="614"/>
      <c r="M140" s="614"/>
      <c r="N140" s="614"/>
      <c r="O140" s="614"/>
      <c r="P140" s="614"/>
      <c r="Q140" s="614"/>
      <c r="R140" s="614"/>
      <c r="S140" s="614"/>
      <c r="T140" s="614"/>
      <c r="U140" s="614"/>
      <c r="V140" s="614"/>
      <c r="W140" s="614"/>
      <c r="X140" s="614"/>
      <c r="Y140" s="614"/>
      <c r="Z140" s="614"/>
      <c r="AA140" s="614"/>
      <c r="AB140" s="614"/>
      <c r="AC140" s="614"/>
    </row>
    <row r="141" spans="1:29" ht="12.75" customHeight="1">
      <c r="A141" s="319"/>
      <c r="B141" s="614"/>
      <c r="C141" s="319"/>
      <c r="D141" s="614"/>
      <c r="E141" s="614"/>
      <c r="F141" s="614"/>
      <c r="G141" s="614"/>
      <c r="H141" s="614"/>
      <c r="I141" s="614"/>
      <c r="J141" s="614"/>
      <c r="K141" s="614"/>
      <c r="L141" s="614"/>
      <c r="M141" s="614"/>
      <c r="N141" s="614"/>
      <c r="O141" s="614"/>
      <c r="P141" s="614"/>
      <c r="Q141" s="614"/>
      <c r="R141" s="614"/>
      <c r="S141" s="614"/>
      <c r="T141" s="614"/>
      <c r="U141" s="614"/>
      <c r="V141" s="614"/>
      <c r="W141" s="614"/>
      <c r="X141" s="614"/>
      <c r="Y141" s="614"/>
      <c r="Z141" s="614"/>
      <c r="AA141" s="614"/>
      <c r="AB141" s="614"/>
      <c r="AC141" s="614"/>
    </row>
    <row r="142" spans="1:29" ht="12.75" customHeight="1">
      <c r="A142" s="319"/>
      <c r="B142" s="614"/>
      <c r="C142" s="319"/>
      <c r="D142" s="614"/>
      <c r="E142" s="614"/>
      <c r="F142" s="614"/>
      <c r="G142" s="614"/>
      <c r="H142" s="614"/>
      <c r="I142" s="614"/>
      <c r="J142" s="614"/>
      <c r="K142" s="614"/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4"/>
      <c r="Y142" s="614"/>
      <c r="Z142" s="614"/>
      <c r="AA142" s="614"/>
      <c r="AB142" s="614"/>
      <c r="AC142" s="614"/>
    </row>
    <row r="143" spans="1:29" ht="12.75" customHeight="1">
      <c r="A143" s="319"/>
      <c r="B143" s="614"/>
      <c r="C143" s="319"/>
      <c r="D143" s="614"/>
      <c r="E143" s="614"/>
      <c r="F143" s="614"/>
      <c r="G143" s="614"/>
      <c r="H143" s="614"/>
      <c r="I143" s="614"/>
      <c r="J143" s="614"/>
      <c r="K143" s="614"/>
      <c r="L143" s="614"/>
      <c r="M143" s="614"/>
      <c r="N143" s="614"/>
      <c r="O143" s="614"/>
      <c r="P143" s="614"/>
      <c r="Q143" s="614"/>
      <c r="R143" s="614"/>
      <c r="S143" s="614"/>
      <c r="T143" s="614"/>
      <c r="U143" s="614"/>
      <c r="V143" s="614"/>
      <c r="W143" s="614"/>
      <c r="X143" s="614"/>
      <c r="Y143" s="614"/>
      <c r="Z143" s="614"/>
      <c r="AA143" s="614"/>
      <c r="AB143" s="614"/>
      <c r="AC143" s="614"/>
    </row>
    <row r="144" spans="1:29" ht="12.75" customHeight="1">
      <c r="A144" s="319"/>
      <c r="B144" s="614"/>
      <c r="C144" s="319"/>
      <c r="D144" s="614"/>
      <c r="E144" s="614"/>
      <c r="F144" s="614"/>
      <c r="G144" s="614"/>
      <c r="H144" s="614"/>
      <c r="I144" s="614"/>
      <c r="J144" s="614"/>
      <c r="K144" s="614"/>
      <c r="L144" s="614"/>
      <c r="M144" s="614"/>
      <c r="N144" s="614"/>
      <c r="O144" s="614"/>
      <c r="P144" s="614"/>
      <c r="Q144" s="614"/>
      <c r="R144" s="614"/>
      <c r="S144" s="614"/>
      <c r="T144" s="614"/>
      <c r="U144" s="614"/>
      <c r="V144" s="614"/>
      <c r="W144" s="614"/>
      <c r="X144" s="614"/>
      <c r="Y144" s="614"/>
      <c r="Z144" s="614"/>
      <c r="AA144" s="614"/>
      <c r="AB144" s="614"/>
      <c r="AC144" s="614"/>
    </row>
    <row r="145" spans="1:29" ht="12.75" customHeight="1">
      <c r="A145" s="319"/>
      <c r="B145" s="614"/>
      <c r="C145" s="319"/>
      <c r="D145" s="614"/>
      <c r="E145" s="614"/>
      <c r="F145" s="614"/>
      <c r="G145" s="614"/>
      <c r="H145" s="614"/>
      <c r="I145" s="614"/>
      <c r="J145" s="614"/>
      <c r="K145" s="614"/>
      <c r="L145" s="614"/>
      <c r="M145" s="614"/>
      <c r="N145" s="614"/>
      <c r="O145" s="614"/>
      <c r="P145" s="614"/>
      <c r="Q145" s="614"/>
      <c r="R145" s="614"/>
      <c r="S145" s="614"/>
      <c r="T145" s="614"/>
      <c r="U145" s="614"/>
      <c r="V145" s="614"/>
      <c r="W145" s="614"/>
      <c r="X145" s="614"/>
      <c r="Y145" s="614"/>
      <c r="Z145" s="614"/>
      <c r="AA145" s="614"/>
      <c r="AB145" s="614"/>
      <c r="AC145" s="614"/>
    </row>
    <row r="146" spans="1:29" ht="12.75" customHeight="1">
      <c r="A146" s="319"/>
      <c r="B146" s="614"/>
      <c r="C146" s="319"/>
      <c r="D146" s="614"/>
      <c r="E146" s="614"/>
      <c r="F146" s="614"/>
      <c r="G146" s="614"/>
      <c r="H146" s="614"/>
      <c r="I146" s="614"/>
      <c r="J146" s="614"/>
      <c r="K146" s="614"/>
      <c r="L146" s="614"/>
      <c r="M146" s="614"/>
      <c r="N146" s="614"/>
      <c r="O146" s="614"/>
      <c r="P146" s="614"/>
      <c r="Q146" s="614"/>
      <c r="R146" s="614"/>
      <c r="S146" s="614"/>
      <c r="T146" s="614"/>
      <c r="U146" s="614"/>
      <c r="V146" s="614"/>
      <c r="W146" s="614"/>
      <c r="X146" s="614"/>
      <c r="Y146" s="614"/>
      <c r="Z146" s="614"/>
      <c r="AA146" s="614"/>
      <c r="AB146" s="614"/>
      <c r="AC146" s="614"/>
    </row>
    <row r="147" spans="1:29" ht="12.75" customHeight="1">
      <c r="A147" s="319"/>
      <c r="B147" s="614"/>
      <c r="C147" s="319"/>
      <c r="D147" s="614"/>
      <c r="E147" s="614"/>
      <c r="F147" s="614"/>
      <c r="G147" s="614"/>
      <c r="H147" s="614"/>
      <c r="I147" s="614"/>
      <c r="J147" s="614"/>
      <c r="K147" s="614"/>
      <c r="L147" s="614"/>
      <c r="M147" s="614"/>
      <c r="N147" s="614"/>
      <c r="O147" s="614"/>
      <c r="P147" s="614"/>
      <c r="Q147" s="614"/>
      <c r="R147" s="614"/>
      <c r="S147" s="614"/>
      <c r="T147" s="614"/>
      <c r="U147" s="614"/>
      <c r="V147" s="614"/>
      <c r="W147" s="614"/>
      <c r="X147" s="614"/>
      <c r="Y147" s="614"/>
      <c r="Z147" s="614"/>
      <c r="AA147" s="614"/>
      <c r="AB147" s="614"/>
      <c r="AC147" s="614"/>
    </row>
    <row r="148" spans="1:29" ht="12.75" customHeight="1">
      <c r="A148" s="319"/>
      <c r="B148" s="614"/>
      <c r="C148" s="319"/>
      <c r="D148" s="614"/>
      <c r="E148" s="614"/>
      <c r="F148" s="614"/>
      <c r="G148" s="614"/>
      <c r="H148" s="614"/>
      <c r="I148" s="614"/>
      <c r="J148" s="614"/>
      <c r="K148" s="614"/>
      <c r="L148" s="614"/>
      <c r="M148" s="614"/>
      <c r="N148" s="614"/>
      <c r="O148" s="614"/>
      <c r="P148" s="614"/>
      <c r="Q148" s="614"/>
      <c r="R148" s="614"/>
      <c r="S148" s="614"/>
      <c r="T148" s="614"/>
      <c r="U148" s="614"/>
      <c r="V148" s="614"/>
      <c r="W148" s="614"/>
      <c r="X148" s="614"/>
      <c r="Y148" s="614"/>
      <c r="Z148" s="614"/>
      <c r="AA148" s="614"/>
      <c r="AB148" s="614"/>
      <c r="AC148" s="614"/>
    </row>
    <row r="149" spans="1:29" ht="12.75" customHeight="1">
      <c r="A149" s="319"/>
      <c r="B149" s="614"/>
      <c r="C149" s="319"/>
      <c r="D149" s="614"/>
      <c r="E149" s="614"/>
      <c r="F149" s="614"/>
      <c r="G149" s="614"/>
      <c r="H149" s="614"/>
      <c r="I149" s="614"/>
      <c r="J149" s="614"/>
      <c r="K149" s="614"/>
      <c r="L149" s="614"/>
      <c r="M149" s="614"/>
      <c r="N149" s="614"/>
      <c r="O149" s="614"/>
      <c r="P149" s="614"/>
      <c r="Q149" s="614"/>
      <c r="R149" s="614"/>
      <c r="S149" s="614"/>
      <c r="T149" s="614"/>
      <c r="U149" s="614"/>
      <c r="V149" s="614"/>
      <c r="W149" s="614"/>
      <c r="X149" s="614"/>
      <c r="Y149" s="614"/>
      <c r="Z149" s="614"/>
      <c r="AA149" s="614"/>
      <c r="AB149" s="614"/>
      <c r="AC149" s="614"/>
    </row>
    <row r="150" spans="1:29" ht="12.75" customHeight="1">
      <c r="A150" s="319"/>
      <c r="B150" s="614"/>
      <c r="C150" s="319"/>
      <c r="D150" s="614"/>
      <c r="E150" s="614"/>
      <c r="F150" s="614"/>
      <c r="G150" s="614"/>
      <c r="H150" s="614"/>
      <c r="I150" s="614"/>
      <c r="J150" s="614"/>
      <c r="K150" s="614"/>
      <c r="L150" s="614"/>
      <c r="M150" s="614"/>
      <c r="N150" s="614"/>
      <c r="O150" s="614"/>
      <c r="P150" s="614"/>
      <c r="Q150" s="614"/>
      <c r="R150" s="614"/>
      <c r="S150" s="614"/>
      <c r="T150" s="614"/>
      <c r="U150" s="614"/>
      <c r="V150" s="614"/>
      <c r="W150" s="614"/>
      <c r="X150" s="614"/>
      <c r="Y150" s="614"/>
      <c r="Z150" s="614"/>
      <c r="AA150" s="614"/>
      <c r="AB150" s="614"/>
      <c r="AC150" s="614"/>
    </row>
    <row r="151" spans="1:29" ht="12.75" customHeight="1">
      <c r="A151" s="319"/>
      <c r="B151" s="614"/>
      <c r="C151" s="319"/>
      <c r="D151" s="614"/>
      <c r="E151" s="614"/>
      <c r="F151" s="614"/>
      <c r="G151" s="614"/>
      <c r="H151" s="614"/>
      <c r="I151" s="614"/>
      <c r="J151" s="614"/>
      <c r="K151" s="614"/>
      <c r="L151" s="614"/>
      <c r="M151" s="614"/>
      <c r="N151" s="614"/>
      <c r="O151" s="614"/>
      <c r="P151" s="614"/>
      <c r="Q151" s="614"/>
      <c r="R151" s="614"/>
      <c r="S151" s="614"/>
      <c r="T151" s="614"/>
      <c r="U151" s="614"/>
      <c r="V151" s="614"/>
      <c r="W151" s="614"/>
      <c r="X151" s="614"/>
      <c r="Y151" s="614"/>
      <c r="Z151" s="614"/>
      <c r="AA151" s="614"/>
      <c r="AB151" s="614"/>
      <c r="AC151" s="614"/>
    </row>
    <row r="152" spans="1:29" ht="12.75" customHeight="1">
      <c r="A152" s="319"/>
      <c r="B152" s="614"/>
      <c r="C152" s="319"/>
      <c r="D152" s="614"/>
      <c r="E152" s="614"/>
      <c r="F152" s="614"/>
      <c r="G152" s="614"/>
      <c r="H152" s="614"/>
      <c r="I152" s="614"/>
      <c r="J152" s="614"/>
      <c r="K152" s="614"/>
      <c r="L152" s="614"/>
      <c r="M152" s="614"/>
      <c r="N152" s="614"/>
      <c r="O152" s="614"/>
      <c r="P152" s="614"/>
      <c r="Q152" s="614"/>
      <c r="R152" s="614"/>
      <c r="S152" s="614"/>
      <c r="T152" s="614"/>
      <c r="U152" s="614"/>
      <c r="V152" s="614"/>
      <c r="W152" s="614"/>
      <c r="X152" s="614"/>
      <c r="Y152" s="614"/>
      <c r="Z152" s="614"/>
      <c r="AA152" s="614"/>
      <c r="AB152" s="614"/>
      <c r="AC152" s="614"/>
    </row>
    <row r="153" spans="1:29" ht="12.75" customHeight="1">
      <c r="A153" s="319"/>
      <c r="B153" s="614"/>
      <c r="C153" s="319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4"/>
      <c r="X153" s="614"/>
      <c r="Y153" s="614"/>
      <c r="Z153" s="614"/>
      <c r="AA153" s="614"/>
      <c r="AB153" s="614"/>
      <c r="AC153" s="614"/>
    </row>
    <row r="154" spans="1:29" ht="12.75" customHeight="1">
      <c r="A154" s="319"/>
      <c r="B154" s="614"/>
      <c r="C154" s="319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  <c r="N154" s="614"/>
      <c r="O154" s="614"/>
      <c r="P154" s="614"/>
      <c r="Q154" s="614"/>
      <c r="R154" s="614"/>
      <c r="S154" s="614"/>
      <c r="T154" s="614"/>
      <c r="U154" s="614"/>
      <c r="V154" s="614"/>
      <c r="W154" s="614"/>
      <c r="X154" s="614"/>
      <c r="Y154" s="614"/>
      <c r="Z154" s="614"/>
      <c r="AA154" s="614"/>
      <c r="AB154" s="614"/>
      <c r="AC154" s="614"/>
    </row>
    <row r="155" spans="1:29" ht="12.75" customHeight="1">
      <c r="A155" s="319"/>
      <c r="B155" s="614"/>
      <c r="C155" s="319"/>
      <c r="D155" s="614"/>
      <c r="E155" s="614"/>
      <c r="F155" s="614"/>
      <c r="G155" s="614"/>
      <c r="H155" s="614"/>
      <c r="I155" s="614"/>
      <c r="J155" s="614"/>
      <c r="K155" s="614"/>
      <c r="L155" s="614"/>
      <c r="M155" s="614"/>
      <c r="N155" s="614"/>
      <c r="O155" s="614"/>
      <c r="P155" s="614"/>
      <c r="Q155" s="614"/>
      <c r="R155" s="614"/>
      <c r="S155" s="614"/>
      <c r="T155" s="614"/>
      <c r="U155" s="614"/>
      <c r="V155" s="614"/>
      <c r="W155" s="614"/>
      <c r="X155" s="614"/>
      <c r="Y155" s="614"/>
      <c r="Z155" s="614"/>
      <c r="AA155" s="614"/>
      <c r="AB155" s="614"/>
      <c r="AC155" s="614"/>
    </row>
    <row r="156" spans="1:29" ht="12.75" customHeight="1">
      <c r="A156" s="319"/>
      <c r="B156" s="614"/>
      <c r="C156" s="319"/>
      <c r="D156" s="614"/>
      <c r="E156" s="614"/>
      <c r="F156" s="614"/>
      <c r="G156" s="614"/>
      <c r="H156" s="614"/>
      <c r="I156" s="614"/>
      <c r="J156" s="614"/>
      <c r="K156" s="614"/>
      <c r="L156" s="614"/>
      <c r="M156" s="614"/>
      <c r="N156" s="614"/>
      <c r="O156" s="614"/>
      <c r="P156" s="614"/>
      <c r="Q156" s="614"/>
      <c r="R156" s="614"/>
      <c r="S156" s="614"/>
      <c r="T156" s="614"/>
      <c r="U156" s="614"/>
      <c r="V156" s="614"/>
      <c r="W156" s="614"/>
      <c r="X156" s="614"/>
      <c r="Y156" s="614"/>
      <c r="Z156" s="614"/>
      <c r="AA156" s="614"/>
      <c r="AB156" s="614"/>
      <c r="AC156" s="614"/>
    </row>
    <row r="157" spans="1:29" ht="12.75" customHeight="1">
      <c r="A157" s="319"/>
      <c r="B157" s="614"/>
      <c r="C157" s="319"/>
      <c r="D157" s="614"/>
      <c r="E157" s="614"/>
      <c r="F157" s="614"/>
      <c r="G157" s="614"/>
      <c r="H157" s="614"/>
      <c r="I157" s="614"/>
      <c r="J157" s="614"/>
      <c r="K157" s="614"/>
      <c r="L157" s="614"/>
      <c r="M157" s="614"/>
      <c r="N157" s="614"/>
      <c r="O157" s="614"/>
      <c r="P157" s="614"/>
      <c r="Q157" s="614"/>
      <c r="R157" s="614"/>
      <c r="S157" s="614"/>
      <c r="T157" s="614"/>
      <c r="U157" s="614"/>
      <c r="V157" s="614"/>
      <c r="W157" s="614"/>
      <c r="X157" s="614"/>
      <c r="Y157" s="614"/>
      <c r="Z157" s="614"/>
      <c r="AA157" s="614"/>
      <c r="AB157" s="614"/>
      <c r="AC157" s="614"/>
    </row>
    <row r="158" spans="1:29" ht="12.75" customHeight="1">
      <c r="A158" s="319"/>
      <c r="B158" s="614"/>
      <c r="C158" s="319"/>
      <c r="D158" s="614"/>
      <c r="E158" s="614"/>
      <c r="F158" s="614"/>
      <c r="G158" s="614"/>
      <c r="H158" s="614"/>
      <c r="I158" s="614"/>
      <c r="J158" s="614"/>
      <c r="K158" s="614"/>
      <c r="L158" s="614"/>
      <c r="M158" s="614"/>
      <c r="N158" s="614"/>
      <c r="O158" s="614"/>
      <c r="P158" s="614"/>
      <c r="Q158" s="614"/>
      <c r="R158" s="614"/>
      <c r="S158" s="614"/>
      <c r="T158" s="614"/>
      <c r="U158" s="614"/>
      <c r="V158" s="614"/>
      <c r="W158" s="614"/>
      <c r="X158" s="614"/>
      <c r="Y158" s="614"/>
      <c r="Z158" s="614"/>
      <c r="AA158" s="614"/>
      <c r="AB158" s="614"/>
      <c r="AC158" s="614"/>
    </row>
    <row r="159" spans="1:29" ht="12.75" customHeight="1">
      <c r="A159" s="319"/>
      <c r="B159" s="614"/>
      <c r="C159" s="319"/>
      <c r="D159" s="614"/>
      <c r="E159" s="614"/>
      <c r="F159" s="614"/>
      <c r="G159" s="614"/>
      <c r="H159" s="614"/>
      <c r="I159" s="614"/>
      <c r="J159" s="614"/>
      <c r="K159" s="614"/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4"/>
      <c r="Y159" s="614"/>
      <c r="Z159" s="614"/>
      <c r="AA159" s="614"/>
      <c r="AB159" s="614"/>
      <c r="AC159" s="614"/>
    </row>
    <row r="160" spans="1:29" ht="12.75" customHeight="1">
      <c r="A160" s="319"/>
      <c r="B160" s="614"/>
      <c r="C160" s="319"/>
      <c r="D160" s="614"/>
      <c r="E160" s="614"/>
      <c r="F160" s="614"/>
      <c r="G160" s="614"/>
      <c r="H160" s="614"/>
      <c r="I160" s="614"/>
      <c r="J160" s="614"/>
      <c r="K160" s="614"/>
      <c r="L160" s="614"/>
      <c r="M160" s="614"/>
      <c r="N160" s="614"/>
      <c r="O160" s="614"/>
      <c r="P160" s="614"/>
      <c r="Q160" s="614"/>
      <c r="R160" s="614"/>
      <c r="S160" s="614"/>
      <c r="T160" s="614"/>
      <c r="U160" s="614"/>
      <c r="V160" s="614"/>
      <c r="W160" s="614"/>
      <c r="X160" s="614"/>
      <c r="Y160" s="614"/>
      <c r="Z160" s="614"/>
      <c r="AA160" s="614"/>
      <c r="AB160" s="614"/>
      <c r="AC160" s="614"/>
    </row>
    <row r="161" spans="1:29" ht="12.75" customHeight="1">
      <c r="A161" s="319"/>
      <c r="B161" s="614"/>
      <c r="C161" s="319"/>
      <c r="D161" s="614"/>
      <c r="E161" s="614"/>
      <c r="F161" s="614"/>
      <c r="G161" s="614"/>
      <c r="H161" s="614"/>
      <c r="I161" s="614"/>
      <c r="J161" s="614"/>
      <c r="K161" s="614"/>
      <c r="L161" s="614"/>
      <c r="M161" s="614"/>
      <c r="N161" s="614"/>
      <c r="O161" s="614"/>
      <c r="P161" s="614"/>
      <c r="Q161" s="614"/>
      <c r="R161" s="614"/>
      <c r="S161" s="614"/>
      <c r="T161" s="614"/>
      <c r="U161" s="614"/>
      <c r="V161" s="614"/>
      <c r="W161" s="614"/>
      <c r="X161" s="614"/>
      <c r="Y161" s="614"/>
      <c r="Z161" s="614"/>
      <c r="AA161" s="614"/>
      <c r="AB161" s="614"/>
      <c r="AC161" s="614"/>
    </row>
    <row r="162" spans="1:29" ht="12.75" customHeight="1">
      <c r="A162" s="319"/>
      <c r="B162" s="614"/>
      <c r="C162" s="319"/>
      <c r="D162" s="614"/>
      <c r="E162" s="614"/>
      <c r="F162" s="614"/>
      <c r="G162" s="614"/>
      <c r="H162" s="614"/>
      <c r="I162" s="614"/>
      <c r="J162" s="614"/>
      <c r="K162" s="614"/>
      <c r="L162" s="614"/>
      <c r="M162" s="614"/>
      <c r="N162" s="614"/>
      <c r="O162" s="614"/>
      <c r="P162" s="614"/>
      <c r="Q162" s="614"/>
      <c r="R162" s="614"/>
      <c r="S162" s="614"/>
      <c r="T162" s="614"/>
      <c r="U162" s="614"/>
      <c r="V162" s="614"/>
      <c r="W162" s="614"/>
      <c r="X162" s="614"/>
      <c r="Y162" s="614"/>
      <c r="Z162" s="614"/>
      <c r="AA162" s="614"/>
      <c r="AB162" s="614"/>
      <c r="AC162" s="614"/>
    </row>
    <row r="163" spans="1:29" ht="12.75" customHeight="1">
      <c r="A163" s="319"/>
      <c r="B163" s="614"/>
      <c r="C163" s="319"/>
      <c r="D163" s="614"/>
      <c r="E163" s="614"/>
      <c r="F163" s="614"/>
      <c r="G163" s="614"/>
      <c r="H163" s="614"/>
      <c r="I163" s="614"/>
      <c r="J163" s="614"/>
      <c r="K163" s="614"/>
      <c r="L163" s="614"/>
      <c r="M163" s="614"/>
      <c r="N163" s="614"/>
      <c r="O163" s="614"/>
      <c r="P163" s="614"/>
      <c r="Q163" s="614"/>
      <c r="R163" s="614"/>
      <c r="S163" s="614"/>
      <c r="T163" s="614"/>
      <c r="U163" s="614"/>
      <c r="V163" s="614"/>
      <c r="W163" s="614"/>
      <c r="X163" s="614"/>
      <c r="Y163" s="614"/>
      <c r="Z163" s="614"/>
      <c r="AA163" s="614"/>
      <c r="AB163" s="614"/>
      <c r="AC163" s="614"/>
    </row>
    <row r="164" spans="1:29" ht="12.75" customHeight="1">
      <c r="A164" s="319"/>
      <c r="B164" s="614"/>
      <c r="C164" s="319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  <c r="N164" s="614"/>
      <c r="O164" s="614"/>
      <c r="P164" s="614"/>
      <c r="Q164" s="614"/>
      <c r="R164" s="614"/>
      <c r="S164" s="614"/>
      <c r="T164" s="614"/>
      <c r="U164" s="614"/>
      <c r="V164" s="614"/>
      <c r="W164" s="614"/>
      <c r="X164" s="614"/>
      <c r="Y164" s="614"/>
      <c r="Z164" s="614"/>
      <c r="AA164" s="614"/>
      <c r="AB164" s="614"/>
      <c r="AC164" s="614"/>
    </row>
    <row r="165" spans="1:29" ht="12.75" customHeight="1">
      <c r="A165" s="319"/>
      <c r="B165" s="614"/>
      <c r="C165" s="319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14"/>
      <c r="Q165" s="614"/>
      <c r="R165" s="614"/>
      <c r="S165" s="614"/>
      <c r="T165" s="614"/>
      <c r="U165" s="614"/>
      <c r="V165" s="614"/>
      <c r="W165" s="614"/>
      <c r="X165" s="614"/>
      <c r="Y165" s="614"/>
      <c r="Z165" s="614"/>
      <c r="AA165" s="614"/>
      <c r="AB165" s="614"/>
      <c r="AC165" s="614"/>
    </row>
    <row r="166" spans="1:29" ht="12.75" customHeight="1">
      <c r="A166" s="319"/>
      <c r="B166" s="614"/>
      <c r="C166" s="319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14"/>
      <c r="Q166" s="614"/>
      <c r="R166" s="614"/>
      <c r="S166" s="614"/>
      <c r="T166" s="614"/>
      <c r="U166" s="614"/>
      <c r="V166" s="614"/>
      <c r="W166" s="614"/>
      <c r="X166" s="614"/>
      <c r="Y166" s="614"/>
      <c r="Z166" s="614"/>
      <c r="AA166" s="614"/>
      <c r="AB166" s="614"/>
      <c r="AC166" s="614"/>
    </row>
    <row r="167" spans="1:29" ht="12.75" customHeight="1">
      <c r="A167" s="319"/>
      <c r="B167" s="614"/>
      <c r="C167" s="319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  <c r="N167" s="614"/>
      <c r="O167" s="614"/>
      <c r="P167" s="614"/>
      <c r="Q167" s="614"/>
      <c r="R167" s="614"/>
      <c r="S167" s="614"/>
      <c r="T167" s="614"/>
      <c r="U167" s="614"/>
      <c r="V167" s="614"/>
      <c r="W167" s="614"/>
      <c r="X167" s="614"/>
      <c r="Y167" s="614"/>
      <c r="Z167" s="614"/>
      <c r="AA167" s="614"/>
      <c r="AB167" s="614"/>
      <c r="AC167" s="614"/>
    </row>
    <row r="168" spans="1:29" ht="12.75" customHeight="1">
      <c r="A168" s="319"/>
      <c r="B168" s="614"/>
      <c r="C168" s="319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  <c r="N168" s="614"/>
      <c r="O168" s="614"/>
      <c r="P168" s="614"/>
      <c r="Q168" s="614"/>
      <c r="R168" s="614"/>
      <c r="S168" s="614"/>
      <c r="T168" s="614"/>
      <c r="U168" s="614"/>
      <c r="V168" s="614"/>
      <c r="W168" s="614"/>
      <c r="X168" s="614"/>
      <c r="Y168" s="614"/>
      <c r="Z168" s="614"/>
      <c r="AA168" s="614"/>
      <c r="AB168" s="614"/>
      <c r="AC168" s="614"/>
    </row>
    <row r="169" spans="1:29" ht="12.75" customHeight="1">
      <c r="A169" s="319"/>
      <c r="B169" s="614"/>
      <c r="C169" s="319"/>
      <c r="D169" s="614"/>
      <c r="E169" s="614"/>
      <c r="F169" s="614"/>
      <c r="G169" s="614"/>
      <c r="H169" s="614"/>
      <c r="I169" s="614"/>
      <c r="J169" s="614"/>
      <c r="K169" s="614"/>
      <c r="L169" s="614"/>
      <c r="M169" s="614"/>
      <c r="N169" s="614"/>
      <c r="O169" s="614"/>
      <c r="P169" s="614"/>
      <c r="Q169" s="614"/>
      <c r="R169" s="614"/>
      <c r="S169" s="614"/>
      <c r="T169" s="614"/>
      <c r="U169" s="614"/>
      <c r="V169" s="614"/>
      <c r="W169" s="614"/>
      <c r="X169" s="614"/>
      <c r="Y169" s="614"/>
      <c r="Z169" s="614"/>
      <c r="AA169" s="614"/>
      <c r="AB169" s="614"/>
      <c r="AC169" s="614"/>
    </row>
    <row r="170" spans="1:29" ht="12.75" customHeight="1">
      <c r="A170" s="319"/>
      <c r="B170" s="614"/>
      <c r="C170" s="319"/>
      <c r="D170" s="614"/>
      <c r="E170" s="614"/>
      <c r="F170" s="614"/>
      <c r="G170" s="614"/>
      <c r="H170" s="614"/>
      <c r="I170" s="614"/>
      <c r="J170" s="614"/>
      <c r="K170" s="614"/>
      <c r="L170" s="614"/>
      <c r="M170" s="614"/>
      <c r="N170" s="614"/>
      <c r="O170" s="614"/>
      <c r="P170" s="614"/>
      <c r="Q170" s="614"/>
      <c r="R170" s="614"/>
      <c r="S170" s="614"/>
      <c r="T170" s="614"/>
      <c r="U170" s="614"/>
      <c r="V170" s="614"/>
      <c r="W170" s="614"/>
      <c r="X170" s="614"/>
      <c r="Y170" s="614"/>
      <c r="Z170" s="614"/>
      <c r="AA170" s="614"/>
      <c r="AB170" s="614"/>
      <c r="AC170" s="614"/>
    </row>
    <row r="171" spans="1:29" ht="12.75" customHeight="1">
      <c r="A171" s="319"/>
      <c r="B171" s="614"/>
      <c r="C171" s="319"/>
      <c r="D171" s="614"/>
      <c r="E171" s="614"/>
      <c r="F171" s="614"/>
      <c r="G171" s="614"/>
      <c r="H171" s="614"/>
      <c r="I171" s="614"/>
      <c r="J171" s="614"/>
      <c r="K171" s="614"/>
      <c r="L171" s="614"/>
      <c r="M171" s="614"/>
      <c r="N171" s="614"/>
      <c r="O171" s="614"/>
      <c r="P171" s="614"/>
      <c r="Q171" s="614"/>
      <c r="R171" s="614"/>
      <c r="S171" s="614"/>
      <c r="T171" s="614"/>
      <c r="U171" s="614"/>
      <c r="V171" s="614"/>
      <c r="W171" s="614"/>
      <c r="X171" s="614"/>
      <c r="Y171" s="614"/>
      <c r="Z171" s="614"/>
      <c r="AA171" s="614"/>
      <c r="AB171" s="614"/>
      <c r="AC171" s="614"/>
    </row>
    <row r="172" spans="1:29" ht="12.75" customHeight="1">
      <c r="A172" s="319"/>
      <c r="B172" s="614"/>
      <c r="C172" s="319"/>
      <c r="D172" s="614"/>
      <c r="E172" s="614"/>
      <c r="F172" s="614"/>
      <c r="G172" s="614"/>
      <c r="H172" s="614"/>
      <c r="I172" s="614"/>
      <c r="J172" s="614"/>
      <c r="K172" s="614"/>
      <c r="L172" s="614"/>
      <c r="M172" s="614"/>
      <c r="N172" s="614"/>
      <c r="O172" s="614"/>
      <c r="P172" s="614"/>
      <c r="Q172" s="614"/>
      <c r="R172" s="614"/>
      <c r="S172" s="614"/>
      <c r="T172" s="614"/>
      <c r="U172" s="614"/>
      <c r="V172" s="614"/>
      <c r="W172" s="614"/>
      <c r="X172" s="614"/>
      <c r="Y172" s="614"/>
      <c r="Z172" s="614"/>
      <c r="AA172" s="614"/>
      <c r="AB172" s="614"/>
      <c r="AC172" s="614"/>
    </row>
    <row r="173" spans="1:29" ht="12.75" customHeight="1">
      <c r="A173" s="319"/>
      <c r="B173" s="614"/>
      <c r="C173" s="319"/>
      <c r="D173" s="614"/>
      <c r="E173" s="614"/>
      <c r="F173" s="614"/>
      <c r="G173" s="614"/>
      <c r="H173" s="614"/>
      <c r="I173" s="614"/>
      <c r="J173" s="614"/>
      <c r="K173" s="614"/>
      <c r="L173" s="614"/>
      <c r="M173" s="614"/>
      <c r="N173" s="614"/>
      <c r="O173" s="614"/>
      <c r="P173" s="614"/>
      <c r="Q173" s="614"/>
      <c r="R173" s="614"/>
      <c r="S173" s="614"/>
      <c r="T173" s="614"/>
      <c r="U173" s="614"/>
      <c r="V173" s="614"/>
      <c r="W173" s="614"/>
      <c r="X173" s="614"/>
      <c r="Y173" s="614"/>
      <c r="Z173" s="614"/>
      <c r="AA173" s="614"/>
      <c r="AB173" s="614"/>
      <c r="AC173" s="614"/>
    </row>
    <row r="174" spans="1:29" ht="12.75" customHeight="1">
      <c r="A174" s="319"/>
      <c r="B174" s="614"/>
      <c r="C174" s="319"/>
      <c r="D174" s="614"/>
      <c r="E174" s="614"/>
      <c r="F174" s="614"/>
      <c r="G174" s="614"/>
      <c r="H174" s="614"/>
      <c r="I174" s="614"/>
      <c r="J174" s="614"/>
      <c r="K174" s="614"/>
      <c r="L174" s="614"/>
      <c r="M174" s="614"/>
      <c r="N174" s="614"/>
      <c r="O174" s="614"/>
      <c r="P174" s="614"/>
      <c r="Q174" s="614"/>
      <c r="R174" s="614"/>
      <c r="S174" s="614"/>
      <c r="T174" s="614"/>
      <c r="U174" s="614"/>
      <c r="V174" s="614"/>
      <c r="W174" s="614"/>
      <c r="X174" s="614"/>
      <c r="Y174" s="614"/>
      <c r="Z174" s="614"/>
      <c r="AA174" s="614"/>
      <c r="AB174" s="614"/>
      <c r="AC174" s="614"/>
    </row>
    <row r="175" spans="1:29" ht="12.75" customHeight="1">
      <c r="A175" s="319"/>
      <c r="B175" s="614"/>
      <c r="C175" s="319"/>
      <c r="D175" s="614"/>
      <c r="E175" s="614"/>
      <c r="F175" s="614"/>
      <c r="G175" s="614"/>
      <c r="H175" s="614"/>
      <c r="I175" s="614"/>
      <c r="J175" s="614"/>
      <c r="K175" s="614"/>
      <c r="L175" s="614"/>
      <c r="M175" s="614"/>
      <c r="N175" s="614"/>
      <c r="O175" s="614"/>
      <c r="P175" s="614"/>
      <c r="Q175" s="614"/>
      <c r="R175" s="614"/>
      <c r="S175" s="614"/>
      <c r="T175" s="614"/>
      <c r="U175" s="614"/>
      <c r="V175" s="614"/>
      <c r="W175" s="614"/>
      <c r="X175" s="614"/>
      <c r="Y175" s="614"/>
      <c r="Z175" s="614"/>
      <c r="AA175" s="614"/>
      <c r="AB175" s="614"/>
      <c r="AC175" s="614"/>
    </row>
    <row r="176" spans="1:29" ht="12.75" customHeight="1">
      <c r="A176" s="319"/>
      <c r="B176" s="614"/>
      <c r="C176" s="319"/>
      <c r="D176" s="614"/>
      <c r="E176" s="614"/>
      <c r="F176" s="614"/>
      <c r="G176" s="614"/>
      <c r="H176" s="614"/>
      <c r="I176" s="614"/>
      <c r="J176" s="614"/>
      <c r="K176" s="614"/>
      <c r="L176" s="614"/>
      <c r="M176" s="614"/>
      <c r="N176" s="614"/>
      <c r="O176" s="614"/>
      <c r="P176" s="614"/>
      <c r="Q176" s="614"/>
      <c r="R176" s="614"/>
      <c r="S176" s="614"/>
      <c r="T176" s="614"/>
      <c r="U176" s="614"/>
      <c r="V176" s="614"/>
      <c r="W176" s="614"/>
      <c r="X176" s="614"/>
      <c r="Y176" s="614"/>
      <c r="Z176" s="614"/>
      <c r="AA176" s="614"/>
      <c r="AB176" s="614"/>
      <c r="AC176" s="614"/>
    </row>
    <row r="177" spans="1:29" ht="12.75" customHeight="1">
      <c r="A177" s="319"/>
      <c r="B177" s="614"/>
      <c r="C177" s="319"/>
      <c r="D177" s="614"/>
      <c r="E177" s="614"/>
      <c r="F177" s="614"/>
      <c r="G177" s="614"/>
      <c r="H177" s="614"/>
      <c r="I177" s="614"/>
      <c r="J177" s="614"/>
      <c r="K177" s="614"/>
      <c r="L177" s="614"/>
      <c r="M177" s="614"/>
      <c r="N177" s="614"/>
      <c r="O177" s="614"/>
      <c r="P177" s="614"/>
      <c r="Q177" s="614"/>
      <c r="R177" s="614"/>
      <c r="S177" s="614"/>
      <c r="T177" s="614"/>
      <c r="U177" s="614"/>
      <c r="V177" s="614"/>
      <c r="W177" s="614"/>
      <c r="X177" s="614"/>
      <c r="Y177" s="614"/>
      <c r="Z177" s="614"/>
      <c r="AA177" s="614"/>
      <c r="AB177" s="614"/>
      <c r="AC177" s="614"/>
    </row>
    <row r="178" spans="1:29" ht="12.75" customHeight="1">
      <c r="A178" s="319"/>
      <c r="B178" s="614"/>
      <c r="C178" s="319"/>
      <c r="D178" s="614"/>
      <c r="E178" s="614"/>
      <c r="F178" s="614"/>
      <c r="G178" s="614"/>
      <c r="H178" s="614"/>
      <c r="I178" s="614"/>
      <c r="J178" s="614"/>
      <c r="K178" s="614"/>
      <c r="L178" s="614"/>
      <c r="M178" s="614"/>
      <c r="N178" s="614"/>
      <c r="O178" s="614"/>
      <c r="P178" s="614"/>
      <c r="Q178" s="614"/>
      <c r="R178" s="614"/>
      <c r="S178" s="614"/>
      <c r="T178" s="614"/>
      <c r="U178" s="614"/>
      <c r="V178" s="614"/>
      <c r="W178" s="614"/>
      <c r="X178" s="614"/>
      <c r="Y178" s="614"/>
      <c r="Z178" s="614"/>
      <c r="AA178" s="614"/>
      <c r="AB178" s="614"/>
      <c r="AC178" s="614"/>
    </row>
    <row r="179" spans="1:29" ht="12.75" customHeight="1">
      <c r="A179" s="319"/>
      <c r="B179" s="614"/>
      <c r="C179" s="319"/>
      <c r="D179" s="614"/>
      <c r="E179" s="614"/>
      <c r="F179" s="614"/>
      <c r="G179" s="614"/>
      <c r="H179" s="614"/>
      <c r="I179" s="614"/>
      <c r="J179" s="614"/>
      <c r="K179" s="614"/>
      <c r="L179" s="614"/>
      <c r="M179" s="614"/>
      <c r="N179" s="614"/>
      <c r="O179" s="614"/>
      <c r="P179" s="614"/>
      <c r="Q179" s="614"/>
      <c r="R179" s="614"/>
      <c r="S179" s="614"/>
      <c r="T179" s="614"/>
      <c r="U179" s="614"/>
      <c r="V179" s="614"/>
      <c r="W179" s="614"/>
      <c r="X179" s="614"/>
      <c r="Y179" s="614"/>
      <c r="Z179" s="614"/>
      <c r="AA179" s="614"/>
      <c r="AB179" s="614"/>
      <c r="AC179" s="614"/>
    </row>
    <row r="180" spans="1:29" ht="12.75" customHeight="1">
      <c r="A180" s="319"/>
      <c r="B180" s="614"/>
      <c r="C180" s="319"/>
      <c r="D180" s="614"/>
      <c r="E180" s="614"/>
      <c r="F180" s="614"/>
      <c r="G180" s="614"/>
      <c r="H180" s="614"/>
      <c r="I180" s="614"/>
      <c r="J180" s="614"/>
      <c r="K180" s="614"/>
      <c r="L180" s="614"/>
      <c r="M180" s="614"/>
      <c r="N180" s="614"/>
      <c r="O180" s="614"/>
      <c r="P180" s="614"/>
      <c r="Q180" s="614"/>
      <c r="R180" s="614"/>
      <c r="S180" s="614"/>
      <c r="T180" s="614"/>
      <c r="U180" s="614"/>
      <c r="V180" s="614"/>
      <c r="W180" s="614"/>
      <c r="X180" s="614"/>
      <c r="Y180" s="614"/>
      <c r="Z180" s="614"/>
      <c r="AA180" s="614"/>
      <c r="AB180" s="614"/>
      <c r="AC180" s="614"/>
    </row>
    <row r="181" spans="1:29" ht="12.75" customHeight="1">
      <c r="A181" s="319"/>
      <c r="B181" s="614"/>
      <c r="C181" s="319"/>
      <c r="D181" s="614"/>
      <c r="E181" s="614"/>
      <c r="F181" s="614"/>
      <c r="G181" s="614"/>
      <c r="H181" s="614"/>
      <c r="I181" s="614"/>
      <c r="J181" s="614"/>
      <c r="K181" s="614"/>
      <c r="L181" s="614"/>
      <c r="M181" s="614"/>
      <c r="N181" s="614"/>
      <c r="O181" s="614"/>
      <c r="P181" s="614"/>
      <c r="Q181" s="614"/>
      <c r="R181" s="614"/>
      <c r="S181" s="614"/>
      <c r="T181" s="614"/>
      <c r="U181" s="614"/>
      <c r="V181" s="614"/>
      <c r="W181" s="614"/>
      <c r="X181" s="614"/>
      <c r="Y181" s="614"/>
      <c r="Z181" s="614"/>
      <c r="AA181" s="614"/>
      <c r="AB181" s="614"/>
      <c r="AC181" s="614"/>
    </row>
    <row r="182" spans="1:29" ht="12.75" customHeight="1">
      <c r="A182" s="319"/>
      <c r="B182" s="614"/>
      <c r="C182" s="319"/>
      <c r="D182" s="614"/>
      <c r="E182" s="614"/>
      <c r="F182" s="614"/>
      <c r="G182" s="614"/>
      <c r="H182" s="614"/>
      <c r="I182" s="614"/>
      <c r="J182" s="614"/>
      <c r="K182" s="614"/>
      <c r="L182" s="614"/>
      <c r="M182" s="614"/>
      <c r="N182" s="614"/>
      <c r="O182" s="614"/>
      <c r="P182" s="614"/>
      <c r="Q182" s="614"/>
      <c r="R182" s="614"/>
      <c r="S182" s="614"/>
      <c r="T182" s="614"/>
      <c r="U182" s="614"/>
      <c r="V182" s="614"/>
      <c r="W182" s="614"/>
      <c r="X182" s="614"/>
      <c r="Y182" s="614"/>
      <c r="Z182" s="614"/>
      <c r="AA182" s="614"/>
      <c r="AB182" s="614"/>
      <c r="AC182" s="614"/>
    </row>
    <row r="183" spans="1:29" ht="12.75" customHeight="1">
      <c r="A183" s="319"/>
      <c r="B183" s="614"/>
      <c r="C183" s="319"/>
      <c r="D183" s="614"/>
      <c r="E183" s="614"/>
      <c r="F183" s="614"/>
      <c r="G183" s="614"/>
      <c r="H183" s="614"/>
      <c r="I183" s="614"/>
      <c r="J183" s="614"/>
      <c r="K183" s="614"/>
      <c r="L183" s="614"/>
      <c r="M183" s="614"/>
      <c r="N183" s="614"/>
      <c r="O183" s="614"/>
      <c r="P183" s="614"/>
      <c r="Q183" s="614"/>
      <c r="R183" s="614"/>
      <c r="S183" s="614"/>
      <c r="T183" s="614"/>
      <c r="U183" s="614"/>
      <c r="V183" s="614"/>
      <c r="W183" s="614"/>
      <c r="X183" s="614"/>
      <c r="Y183" s="614"/>
      <c r="Z183" s="614"/>
      <c r="AA183" s="614"/>
      <c r="AB183" s="614"/>
      <c r="AC183" s="614"/>
    </row>
    <row r="184" spans="1:29" ht="12.75" customHeight="1">
      <c r="A184" s="319"/>
      <c r="B184" s="614"/>
      <c r="C184" s="319"/>
      <c r="D184" s="614"/>
      <c r="E184" s="614"/>
      <c r="F184" s="614"/>
      <c r="G184" s="614"/>
      <c r="H184" s="614"/>
      <c r="I184" s="614"/>
      <c r="J184" s="614"/>
      <c r="K184" s="614"/>
      <c r="L184" s="614"/>
      <c r="M184" s="614"/>
      <c r="N184" s="614"/>
      <c r="O184" s="614"/>
      <c r="P184" s="614"/>
      <c r="Q184" s="614"/>
      <c r="R184" s="614"/>
      <c r="S184" s="614"/>
      <c r="T184" s="614"/>
      <c r="U184" s="614"/>
      <c r="V184" s="614"/>
      <c r="W184" s="614"/>
      <c r="X184" s="614"/>
      <c r="Y184" s="614"/>
      <c r="Z184" s="614"/>
      <c r="AA184" s="614"/>
      <c r="AB184" s="614"/>
      <c r="AC184" s="614"/>
    </row>
    <row r="185" spans="1:29" ht="12.75" customHeight="1">
      <c r="A185" s="319"/>
      <c r="B185" s="614"/>
      <c r="C185" s="319"/>
      <c r="D185" s="614"/>
      <c r="E185" s="614"/>
      <c r="F185" s="614"/>
      <c r="G185" s="614"/>
      <c r="H185" s="614"/>
      <c r="I185" s="614"/>
      <c r="J185" s="614"/>
      <c r="K185" s="614"/>
      <c r="L185" s="614"/>
      <c r="M185" s="614"/>
      <c r="N185" s="614"/>
      <c r="O185" s="614"/>
      <c r="P185" s="614"/>
      <c r="Q185" s="614"/>
      <c r="R185" s="614"/>
      <c r="S185" s="614"/>
      <c r="T185" s="614"/>
      <c r="U185" s="614"/>
      <c r="V185" s="614"/>
      <c r="W185" s="614"/>
      <c r="X185" s="614"/>
      <c r="Y185" s="614"/>
      <c r="Z185" s="614"/>
      <c r="AA185" s="614"/>
      <c r="AB185" s="614"/>
      <c r="AC185" s="614"/>
    </row>
    <row r="186" spans="1:29" ht="12.75" customHeight="1">
      <c r="A186" s="319"/>
      <c r="B186" s="614"/>
      <c r="C186" s="319"/>
      <c r="D186" s="614"/>
      <c r="E186" s="614"/>
      <c r="F186" s="614"/>
      <c r="G186" s="614"/>
      <c r="H186" s="614"/>
      <c r="I186" s="614"/>
      <c r="J186" s="614"/>
      <c r="K186" s="614"/>
      <c r="L186" s="614"/>
      <c r="M186" s="614"/>
      <c r="N186" s="614"/>
      <c r="O186" s="614"/>
      <c r="P186" s="614"/>
      <c r="Q186" s="614"/>
      <c r="R186" s="614"/>
      <c r="S186" s="614"/>
      <c r="T186" s="614"/>
      <c r="U186" s="614"/>
      <c r="V186" s="614"/>
      <c r="W186" s="614"/>
      <c r="X186" s="614"/>
      <c r="Y186" s="614"/>
      <c r="Z186" s="614"/>
      <c r="AA186" s="614"/>
      <c r="AB186" s="614"/>
      <c r="AC186" s="614"/>
    </row>
    <row r="187" spans="1:29" ht="12.75" customHeight="1">
      <c r="A187" s="319"/>
      <c r="B187" s="614"/>
      <c r="C187" s="319"/>
      <c r="D187" s="614"/>
      <c r="E187" s="614"/>
      <c r="F187" s="614"/>
      <c r="G187" s="614"/>
      <c r="H187" s="614"/>
      <c r="I187" s="614"/>
      <c r="J187" s="614"/>
      <c r="K187" s="614"/>
      <c r="L187" s="614"/>
      <c r="M187" s="614"/>
      <c r="N187" s="614"/>
      <c r="O187" s="614"/>
      <c r="P187" s="614"/>
      <c r="Q187" s="614"/>
      <c r="R187" s="614"/>
      <c r="S187" s="614"/>
      <c r="T187" s="614"/>
      <c r="U187" s="614"/>
      <c r="V187" s="614"/>
      <c r="W187" s="614"/>
      <c r="X187" s="614"/>
      <c r="Y187" s="614"/>
      <c r="Z187" s="614"/>
      <c r="AA187" s="614"/>
      <c r="AB187" s="614"/>
      <c r="AC187" s="614"/>
    </row>
    <row r="188" spans="1:29" ht="12.75" customHeight="1">
      <c r="A188" s="319"/>
      <c r="B188" s="614"/>
      <c r="C188" s="319"/>
      <c r="D188" s="614"/>
      <c r="E188" s="614"/>
      <c r="F188" s="614"/>
      <c r="G188" s="614"/>
      <c r="H188" s="614"/>
      <c r="I188" s="614"/>
      <c r="J188" s="614"/>
      <c r="K188" s="614"/>
      <c r="L188" s="614"/>
      <c r="M188" s="614"/>
      <c r="N188" s="614"/>
      <c r="O188" s="614"/>
      <c r="P188" s="614"/>
      <c r="Q188" s="614"/>
      <c r="R188" s="614"/>
      <c r="S188" s="614"/>
      <c r="T188" s="614"/>
      <c r="U188" s="614"/>
      <c r="V188" s="614"/>
      <c r="W188" s="614"/>
      <c r="X188" s="614"/>
      <c r="Y188" s="614"/>
      <c r="Z188" s="614"/>
      <c r="AA188" s="614"/>
      <c r="AB188" s="614"/>
      <c r="AC188" s="614"/>
    </row>
    <row r="189" spans="1:29" ht="12.75" customHeight="1">
      <c r="A189" s="319"/>
      <c r="B189" s="614"/>
      <c r="C189" s="319"/>
      <c r="D189" s="614"/>
      <c r="E189" s="614"/>
      <c r="F189" s="614"/>
      <c r="G189" s="614"/>
      <c r="H189" s="614"/>
      <c r="I189" s="614"/>
      <c r="J189" s="614"/>
      <c r="K189" s="614"/>
      <c r="L189" s="614"/>
      <c r="M189" s="614"/>
      <c r="N189" s="614"/>
      <c r="O189" s="614"/>
      <c r="P189" s="614"/>
      <c r="Q189" s="614"/>
      <c r="R189" s="614"/>
      <c r="S189" s="614"/>
      <c r="T189" s="614"/>
      <c r="U189" s="614"/>
      <c r="V189" s="614"/>
      <c r="W189" s="614"/>
      <c r="X189" s="614"/>
      <c r="Y189" s="614"/>
      <c r="Z189" s="614"/>
      <c r="AA189" s="614"/>
      <c r="AB189" s="614"/>
      <c r="AC189" s="614"/>
    </row>
    <row r="190" spans="1:29" ht="12.75" customHeight="1">
      <c r="A190" s="319"/>
      <c r="B190" s="614"/>
      <c r="C190" s="319"/>
      <c r="D190" s="614"/>
      <c r="E190" s="614"/>
      <c r="F190" s="614"/>
      <c r="G190" s="614"/>
      <c r="H190" s="614"/>
      <c r="I190" s="614"/>
      <c r="J190" s="614"/>
      <c r="K190" s="614"/>
      <c r="L190" s="614"/>
      <c r="M190" s="614"/>
      <c r="N190" s="614"/>
      <c r="O190" s="614"/>
      <c r="P190" s="614"/>
      <c r="Q190" s="614"/>
      <c r="R190" s="614"/>
      <c r="S190" s="614"/>
      <c r="T190" s="614"/>
      <c r="U190" s="614"/>
      <c r="V190" s="614"/>
      <c r="W190" s="614"/>
      <c r="X190" s="614"/>
      <c r="Y190" s="614"/>
      <c r="Z190" s="614"/>
      <c r="AA190" s="614"/>
      <c r="AB190" s="614"/>
      <c r="AC190" s="614"/>
    </row>
    <row r="191" spans="1:29" ht="12.75" customHeight="1">
      <c r="A191" s="319"/>
      <c r="B191" s="614"/>
      <c r="C191" s="319"/>
      <c r="D191" s="614"/>
      <c r="E191" s="614"/>
      <c r="F191" s="614"/>
      <c r="G191" s="614"/>
      <c r="H191" s="614"/>
      <c r="I191" s="614"/>
      <c r="J191" s="614"/>
      <c r="K191" s="614"/>
      <c r="L191" s="614"/>
      <c r="M191" s="614"/>
      <c r="N191" s="614"/>
      <c r="O191" s="614"/>
      <c r="P191" s="614"/>
      <c r="Q191" s="614"/>
      <c r="R191" s="614"/>
      <c r="S191" s="614"/>
      <c r="T191" s="614"/>
      <c r="U191" s="614"/>
      <c r="V191" s="614"/>
      <c r="W191" s="614"/>
      <c r="X191" s="614"/>
      <c r="Y191" s="614"/>
      <c r="Z191" s="614"/>
      <c r="AA191" s="614"/>
      <c r="AB191" s="614"/>
      <c r="AC191" s="614"/>
    </row>
    <row r="192" spans="1:29" ht="12.75" customHeight="1">
      <c r="A192" s="319"/>
      <c r="B192" s="614"/>
      <c r="C192" s="319"/>
      <c r="D192" s="614"/>
      <c r="E192" s="614"/>
      <c r="F192" s="614"/>
      <c r="G192" s="614"/>
      <c r="H192" s="614"/>
      <c r="I192" s="614"/>
      <c r="J192" s="614"/>
      <c r="K192" s="614"/>
      <c r="L192" s="614"/>
      <c r="M192" s="614"/>
      <c r="N192" s="614"/>
      <c r="O192" s="614"/>
      <c r="P192" s="614"/>
      <c r="Q192" s="614"/>
      <c r="R192" s="614"/>
      <c r="S192" s="614"/>
      <c r="T192" s="614"/>
      <c r="U192" s="614"/>
      <c r="V192" s="614"/>
      <c r="W192" s="614"/>
      <c r="X192" s="614"/>
      <c r="Y192" s="614"/>
      <c r="Z192" s="614"/>
      <c r="AA192" s="614"/>
      <c r="AB192" s="614"/>
      <c r="AC192" s="614"/>
    </row>
    <row r="193" spans="1:29" ht="12.75" customHeight="1">
      <c r="A193" s="319"/>
      <c r="B193" s="614"/>
      <c r="C193" s="319"/>
      <c r="D193" s="614"/>
      <c r="E193" s="614"/>
      <c r="F193" s="614"/>
      <c r="G193" s="614"/>
      <c r="H193" s="614"/>
      <c r="I193" s="614"/>
      <c r="J193" s="614"/>
      <c r="K193" s="614"/>
      <c r="L193" s="614"/>
      <c r="M193" s="614"/>
      <c r="N193" s="614"/>
      <c r="O193" s="614"/>
      <c r="P193" s="614"/>
      <c r="Q193" s="614"/>
      <c r="R193" s="614"/>
      <c r="S193" s="614"/>
      <c r="T193" s="614"/>
      <c r="U193" s="614"/>
      <c r="V193" s="614"/>
      <c r="W193" s="614"/>
      <c r="X193" s="614"/>
      <c r="Y193" s="614"/>
      <c r="Z193" s="614"/>
      <c r="AA193" s="614"/>
      <c r="AB193" s="614"/>
      <c r="AC193" s="614"/>
    </row>
    <row r="194" spans="1:29" ht="12.75" customHeight="1">
      <c r="A194" s="319"/>
      <c r="B194" s="614"/>
      <c r="C194" s="319"/>
      <c r="D194" s="614"/>
      <c r="E194" s="614"/>
      <c r="F194" s="614"/>
      <c r="G194" s="614"/>
      <c r="H194" s="614"/>
      <c r="I194" s="614"/>
      <c r="J194" s="614"/>
      <c r="K194" s="614"/>
      <c r="L194" s="614"/>
      <c r="M194" s="614"/>
      <c r="N194" s="614"/>
      <c r="O194" s="614"/>
      <c r="P194" s="614"/>
      <c r="Q194" s="614"/>
      <c r="R194" s="614"/>
      <c r="S194" s="614"/>
      <c r="T194" s="614"/>
      <c r="U194" s="614"/>
      <c r="V194" s="614"/>
      <c r="W194" s="614"/>
      <c r="X194" s="614"/>
      <c r="Y194" s="614"/>
      <c r="Z194" s="614"/>
      <c r="AA194" s="614"/>
      <c r="AB194" s="614"/>
      <c r="AC194" s="614"/>
    </row>
    <row r="195" spans="1:29" ht="12.75" customHeight="1">
      <c r="A195" s="319"/>
      <c r="B195" s="614"/>
      <c r="C195" s="319"/>
      <c r="D195" s="614"/>
      <c r="E195" s="614"/>
      <c r="F195" s="614"/>
      <c r="G195" s="614"/>
      <c r="H195" s="614"/>
      <c r="I195" s="614"/>
      <c r="J195" s="614"/>
      <c r="K195" s="614"/>
      <c r="L195" s="614"/>
      <c r="M195" s="614"/>
      <c r="N195" s="614"/>
      <c r="O195" s="614"/>
      <c r="P195" s="614"/>
      <c r="Q195" s="614"/>
      <c r="R195" s="614"/>
      <c r="S195" s="614"/>
      <c r="T195" s="614"/>
      <c r="U195" s="614"/>
      <c r="V195" s="614"/>
      <c r="W195" s="614"/>
      <c r="X195" s="614"/>
      <c r="Y195" s="614"/>
      <c r="Z195" s="614"/>
      <c r="AA195" s="614"/>
      <c r="AB195" s="614"/>
      <c r="AC195" s="614"/>
    </row>
    <row r="196" spans="1:29" ht="12.75" customHeight="1">
      <c r="A196" s="319"/>
      <c r="B196" s="614"/>
      <c r="C196" s="319"/>
      <c r="D196" s="614"/>
      <c r="E196" s="614"/>
      <c r="F196" s="614"/>
      <c r="G196" s="614"/>
      <c r="H196" s="614"/>
      <c r="I196" s="614"/>
      <c r="J196" s="614"/>
      <c r="K196" s="614"/>
      <c r="L196" s="614"/>
      <c r="M196" s="614"/>
      <c r="N196" s="614"/>
      <c r="O196" s="614"/>
      <c r="P196" s="614"/>
      <c r="Q196" s="614"/>
      <c r="R196" s="614"/>
      <c r="S196" s="614"/>
      <c r="T196" s="614"/>
      <c r="U196" s="614"/>
      <c r="V196" s="614"/>
      <c r="W196" s="614"/>
      <c r="X196" s="614"/>
      <c r="Y196" s="614"/>
      <c r="Z196" s="614"/>
      <c r="AA196" s="614"/>
      <c r="AB196" s="614"/>
      <c r="AC196" s="614"/>
    </row>
    <row r="197" spans="1:29" ht="12.75" customHeight="1">
      <c r="A197" s="319"/>
      <c r="B197" s="614"/>
      <c r="C197" s="319"/>
      <c r="D197" s="614"/>
      <c r="E197" s="614"/>
      <c r="F197" s="614"/>
      <c r="G197" s="614"/>
      <c r="H197" s="614"/>
      <c r="I197" s="614"/>
      <c r="J197" s="614"/>
      <c r="K197" s="614"/>
      <c r="L197" s="614"/>
      <c r="M197" s="614"/>
      <c r="N197" s="614"/>
      <c r="O197" s="614"/>
      <c r="P197" s="614"/>
      <c r="Q197" s="614"/>
      <c r="R197" s="614"/>
      <c r="S197" s="614"/>
      <c r="T197" s="614"/>
      <c r="U197" s="614"/>
      <c r="V197" s="614"/>
      <c r="W197" s="614"/>
      <c r="X197" s="614"/>
      <c r="Y197" s="614"/>
      <c r="Z197" s="614"/>
      <c r="AA197" s="614"/>
      <c r="AB197" s="614"/>
      <c r="AC197" s="614"/>
    </row>
    <row r="198" spans="1:29" ht="12.75" customHeight="1">
      <c r="A198" s="319"/>
      <c r="B198" s="614"/>
      <c r="C198" s="319"/>
      <c r="D198" s="614"/>
      <c r="E198" s="614"/>
      <c r="F198" s="614"/>
      <c r="G198" s="614"/>
      <c r="H198" s="614"/>
      <c r="I198" s="614"/>
      <c r="J198" s="614"/>
      <c r="K198" s="614"/>
      <c r="L198" s="614"/>
      <c r="M198" s="614"/>
      <c r="N198" s="614"/>
      <c r="O198" s="614"/>
      <c r="P198" s="614"/>
      <c r="Q198" s="614"/>
      <c r="R198" s="614"/>
      <c r="S198" s="614"/>
      <c r="T198" s="614"/>
      <c r="U198" s="614"/>
      <c r="V198" s="614"/>
      <c r="W198" s="614"/>
      <c r="X198" s="614"/>
      <c r="Y198" s="614"/>
      <c r="Z198" s="614"/>
      <c r="AA198" s="614"/>
      <c r="AB198" s="614"/>
      <c r="AC198" s="614"/>
    </row>
    <row r="199" spans="1:29" ht="12.75" customHeight="1">
      <c r="A199" s="319"/>
      <c r="B199" s="614"/>
      <c r="C199" s="319"/>
      <c r="D199" s="614"/>
      <c r="E199" s="614"/>
      <c r="F199" s="614"/>
      <c r="G199" s="614"/>
      <c r="H199" s="614"/>
      <c r="I199" s="614"/>
      <c r="J199" s="614"/>
      <c r="K199" s="614"/>
      <c r="L199" s="614"/>
      <c r="M199" s="614"/>
      <c r="N199" s="614"/>
      <c r="O199" s="614"/>
      <c r="P199" s="614"/>
      <c r="Q199" s="614"/>
      <c r="R199" s="614"/>
      <c r="S199" s="614"/>
      <c r="T199" s="614"/>
      <c r="U199" s="614"/>
      <c r="V199" s="614"/>
      <c r="W199" s="614"/>
      <c r="X199" s="614"/>
      <c r="Y199" s="614"/>
      <c r="Z199" s="614"/>
      <c r="AA199" s="614"/>
      <c r="AB199" s="614"/>
      <c r="AC199" s="614"/>
    </row>
    <row r="200" spans="1:29" ht="12.75" customHeight="1">
      <c r="A200" s="319"/>
      <c r="B200" s="614"/>
      <c r="C200" s="319"/>
      <c r="D200" s="614"/>
      <c r="E200" s="614"/>
      <c r="F200" s="614"/>
      <c r="G200" s="614"/>
      <c r="H200" s="614"/>
      <c r="I200" s="614"/>
      <c r="J200" s="614"/>
      <c r="K200" s="614"/>
      <c r="L200" s="614"/>
      <c r="M200" s="614"/>
      <c r="N200" s="614"/>
      <c r="O200" s="614"/>
      <c r="P200" s="614"/>
      <c r="Q200" s="614"/>
      <c r="R200" s="614"/>
      <c r="S200" s="614"/>
      <c r="T200" s="614"/>
      <c r="U200" s="614"/>
      <c r="V200" s="614"/>
      <c r="W200" s="614"/>
      <c r="X200" s="614"/>
      <c r="Y200" s="614"/>
      <c r="Z200" s="614"/>
      <c r="AA200" s="614"/>
      <c r="AB200" s="614"/>
      <c r="AC200" s="614"/>
    </row>
    <row r="201" spans="1:29" ht="12.75" customHeight="1">
      <c r="A201" s="319"/>
      <c r="B201" s="614"/>
      <c r="C201" s="319"/>
      <c r="D201" s="614"/>
      <c r="E201" s="614"/>
      <c r="F201" s="614"/>
      <c r="G201" s="614"/>
      <c r="H201" s="614"/>
      <c r="I201" s="614"/>
      <c r="J201" s="614"/>
      <c r="K201" s="614"/>
      <c r="L201" s="614"/>
      <c r="M201" s="614"/>
      <c r="N201" s="614"/>
      <c r="O201" s="614"/>
      <c r="P201" s="614"/>
      <c r="Q201" s="614"/>
      <c r="R201" s="614"/>
      <c r="S201" s="614"/>
      <c r="T201" s="614"/>
      <c r="U201" s="614"/>
      <c r="V201" s="614"/>
      <c r="W201" s="614"/>
      <c r="X201" s="614"/>
      <c r="Y201" s="614"/>
      <c r="Z201" s="614"/>
      <c r="AA201" s="614"/>
      <c r="AB201" s="614"/>
      <c r="AC201" s="614"/>
    </row>
    <row r="202" spans="1:29" ht="12.75" customHeight="1">
      <c r="A202" s="319"/>
      <c r="B202" s="614"/>
      <c r="C202" s="319"/>
      <c r="D202" s="614"/>
      <c r="E202" s="614"/>
      <c r="F202" s="614"/>
      <c r="G202" s="614"/>
      <c r="H202" s="614"/>
      <c r="I202" s="614"/>
      <c r="J202" s="614"/>
      <c r="K202" s="614"/>
      <c r="L202" s="614"/>
      <c r="M202" s="614"/>
      <c r="N202" s="614"/>
      <c r="O202" s="614"/>
      <c r="P202" s="614"/>
      <c r="Q202" s="614"/>
      <c r="R202" s="614"/>
      <c r="S202" s="614"/>
      <c r="T202" s="614"/>
      <c r="U202" s="614"/>
      <c r="V202" s="614"/>
      <c r="W202" s="614"/>
      <c r="X202" s="614"/>
      <c r="Y202" s="614"/>
      <c r="Z202" s="614"/>
      <c r="AA202" s="614"/>
      <c r="AB202" s="614"/>
      <c r="AC202" s="614"/>
    </row>
    <row r="203" spans="1:29" ht="12.75" customHeight="1">
      <c r="A203" s="319"/>
      <c r="B203" s="614"/>
      <c r="C203" s="319"/>
      <c r="D203" s="614"/>
      <c r="E203" s="614"/>
      <c r="F203" s="614"/>
      <c r="G203" s="614"/>
      <c r="H203" s="614"/>
      <c r="I203" s="614"/>
      <c r="J203" s="614"/>
      <c r="K203" s="614"/>
      <c r="L203" s="614"/>
      <c r="M203" s="614"/>
      <c r="N203" s="614"/>
      <c r="O203" s="614"/>
      <c r="P203" s="614"/>
      <c r="Q203" s="614"/>
      <c r="R203" s="614"/>
      <c r="S203" s="614"/>
      <c r="T203" s="614"/>
      <c r="U203" s="614"/>
      <c r="V203" s="614"/>
      <c r="W203" s="614"/>
      <c r="X203" s="614"/>
      <c r="Y203" s="614"/>
      <c r="Z203" s="614"/>
      <c r="AA203" s="614"/>
      <c r="AB203" s="614"/>
      <c r="AC203" s="614"/>
    </row>
    <row r="204" spans="1:29" ht="12.75" customHeight="1">
      <c r="A204" s="319"/>
      <c r="B204" s="614"/>
      <c r="C204" s="319"/>
      <c r="D204" s="614"/>
      <c r="E204" s="614"/>
      <c r="F204" s="614"/>
      <c r="G204" s="614"/>
      <c r="H204" s="614"/>
      <c r="I204" s="614"/>
      <c r="J204" s="614"/>
      <c r="K204" s="614"/>
      <c r="L204" s="614"/>
      <c r="M204" s="614"/>
      <c r="N204" s="614"/>
      <c r="O204" s="614"/>
      <c r="P204" s="614"/>
      <c r="Q204" s="614"/>
      <c r="R204" s="614"/>
      <c r="S204" s="614"/>
      <c r="T204" s="614"/>
      <c r="U204" s="614"/>
      <c r="V204" s="614"/>
      <c r="W204" s="614"/>
      <c r="X204" s="614"/>
      <c r="Y204" s="614"/>
      <c r="Z204" s="614"/>
      <c r="AA204" s="614"/>
      <c r="AB204" s="614"/>
      <c r="AC204" s="614"/>
    </row>
    <row r="205" spans="1:29" ht="12.75" customHeight="1">
      <c r="A205" s="319"/>
      <c r="B205" s="614"/>
      <c r="C205" s="319"/>
      <c r="D205" s="614"/>
      <c r="E205" s="614"/>
      <c r="F205" s="614"/>
      <c r="G205" s="614"/>
      <c r="H205" s="614"/>
      <c r="I205" s="614"/>
      <c r="J205" s="614"/>
      <c r="K205" s="614"/>
      <c r="L205" s="614"/>
      <c r="M205" s="614"/>
      <c r="N205" s="614"/>
      <c r="O205" s="614"/>
      <c r="P205" s="614"/>
      <c r="Q205" s="614"/>
      <c r="R205" s="614"/>
      <c r="S205" s="614"/>
      <c r="T205" s="614"/>
      <c r="U205" s="614"/>
      <c r="V205" s="614"/>
      <c r="W205" s="614"/>
      <c r="X205" s="614"/>
      <c r="Y205" s="614"/>
      <c r="Z205" s="614"/>
      <c r="AA205" s="614"/>
      <c r="AB205" s="614"/>
      <c r="AC205" s="614"/>
    </row>
    <row r="206" spans="1:29" ht="12.75" customHeight="1">
      <c r="A206" s="319"/>
      <c r="B206" s="614"/>
      <c r="C206" s="319"/>
      <c r="D206" s="614"/>
      <c r="E206" s="614"/>
      <c r="F206" s="614"/>
      <c r="G206" s="614"/>
      <c r="H206" s="614"/>
      <c r="I206" s="614"/>
      <c r="J206" s="614"/>
      <c r="K206" s="614"/>
      <c r="L206" s="614"/>
      <c r="M206" s="614"/>
      <c r="N206" s="614"/>
      <c r="O206" s="614"/>
      <c r="P206" s="614"/>
      <c r="Q206" s="614"/>
      <c r="R206" s="614"/>
      <c r="S206" s="614"/>
      <c r="T206" s="614"/>
      <c r="U206" s="614"/>
      <c r="V206" s="614"/>
      <c r="W206" s="614"/>
      <c r="X206" s="614"/>
      <c r="Y206" s="614"/>
      <c r="Z206" s="614"/>
      <c r="AA206" s="614"/>
      <c r="AB206" s="614"/>
      <c r="AC206" s="614"/>
    </row>
    <row r="207" spans="1:29" ht="12.75" customHeight="1">
      <c r="A207" s="319"/>
      <c r="B207" s="614"/>
      <c r="C207" s="319"/>
      <c r="D207" s="614"/>
      <c r="E207" s="614"/>
      <c r="F207" s="614"/>
      <c r="G207" s="614"/>
      <c r="H207" s="614"/>
      <c r="I207" s="614"/>
      <c r="J207" s="614"/>
      <c r="K207" s="614"/>
      <c r="L207" s="614"/>
      <c r="M207" s="614"/>
      <c r="N207" s="614"/>
      <c r="O207" s="614"/>
      <c r="P207" s="614"/>
      <c r="Q207" s="614"/>
      <c r="R207" s="614"/>
      <c r="S207" s="614"/>
      <c r="T207" s="614"/>
      <c r="U207" s="614"/>
      <c r="V207" s="614"/>
      <c r="W207" s="614"/>
      <c r="X207" s="614"/>
      <c r="Y207" s="614"/>
      <c r="Z207" s="614"/>
      <c r="AA207" s="614"/>
      <c r="AB207" s="614"/>
      <c r="AC207" s="614"/>
    </row>
    <row r="208" spans="1:29" ht="12.75" customHeight="1">
      <c r="A208" s="319"/>
      <c r="B208" s="614"/>
      <c r="C208" s="319"/>
      <c r="D208" s="614"/>
      <c r="E208" s="614"/>
      <c r="F208" s="614"/>
      <c r="G208" s="614"/>
      <c r="H208" s="614"/>
      <c r="I208" s="614"/>
      <c r="J208" s="614"/>
      <c r="K208" s="614"/>
      <c r="L208" s="614"/>
      <c r="M208" s="614"/>
      <c r="N208" s="614"/>
      <c r="O208" s="614"/>
      <c r="P208" s="614"/>
      <c r="Q208" s="614"/>
      <c r="R208" s="614"/>
      <c r="S208" s="614"/>
      <c r="T208" s="614"/>
      <c r="U208" s="614"/>
      <c r="V208" s="614"/>
      <c r="W208" s="614"/>
      <c r="X208" s="614"/>
      <c r="Y208" s="614"/>
      <c r="Z208" s="614"/>
      <c r="AA208" s="614"/>
      <c r="AB208" s="614"/>
      <c r="AC208" s="614"/>
    </row>
    <row r="209" spans="1:29" ht="12.75" customHeight="1">
      <c r="A209" s="319"/>
      <c r="B209" s="614"/>
      <c r="C209" s="319"/>
      <c r="D209" s="614"/>
      <c r="E209" s="614"/>
      <c r="F209" s="614"/>
      <c r="G209" s="614"/>
      <c r="H209" s="614"/>
      <c r="I209" s="614"/>
      <c r="J209" s="614"/>
      <c r="K209" s="614"/>
      <c r="L209" s="614"/>
      <c r="M209" s="614"/>
      <c r="N209" s="614"/>
      <c r="O209" s="614"/>
      <c r="P209" s="614"/>
      <c r="Q209" s="614"/>
      <c r="R209" s="614"/>
      <c r="S209" s="614"/>
      <c r="T209" s="614"/>
      <c r="U209" s="614"/>
      <c r="V209" s="614"/>
      <c r="W209" s="614"/>
      <c r="X209" s="614"/>
      <c r="Y209" s="614"/>
      <c r="Z209" s="614"/>
      <c r="AA209" s="614"/>
      <c r="AB209" s="614"/>
      <c r="AC209" s="614"/>
    </row>
    <row r="210" spans="1:29" ht="12.75" customHeight="1">
      <c r="A210" s="319"/>
      <c r="B210" s="614"/>
      <c r="C210" s="319"/>
      <c r="D210" s="614"/>
      <c r="E210" s="614"/>
      <c r="F210" s="614"/>
      <c r="G210" s="614"/>
      <c r="H210" s="614"/>
      <c r="I210" s="614"/>
      <c r="J210" s="614"/>
      <c r="K210" s="614"/>
      <c r="L210" s="614"/>
      <c r="M210" s="614"/>
      <c r="N210" s="614"/>
      <c r="O210" s="614"/>
      <c r="P210" s="614"/>
      <c r="Q210" s="614"/>
      <c r="R210" s="614"/>
      <c r="S210" s="614"/>
      <c r="T210" s="614"/>
      <c r="U210" s="614"/>
      <c r="V210" s="614"/>
      <c r="W210" s="614"/>
      <c r="X210" s="614"/>
      <c r="Y210" s="614"/>
      <c r="Z210" s="614"/>
      <c r="AA210" s="614"/>
      <c r="AB210" s="614"/>
      <c r="AC210" s="614"/>
    </row>
    <row r="211" spans="1:29" ht="12.75" customHeight="1">
      <c r="A211" s="319"/>
      <c r="B211" s="614"/>
      <c r="C211" s="319"/>
      <c r="D211" s="614"/>
      <c r="E211" s="614"/>
      <c r="F211" s="614"/>
      <c r="G211" s="614"/>
      <c r="H211" s="614"/>
      <c r="I211" s="614"/>
      <c r="J211" s="614"/>
      <c r="K211" s="614"/>
      <c r="L211" s="614"/>
      <c r="M211" s="614"/>
      <c r="N211" s="614"/>
      <c r="O211" s="614"/>
      <c r="P211" s="614"/>
      <c r="Q211" s="614"/>
      <c r="R211" s="614"/>
      <c r="S211" s="614"/>
      <c r="T211" s="614"/>
      <c r="U211" s="614"/>
      <c r="V211" s="614"/>
      <c r="W211" s="614"/>
      <c r="X211" s="614"/>
      <c r="Y211" s="614"/>
      <c r="Z211" s="614"/>
      <c r="AA211" s="614"/>
      <c r="AB211" s="614"/>
      <c r="AC211" s="614"/>
    </row>
    <row r="212" spans="1:29" ht="12.75" customHeight="1">
      <c r="A212" s="319"/>
      <c r="B212" s="614"/>
      <c r="C212" s="319"/>
      <c r="D212" s="614"/>
      <c r="E212" s="614"/>
      <c r="F212" s="614"/>
      <c r="G212" s="614"/>
      <c r="H212" s="614"/>
      <c r="I212" s="614"/>
      <c r="J212" s="614"/>
      <c r="K212" s="614"/>
      <c r="L212" s="614"/>
      <c r="M212" s="614"/>
      <c r="N212" s="614"/>
      <c r="O212" s="614"/>
      <c r="P212" s="614"/>
      <c r="Q212" s="614"/>
      <c r="R212" s="614"/>
      <c r="S212" s="614"/>
      <c r="T212" s="614"/>
      <c r="U212" s="614"/>
      <c r="V212" s="614"/>
      <c r="W212" s="614"/>
      <c r="X212" s="614"/>
      <c r="Y212" s="614"/>
      <c r="Z212" s="614"/>
      <c r="AA212" s="614"/>
      <c r="AB212" s="614"/>
      <c r="AC212" s="614"/>
    </row>
    <row r="213" spans="1:29" ht="12.75" customHeight="1">
      <c r="A213" s="319"/>
      <c r="B213" s="614"/>
      <c r="C213" s="319"/>
      <c r="D213" s="614"/>
      <c r="E213" s="614"/>
      <c r="F213" s="614"/>
      <c r="G213" s="614"/>
      <c r="H213" s="614"/>
      <c r="I213" s="614"/>
      <c r="J213" s="614"/>
      <c r="K213" s="614"/>
      <c r="L213" s="614"/>
      <c r="M213" s="614"/>
      <c r="N213" s="614"/>
      <c r="O213" s="614"/>
      <c r="P213" s="614"/>
      <c r="Q213" s="614"/>
      <c r="R213" s="614"/>
      <c r="S213" s="614"/>
      <c r="T213" s="614"/>
      <c r="U213" s="614"/>
      <c r="V213" s="614"/>
      <c r="W213" s="614"/>
      <c r="X213" s="614"/>
      <c r="Y213" s="614"/>
      <c r="Z213" s="614"/>
      <c r="AA213" s="614"/>
      <c r="AB213" s="614"/>
      <c r="AC213" s="614"/>
    </row>
    <row r="214" spans="1:29" ht="12.75" customHeight="1">
      <c r="A214" s="319"/>
      <c r="B214" s="614"/>
      <c r="C214" s="319"/>
      <c r="D214" s="614"/>
      <c r="E214" s="614"/>
      <c r="F214" s="614"/>
      <c r="G214" s="614"/>
      <c r="H214" s="614"/>
      <c r="I214" s="614"/>
      <c r="J214" s="614"/>
      <c r="K214" s="614"/>
      <c r="L214" s="614"/>
      <c r="M214" s="614"/>
      <c r="N214" s="614"/>
      <c r="O214" s="614"/>
      <c r="P214" s="614"/>
      <c r="Q214" s="614"/>
      <c r="R214" s="614"/>
      <c r="S214" s="614"/>
      <c r="T214" s="614"/>
      <c r="U214" s="614"/>
      <c r="V214" s="614"/>
      <c r="W214" s="614"/>
      <c r="X214" s="614"/>
      <c r="Y214" s="614"/>
      <c r="Z214" s="614"/>
      <c r="AA214" s="614"/>
      <c r="AB214" s="614"/>
      <c r="AC214" s="614"/>
    </row>
    <row r="215" spans="1:29" ht="12.75" customHeight="1">
      <c r="A215" s="319"/>
      <c r="B215" s="614"/>
      <c r="C215" s="319"/>
      <c r="D215" s="614"/>
      <c r="E215" s="614"/>
      <c r="F215" s="614"/>
      <c r="G215" s="614"/>
      <c r="H215" s="614"/>
      <c r="I215" s="614"/>
      <c r="J215" s="614"/>
      <c r="K215" s="614"/>
      <c r="L215" s="614"/>
      <c r="M215" s="614"/>
      <c r="N215" s="614"/>
      <c r="O215" s="614"/>
      <c r="P215" s="614"/>
      <c r="Q215" s="614"/>
      <c r="R215" s="614"/>
      <c r="S215" s="614"/>
      <c r="T215" s="614"/>
      <c r="U215" s="614"/>
      <c r="V215" s="614"/>
      <c r="W215" s="614"/>
      <c r="X215" s="614"/>
      <c r="Y215" s="614"/>
      <c r="Z215" s="614"/>
      <c r="AA215" s="614"/>
      <c r="AB215" s="614"/>
      <c r="AC215" s="614"/>
    </row>
    <row r="216" spans="1:29" ht="12.75" customHeight="1">
      <c r="A216" s="319"/>
      <c r="B216" s="614"/>
      <c r="C216" s="319"/>
      <c r="D216" s="614"/>
      <c r="E216" s="614"/>
      <c r="F216" s="614"/>
      <c r="G216" s="614"/>
      <c r="H216" s="614"/>
      <c r="I216" s="614"/>
      <c r="J216" s="614"/>
      <c r="K216" s="614"/>
      <c r="L216" s="614"/>
      <c r="M216" s="614"/>
      <c r="N216" s="614"/>
      <c r="O216" s="614"/>
      <c r="P216" s="614"/>
      <c r="Q216" s="614"/>
      <c r="R216" s="614"/>
      <c r="S216" s="614"/>
      <c r="T216" s="614"/>
      <c r="U216" s="614"/>
      <c r="V216" s="614"/>
      <c r="W216" s="614"/>
      <c r="X216" s="614"/>
      <c r="Y216" s="614"/>
      <c r="Z216" s="614"/>
      <c r="AA216" s="614"/>
      <c r="AB216" s="614"/>
      <c r="AC216" s="614"/>
    </row>
    <row r="217" spans="1:29" ht="12.75" customHeight="1">
      <c r="A217" s="319"/>
      <c r="B217" s="614"/>
      <c r="C217" s="319"/>
      <c r="D217" s="614"/>
      <c r="E217" s="614"/>
      <c r="F217" s="614"/>
      <c r="G217" s="614"/>
      <c r="H217" s="614"/>
      <c r="I217" s="614"/>
      <c r="J217" s="614"/>
      <c r="K217" s="614"/>
      <c r="L217" s="614"/>
      <c r="M217" s="614"/>
      <c r="N217" s="614"/>
      <c r="O217" s="614"/>
      <c r="P217" s="614"/>
      <c r="Q217" s="614"/>
      <c r="R217" s="614"/>
      <c r="S217" s="614"/>
      <c r="T217" s="614"/>
      <c r="U217" s="614"/>
      <c r="V217" s="614"/>
      <c r="W217" s="614"/>
      <c r="X217" s="614"/>
      <c r="Y217" s="614"/>
      <c r="Z217" s="614"/>
      <c r="AA217" s="614"/>
      <c r="AB217" s="614"/>
      <c r="AC217" s="614"/>
    </row>
    <row r="218" spans="1:29" ht="12.75" customHeight="1">
      <c r="A218" s="319"/>
      <c r="B218" s="614"/>
      <c r="C218" s="319"/>
      <c r="D218" s="614"/>
      <c r="E218" s="614"/>
      <c r="F218" s="614"/>
      <c r="G218" s="614"/>
      <c r="H218" s="614"/>
      <c r="I218" s="614"/>
      <c r="J218" s="614"/>
      <c r="K218" s="614"/>
      <c r="L218" s="614"/>
      <c r="M218" s="614"/>
      <c r="N218" s="614"/>
      <c r="O218" s="614"/>
      <c r="P218" s="614"/>
      <c r="Q218" s="614"/>
      <c r="R218" s="614"/>
      <c r="S218" s="614"/>
      <c r="T218" s="614"/>
      <c r="U218" s="614"/>
      <c r="V218" s="614"/>
      <c r="W218" s="614"/>
      <c r="X218" s="614"/>
      <c r="Y218" s="614"/>
      <c r="Z218" s="614"/>
      <c r="AA218" s="614"/>
      <c r="AB218" s="614"/>
      <c r="AC218" s="614"/>
    </row>
    <row r="219" spans="1:29" ht="12.75" customHeight="1">
      <c r="A219" s="319"/>
      <c r="B219" s="614"/>
      <c r="C219" s="319"/>
      <c r="D219" s="614"/>
      <c r="E219" s="614"/>
      <c r="F219" s="614"/>
      <c r="G219" s="614"/>
      <c r="H219" s="614"/>
      <c r="I219" s="614"/>
      <c r="J219" s="614"/>
      <c r="K219" s="614"/>
      <c r="L219" s="614"/>
      <c r="M219" s="614"/>
      <c r="N219" s="614"/>
      <c r="O219" s="614"/>
      <c r="P219" s="614"/>
      <c r="Q219" s="614"/>
      <c r="R219" s="614"/>
      <c r="S219" s="614"/>
      <c r="T219" s="614"/>
      <c r="U219" s="614"/>
      <c r="V219" s="614"/>
      <c r="W219" s="614"/>
      <c r="X219" s="614"/>
      <c r="Y219" s="614"/>
      <c r="Z219" s="614"/>
      <c r="AA219" s="614"/>
      <c r="AB219" s="614"/>
      <c r="AC219" s="614"/>
    </row>
    <row r="220" spans="1:29" ht="12.75" customHeight="1">
      <c r="A220" s="319"/>
      <c r="B220" s="614"/>
      <c r="C220" s="319"/>
      <c r="D220" s="614"/>
      <c r="E220" s="614"/>
      <c r="F220" s="614"/>
      <c r="G220" s="614"/>
      <c r="H220" s="614"/>
      <c r="I220" s="614"/>
      <c r="J220" s="614"/>
      <c r="K220" s="614"/>
      <c r="L220" s="614"/>
      <c r="M220" s="614"/>
      <c r="N220" s="614"/>
      <c r="O220" s="614"/>
      <c r="P220" s="614"/>
      <c r="Q220" s="614"/>
      <c r="R220" s="614"/>
      <c r="S220" s="614"/>
      <c r="T220" s="614"/>
      <c r="U220" s="614"/>
      <c r="V220" s="614"/>
      <c r="W220" s="614"/>
      <c r="X220" s="614"/>
      <c r="Y220" s="614"/>
      <c r="Z220" s="614"/>
      <c r="AA220" s="614"/>
      <c r="AB220" s="614"/>
      <c r="AC220" s="614"/>
    </row>
    <row r="221" spans="1:29" ht="12.75" customHeight="1">
      <c r="A221" s="319"/>
      <c r="B221" s="614"/>
      <c r="C221" s="319"/>
      <c r="D221" s="614"/>
      <c r="E221" s="614"/>
      <c r="F221" s="614"/>
      <c r="G221" s="614"/>
      <c r="H221" s="614"/>
      <c r="I221" s="614"/>
      <c r="J221" s="614"/>
      <c r="K221" s="614"/>
      <c r="L221" s="614"/>
      <c r="M221" s="614"/>
      <c r="N221" s="614"/>
      <c r="O221" s="614"/>
      <c r="P221" s="614"/>
      <c r="Q221" s="614"/>
      <c r="R221" s="614"/>
      <c r="S221" s="614"/>
      <c r="T221" s="614"/>
      <c r="U221" s="614"/>
      <c r="V221" s="614"/>
      <c r="W221" s="614"/>
      <c r="X221" s="614"/>
      <c r="Y221" s="614"/>
      <c r="Z221" s="614"/>
      <c r="AA221" s="614"/>
      <c r="AB221" s="614"/>
      <c r="AC221" s="614"/>
    </row>
    <row r="222" spans="1:29" ht="12.75" customHeight="1">
      <c r="A222" s="319"/>
      <c r="B222" s="614"/>
      <c r="C222" s="319"/>
      <c r="D222" s="614"/>
      <c r="E222" s="614"/>
      <c r="F222" s="614"/>
      <c r="G222" s="614"/>
      <c r="H222" s="614"/>
      <c r="I222" s="614"/>
      <c r="J222" s="614"/>
      <c r="K222" s="614"/>
      <c r="L222" s="614"/>
      <c r="M222" s="614"/>
      <c r="N222" s="614"/>
      <c r="O222" s="614"/>
      <c r="P222" s="614"/>
      <c r="Q222" s="614"/>
      <c r="R222" s="614"/>
      <c r="S222" s="614"/>
      <c r="T222" s="614"/>
      <c r="U222" s="614"/>
      <c r="V222" s="614"/>
      <c r="W222" s="614"/>
      <c r="X222" s="614"/>
      <c r="Y222" s="614"/>
      <c r="Z222" s="614"/>
      <c r="AA222" s="614"/>
      <c r="AB222" s="614"/>
      <c r="AC222" s="614"/>
    </row>
    <row r="223" spans="1:29" ht="12.75" customHeight="1">
      <c r="A223" s="319"/>
      <c r="B223" s="614"/>
      <c r="C223" s="319"/>
      <c r="D223" s="614"/>
      <c r="E223" s="614"/>
      <c r="F223" s="614"/>
      <c r="G223" s="614"/>
      <c r="H223" s="614"/>
      <c r="I223" s="614"/>
      <c r="J223" s="614"/>
      <c r="K223" s="614"/>
      <c r="L223" s="614"/>
      <c r="M223" s="614"/>
      <c r="N223" s="614"/>
      <c r="O223" s="614"/>
      <c r="P223" s="614"/>
      <c r="Q223" s="614"/>
      <c r="R223" s="614"/>
      <c r="S223" s="614"/>
      <c r="T223" s="614"/>
      <c r="U223" s="614"/>
      <c r="V223" s="614"/>
      <c r="W223" s="614"/>
      <c r="X223" s="614"/>
      <c r="Y223" s="614"/>
      <c r="Z223" s="614"/>
      <c r="AA223" s="614"/>
      <c r="AB223" s="614"/>
      <c r="AC223" s="614"/>
    </row>
    <row r="224" spans="1:29" ht="12.75" customHeight="1">
      <c r="A224" s="319"/>
      <c r="B224" s="614"/>
      <c r="C224" s="319"/>
      <c r="D224" s="614"/>
      <c r="E224" s="614"/>
      <c r="F224" s="614"/>
      <c r="G224" s="614"/>
      <c r="H224" s="614"/>
      <c r="I224" s="614"/>
      <c r="J224" s="614"/>
      <c r="K224" s="614"/>
      <c r="L224" s="614"/>
      <c r="M224" s="614"/>
      <c r="N224" s="614"/>
      <c r="O224" s="614"/>
      <c r="P224" s="614"/>
      <c r="Q224" s="614"/>
      <c r="R224" s="614"/>
      <c r="S224" s="614"/>
      <c r="T224" s="614"/>
      <c r="U224" s="614"/>
      <c r="V224" s="614"/>
      <c r="W224" s="614"/>
      <c r="X224" s="614"/>
      <c r="Y224" s="614"/>
      <c r="Z224" s="614"/>
      <c r="AA224" s="614"/>
      <c r="AB224" s="614"/>
      <c r="AC224" s="614"/>
    </row>
    <row r="225" spans="1:29" ht="12.75" customHeight="1">
      <c r="A225" s="319"/>
      <c r="B225" s="614"/>
      <c r="C225" s="319"/>
      <c r="D225" s="614"/>
      <c r="E225" s="614"/>
      <c r="F225" s="614"/>
      <c r="G225" s="614"/>
      <c r="H225" s="614"/>
      <c r="I225" s="614"/>
      <c r="J225" s="614"/>
      <c r="K225" s="614"/>
      <c r="L225" s="614"/>
      <c r="M225" s="614"/>
      <c r="N225" s="614"/>
      <c r="O225" s="614"/>
      <c r="P225" s="614"/>
      <c r="Q225" s="614"/>
      <c r="R225" s="614"/>
      <c r="S225" s="614"/>
      <c r="T225" s="614"/>
      <c r="U225" s="614"/>
      <c r="V225" s="614"/>
      <c r="W225" s="614"/>
      <c r="X225" s="614"/>
      <c r="Y225" s="614"/>
      <c r="Z225" s="614"/>
      <c r="AA225" s="614"/>
      <c r="AB225" s="614"/>
      <c r="AC225" s="614"/>
    </row>
    <row r="226" spans="1:29" ht="12.75" customHeight="1">
      <c r="A226" s="319"/>
      <c r="B226" s="614"/>
      <c r="C226" s="319"/>
      <c r="D226" s="614"/>
      <c r="E226" s="614"/>
      <c r="F226" s="614"/>
      <c r="G226" s="614"/>
      <c r="H226" s="614"/>
      <c r="I226" s="614"/>
      <c r="J226" s="614"/>
      <c r="K226" s="614"/>
      <c r="L226" s="614"/>
      <c r="M226" s="614"/>
      <c r="N226" s="614"/>
      <c r="O226" s="614"/>
      <c r="P226" s="614"/>
      <c r="Q226" s="614"/>
      <c r="R226" s="614"/>
      <c r="S226" s="614"/>
      <c r="T226" s="614"/>
      <c r="U226" s="614"/>
      <c r="V226" s="614"/>
      <c r="W226" s="614"/>
      <c r="X226" s="614"/>
      <c r="Y226" s="614"/>
      <c r="Z226" s="614"/>
      <c r="AA226" s="614"/>
      <c r="AB226" s="614"/>
      <c r="AC226" s="614"/>
    </row>
    <row r="227" spans="1:29" ht="12.75" customHeight="1">
      <c r="A227" s="319"/>
      <c r="B227" s="614"/>
      <c r="C227" s="319"/>
      <c r="D227" s="614"/>
      <c r="E227" s="614"/>
      <c r="F227" s="614"/>
      <c r="G227" s="614"/>
      <c r="H227" s="614"/>
      <c r="I227" s="614"/>
      <c r="J227" s="614"/>
      <c r="K227" s="614"/>
      <c r="L227" s="614"/>
      <c r="M227" s="614"/>
      <c r="N227" s="614"/>
      <c r="O227" s="614"/>
      <c r="P227" s="614"/>
      <c r="Q227" s="614"/>
      <c r="R227" s="614"/>
      <c r="S227" s="614"/>
      <c r="T227" s="614"/>
      <c r="U227" s="614"/>
      <c r="V227" s="614"/>
      <c r="W227" s="614"/>
      <c r="X227" s="614"/>
      <c r="Y227" s="614"/>
      <c r="Z227" s="614"/>
      <c r="AA227" s="614"/>
      <c r="AB227" s="614"/>
      <c r="AC227" s="614"/>
    </row>
    <row r="228" spans="1:29" ht="12.75" customHeight="1">
      <c r="A228" s="319"/>
      <c r="B228" s="614"/>
      <c r="C228" s="319"/>
      <c r="D228" s="614"/>
      <c r="E228" s="614"/>
      <c r="F228" s="614"/>
      <c r="G228" s="614"/>
      <c r="H228" s="614"/>
      <c r="I228" s="614"/>
      <c r="J228" s="614"/>
      <c r="K228" s="614"/>
      <c r="L228" s="614"/>
      <c r="M228" s="614"/>
      <c r="N228" s="614"/>
      <c r="O228" s="614"/>
      <c r="P228" s="614"/>
      <c r="Q228" s="614"/>
      <c r="R228" s="614"/>
      <c r="S228" s="614"/>
      <c r="T228" s="614"/>
      <c r="U228" s="614"/>
      <c r="V228" s="614"/>
      <c r="W228" s="614"/>
      <c r="X228" s="614"/>
      <c r="Y228" s="614"/>
      <c r="Z228" s="614"/>
      <c r="AA228" s="614"/>
      <c r="AB228" s="614"/>
      <c r="AC228" s="614"/>
    </row>
    <row r="229" spans="1:29" ht="12.75" customHeight="1">
      <c r="A229" s="319"/>
      <c r="B229" s="614"/>
      <c r="C229" s="319"/>
      <c r="D229" s="614"/>
      <c r="E229" s="614"/>
      <c r="F229" s="614"/>
      <c r="G229" s="614"/>
      <c r="H229" s="614"/>
      <c r="I229" s="614"/>
      <c r="J229" s="614"/>
      <c r="K229" s="614"/>
      <c r="L229" s="614"/>
      <c r="M229" s="614"/>
      <c r="N229" s="614"/>
      <c r="O229" s="614"/>
      <c r="P229" s="614"/>
      <c r="Q229" s="614"/>
      <c r="R229" s="614"/>
      <c r="S229" s="614"/>
      <c r="T229" s="614"/>
      <c r="U229" s="614"/>
      <c r="V229" s="614"/>
      <c r="W229" s="614"/>
      <c r="X229" s="614"/>
      <c r="Y229" s="614"/>
      <c r="Z229" s="614"/>
      <c r="AA229" s="614"/>
      <c r="AB229" s="614"/>
      <c r="AC229" s="614"/>
    </row>
    <row r="230" spans="1:29" ht="12.75" customHeight="1">
      <c r="A230" s="319"/>
      <c r="B230" s="614"/>
      <c r="C230" s="319"/>
      <c r="D230" s="614"/>
      <c r="E230" s="614"/>
      <c r="F230" s="614"/>
      <c r="G230" s="614"/>
      <c r="H230" s="614"/>
      <c r="I230" s="614"/>
      <c r="J230" s="614"/>
      <c r="K230" s="614"/>
      <c r="L230" s="614"/>
      <c r="M230" s="614"/>
      <c r="N230" s="614"/>
      <c r="O230" s="614"/>
      <c r="P230" s="614"/>
      <c r="Q230" s="614"/>
      <c r="R230" s="614"/>
      <c r="S230" s="614"/>
      <c r="T230" s="614"/>
      <c r="U230" s="614"/>
      <c r="V230" s="614"/>
      <c r="W230" s="614"/>
      <c r="X230" s="614"/>
      <c r="Y230" s="614"/>
      <c r="Z230" s="614"/>
      <c r="AA230" s="614"/>
      <c r="AB230" s="614"/>
      <c r="AC230" s="614"/>
    </row>
    <row r="231" spans="1:29" ht="12.75" customHeight="1">
      <c r="A231" s="319"/>
      <c r="B231" s="614"/>
      <c r="C231" s="319"/>
      <c r="D231" s="614"/>
      <c r="E231" s="614"/>
      <c r="F231" s="614"/>
      <c r="G231" s="614"/>
      <c r="H231" s="614"/>
      <c r="I231" s="614"/>
      <c r="J231" s="614"/>
      <c r="K231" s="614"/>
      <c r="L231" s="614"/>
      <c r="M231" s="614"/>
      <c r="N231" s="614"/>
      <c r="O231" s="614"/>
      <c r="P231" s="614"/>
      <c r="Q231" s="614"/>
      <c r="R231" s="614"/>
      <c r="S231" s="614"/>
      <c r="T231" s="614"/>
      <c r="U231" s="614"/>
      <c r="V231" s="614"/>
      <c r="W231" s="614"/>
      <c r="X231" s="614"/>
      <c r="Y231" s="614"/>
      <c r="Z231" s="614"/>
      <c r="AA231" s="614"/>
      <c r="AB231" s="614"/>
      <c r="AC231" s="614"/>
    </row>
    <row r="232" spans="1:29" ht="12.75" customHeight="1">
      <c r="A232" s="319"/>
      <c r="B232" s="614"/>
      <c r="C232" s="319"/>
      <c r="D232" s="614"/>
      <c r="E232" s="614"/>
      <c r="F232" s="614"/>
      <c r="G232" s="614"/>
      <c r="H232" s="614"/>
      <c r="I232" s="614"/>
      <c r="J232" s="614"/>
      <c r="K232" s="614"/>
      <c r="L232" s="614"/>
      <c r="M232" s="614"/>
      <c r="N232" s="614"/>
      <c r="O232" s="614"/>
      <c r="P232" s="614"/>
      <c r="Q232" s="614"/>
      <c r="R232" s="614"/>
      <c r="S232" s="614"/>
      <c r="T232" s="614"/>
      <c r="U232" s="614"/>
      <c r="V232" s="614"/>
      <c r="W232" s="614"/>
      <c r="X232" s="614"/>
      <c r="Y232" s="614"/>
      <c r="Z232" s="614"/>
      <c r="AA232" s="614"/>
      <c r="AB232" s="614"/>
      <c r="AC232" s="614"/>
    </row>
    <row r="233" spans="1:29" ht="12.75" customHeight="1">
      <c r="A233" s="319"/>
      <c r="B233" s="614"/>
      <c r="C233" s="319"/>
      <c r="D233" s="614"/>
      <c r="E233" s="614"/>
      <c r="F233" s="614"/>
      <c r="G233" s="614"/>
      <c r="H233" s="614"/>
      <c r="I233" s="614"/>
      <c r="J233" s="614"/>
      <c r="K233" s="614"/>
      <c r="L233" s="614"/>
      <c r="M233" s="614"/>
      <c r="N233" s="614"/>
      <c r="O233" s="614"/>
      <c r="P233" s="614"/>
      <c r="Q233" s="614"/>
      <c r="R233" s="614"/>
      <c r="S233" s="614"/>
      <c r="T233" s="614"/>
      <c r="U233" s="614"/>
      <c r="V233" s="614"/>
      <c r="W233" s="614"/>
      <c r="X233" s="614"/>
      <c r="Y233" s="614"/>
      <c r="Z233" s="614"/>
      <c r="AA233" s="614"/>
      <c r="AB233" s="614"/>
      <c r="AC233" s="614"/>
    </row>
    <row r="234" spans="1:29" ht="12.75" customHeight="1">
      <c r="A234" s="319"/>
      <c r="B234" s="614"/>
      <c r="C234" s="319"/>
      <c r="D234" s="614"/>
      <c r="E234" s="614"/>
      <c r="F234" s="614"/>
      <c r="G234" s="614"/>
      <c r="H234" s="614"/>
      <c r="I234" s="614"/>
      <c r="J234" s="614"/>
      <c r="K234" s="614"/>
      <c r="L234" s="614"/>
      <c r="M234" s="614"/>
      <c r="N234" s="614"/>
      <c r="O234" s="614"/>
      <c r="P234" s="614"/>
      <c r="Q234" s="614"/>
      <c r="R234" s="614"/>
      <c r="S234" s="614"/>
      <c r="T234" s="614"/>
      <c r="U234" s="614"/>
      <c r="V234" s="614"/>
      <c r="W234" s="614"/>
      <c r="X234" s="614"/>
      <c r="Y234" s="614"/>
      <c r="Z234" s="614"/>
      <c r="AA234" s="614"/>
      <c r="AB234" s="614"/>
      <c r="AC234" s="614"/>
    </row>
    <row r="235" spans="1:29" ht="12.75" customHeight="1">
      <c r="A235" s="319"/>
      <c r="B235" s="614"/>
      <c r="C235" s="319"/>
      <c r="D235" s="614"/>
      <c r="E235" s="614"/>
      <c r="F235" s="614"/>
      <c r="G235" s="614"/>
      <c r="H235" s="614"/>
      <c r="I235" s="614"/>
      <c r="J235" s="614"/>
      <c r="K235" s="614"/>
      <c r="L235" s="614"/>
      <c r="M235" s="614"/>
      <c r="N235" s="614"/>
      <c r="O235" s="614"/>
      <c r="P235" s="614"/>
      <c r="Q235" s="614"/>
      <c r="R235" s="614"/>
      <c r="S235" s="614"/>
      <c r="T235" s="614"/>
      <c r="U235" s="614"/>
      <c r="V235" s="614"/>
      <c r="W235" s="614"/>
      <c r="X235" s="614"/>
      <c r="Y235" s="614"/>
      <c r="Z235" s="614"/>
      <c r="AA235" s="614"/>
      <c r="AB235" s="614"/>
      <c r="AC235" s="614"/>
    </row>
    <row r="236" spans="1:29" ht="12.75" customHeight="1">
      <c r="A236" s="319"/>
      <c r="B236" s="614"/>
      <c r="C236" s="319"/>
      <c r="D236" s="614"/>
      <c r="E236" s="614"/>
      <c r="F236" s="614"/>
      <c r="G236" s="614"/>
      <c r="H236" s="614"/>
      <c r="I236" s="614"/>
      <c r="J236" s="614"/>
      <c r="K236" s="614"/>
      <c r="L236" s="614"/>
      <c r="M236" s="614"/>
      <c r="N236" s="614"/>
      <c r="O236" s="614"/>
      <c r="P236" s="614"/>
      <c r="Q236" s="614"/>
      <c r="R236" s="614"/>
      <c r="S236" s="614"/>
      <c r="T236" s="614"/>
      <c r="U236" s="614"/>
      <c r="V236" s="614"/>
      <c r="W236" s="614"/>
      <c r="X236" s="614"/>
      <c r="Y236" s="614"/>
      <c r="Z236" s="614"/>
      <c r="AA236" s="614"/>
      <c r="AB236" s="614"/>
      <c r="AC236" s="614"/>
    </row>
    <row r="237" spans="1:29" ht="12.75" customHeight="1">
      <c r="A237" s="319"/>
      <c r="B237" s="614"/>
      <c r="C237" s="319"/>
      <c r="D237" s="614"/>
      <c r="E237" s="614"/>
      <c r="F237" s="614"/>
      <c r="G237" s="614"/>
      <c r="H237" s="614"/>
      <c r="I237" s="614"/>
      <c r="J237" s="614"/>
      <c r="K237" s="614"/>
      <c r="L237" s="614"/>
      <c r="M237" s="614"/>
      <c r="N237" s="614"/>
      <c r="O237" s="614"/>
      <c r="P237" s="614"/>
      <c r="Q237" s="614"/>
      <c r="R237" s="614"/>
      <c r="S237" s="614"/>
      <c r="T237" s="614"/>
      <c r="U237" s="614"/>
      <c r="V237" s="614"/>
      <c r="W237" s="614"/>
      <c r="X237" s="614"/>
      <c r="Y237" s="614"/>
      <c r="Z237" s="614"/>
      <c r="AA237" s="614"/>
      <c r="AB237" s="614"/>
      <c r="AC237" s="614"/>
    </row>
    <row r="238" spans="1:29" ht="12.75" customHeight="1">
      <c r="A238" s="319"/>
      <c r="B238" s="614"/>
      <c r="C238" s="319"/>
      <c r="D238" s="614"/>
      <c r="E238" s="614"/>
      <c r="F238" s="614"/>
      <c r="G238" s="614"/>
      <c r="H238" s="614"/>
      <c r="I238" s="614"/>
      <c r="J238" s="614"/>
      <c r="K238" s="614"/>
      <c r="L238" s="614"/>
      <c r="M238" s="614"/>
      <c r="N238" s="614"/>
      <c r="O238" s="614"/>
      <c r="P238" s="614"/>
      <c r="Q238" s="614"/>
      <c r="R238" s="614"/>
      <c r="S238" s="614"/>
      <c r="T238" s="614"/>
      <c r="U238" s="614"/>
      <c r="V238" s="614"/>
      <c r="W238" s="614"/>
      <c r="X238" s="614"/>
      <c r="Y238" s="614"/>
      <c r="Z238" s="614"/>
      <c r="AA238" s="614"/>
      <c r="AB238" s="614"/>
      <c r="AC238" s="614"/>
    </row>
    <row r="239" spans="1:29" ht="12.75" customHeight="1">
      <c r="A239" s="319"/>
      <c r="B239" s="614"/>
      <c r="C239" s="319"/>
      <c r="D239" s="614"/>
      <c r="E239" s="614"/>
      <c r="F239" s="614"/>
      <c r="G239" s="614"/>
      <c r="H239" s="614"/>
      <c r="I239" s="614"/>
      <c r="J239" s="614"/>
      <c r="K239" s="614"/>
      <c r="L239" s="614"/>
      <c r="M239" s="614"/>
      <c r="N239" s="614"/>
      <c r="O239" s="614"/>
      <c r="P239" s="614"/>
      <c r="Q239" s="614"/>
      <c r="R239" s="614"/>
      <c r="S239" s="614"/>
      <c r="T239" s="614"/>
      <c r="U239" s="614"/>
      <c r="V239" s="614"/>
      <c r="W239" s="614"/>
      <c r="X239" s="614"/>
      <c r="Y239" s="614"/>
      <c r="Z239" s="614"/>
      <c r="AA239" s="614"/>
      <c r="AB239" s="614"/>
      <c r="AC239" s="614"/>
    </row>
    <row r="240" spans="1:29" ht="12.75" customHeight="1">
      <c r="A240" s="319"/>
      <c r="B240" s="614"/>
      <c r="C240" s="319"/>
      <c r="D240" s="614"/>
      <c r="E240" s="614"/>
      <c r="F240" s="614"/>
      <c r="G240" s="614"/>
      <c r="H240" s="614"/>
      <c r="I240" s="614"/>
      <c r="J240" s="614"/>
      <c r="K240" s="614"/>
      <c r="L240" s="614"/>
      <c r="M240" s="614"/>
      <c r="N240" s="614"/>
      <c r="O240" s="614"/>
      <c r="P240" s="614"/>
      <c r="Q240" s="614"/>
      <c r="R240" s="614"/>
      <c r="S240" s="614"/>
      <c r="T240" s="614"/>
      <c r="U240" s="614"/>
      <c r="V240" s="614"/>
      <c r="W240" s="614"/>
      <c r="X240" s="614"/>
      <c r="Y240" s="614"/>
      <c r="Z240" s="614"/>
      <c r="AA240" s="614"/>
      <c r="AB240" s="614"/>
      <c r="AC240" s="614"/>
    </row>
    <row r="241" spans="1:29" ht="12.75" customHeight="1">
      <c r="A241" s="319"/>
      <c r="B241" s="614"/>
      <c r="C241" s="319"/>
      <c r="D241" s="614"/>
      <c r="E241" s="614"/>
      <c r="F241" s="614"/>
      <c r="G241" s="614"/>
      <c r="H241" s="614"/>
      <c r="I241" s="614"/>
      <c r="J241" s="614"/>
      <c r="K241" s="614"/>
      <c r="L241" s="614"/>
      <c r="M241" s="614"/>
      <c r="N241" s="614"/>
      <c r="O241" s="614"/>
      <c r="P241" s="614"/>
      <c r="Q241" s="614"/>
      <c r="R241" s="614"/>
      <c r="S241" s="614"/>
      <c r="T241" s="614"/>
      <c r="U241" s="614"/>
      <c r="V241" s="614"/>
      <c r="W241" s="614"/>
      <c r="X241" s="614"/>
      <c r="Y241" s="614"/>
      <c r="Z241" s="614"/>
      <c r="AA241" s="614"/>
      <c r="AB241" s="614"/>
      <c r="AC241" s="614"/>
    </row>
    <row r="242" spans="1:29" ht="12.75" customHeight="1">
      <c r="A242" s="319"/>
      <c r="B242" s="614"/>
      <c r="C242" s="319"/>
      <c r="D242" s="614"/>
      <c r="E242" s="614"/>
      <c r="F242" s="614"/>
      <c r="G242" s="614"/>
      <c r="H242" s="614"/>
      <c r="I242" s="614"/>
      <c r="J242" s="614"/>
      <c r="K242" s="614"/>
      <c r="L242" s="614"/>
      <c r="M242" s="614"/>
      <c r="N242" s="614"/>
      <c r="O242" s="614"/>
      <c r="P242" s="614"/>
      <c r="Q242" s="614"/>
      <c r="R242" s="614"/>
      <c r="S242" s="614"/>
      <c r="T242" s="614"/>
      <c r="U242" s="614"/>
      <c r="V242" s="614"/>
      <c r="W242" s="614"/>
      <c r="X242" s="614"/>
      <c r="Y242" s="614"/>
      <c r="Z242" s="614"/>
      <c r="AA242" s="614"/>
      <c r="AB242" s="614"/>
      <c r="AC242" s="614"/>
    </row>
    <row r="243" spans="1:29" ht="12.75" customHeight="1">
      <c r="A243" s="319"/>
      <c r="B243" s="614"/>
      <c r="C243" s="319"/>
      <c r="D243" s="614"/>
      <c r="E243" s="614"/>
      <c r="F243" s="614"/>
      <c r="G243" s="614"/>
      <c r="H243" s="614"/>
      <c r="I243" s="614"/>
      <c r="J243" s="614"/>
      <c r="K243" s="614"/>
      <c r="L243" s="614"/>
      <c r="M243" s="614"/>
      <c r="N243" s="614"/>
      <c r="O243" s="614"/>
      <c r="P243" s="614"/>
      <c r="Q243" s="614"/>
      <c r="R243" s="614"/>
      <c r="S243" s="614"/>
      <c r="T243" s="614"/>
      <c r="U243" s="614"/>
      <c r="V243" s="614"/>
      <c r="W243" s="614"/>
      <c r="X243" s="614"/>
      <c r="Y243" s="614"/>
      <c r="Z243" s="614"/>
      <c r="AA243" s="614"/>
      <c r="AB243" s="614"/>
      <c r="AC243" s="614"/>
    </row>
    <row r="244" spans="1:29" ht="12.75" customHeight="1">
      <c r="A244" s="319"/>
      <c r="B244" s="614"/>
      <c r="C244" s="319"/>
      <c r="D244" s="614"/>
      <c r="E244" s="614"/>
      <c r="F244" s="614"/>
      <c r="G244" s="614"/>
      <c r="H244" s="614"/>
      <c r="I244" s="614"/>
      <c r="J244" s="614"/>
      <c r="K244" s="614"/>
      <c r="L244" s="614"/>
      <c r="M244" s="614"/>
      <c r="N244" s="614"/>
      <c r="O244" s="614"/>
      <c r="P244" s="614"/>
      <c r="Q244" s="614"/>
      <c r="R244" s="614"/>
      <c r="S244" s="614"/>
      <c r="T244" s="614"/>
      <c r="U244" s="614"/>
      <c r="V244" s="614"/>
      <c r="W244" s="614"/>
      <c r="X244" s="614"/>
      <c r="Y244" s="614"/>
      <c r="Z244" s="614"/>
      <c r="AA244" s="614"/>
      <c r="AB244" s="614"/>
      <c r="AC244" s="614"/>
    </row>
    <row r="245" spans="1:29" ht="12.75" customHeight="1">
      <c r="A245" s="319"/>
      <c r="B245" s="614"/>
      <c r="C245" s="319"/>
      <c r="D245" s="614"/>
      <c r="E245" s="614"/>
      <c r="F245" s="614"/>
      <c r="G245" s="614"/>
      <c r="H245" s="614"/>
      <c r="I245" s="614"/>
      <c r="J245" s="614"/>
      <c r="K245" s="614"/>
      <c r="L245" s="614"/>
      <c r="M245" s="614"/>
      <c r="N245" s="614"/>
      <c r="O245" s="614"/>
      <c r="P245" s="614"/>
      <c r="Q245" s="614"/>
      <c r="R245" s="614"/>
      <c r="S245" s="614"/>
      <c r="T245" s="614"/>
      <c r="U245" s="614"/>
      <c r="V245" s="614"/>
      <c r="W245" s="614"/>
      <c r="X245" s="614"/>
      <c r="Y245" s="614"/>
      <c r="Z245" s="614"/>
      <c r="AA245" s="614"/>
      <c r="AB245" s="614"/>
      <c r="AC245" s="614"/>
    </row>
    <row r="246" spans="1:29" ht="12.75" customHeight="1">
      <c r="A246" s="319"/>
      <c r="B246" s="614"/>
      <c r="C246" s="319"/>
      <c r="D246" s="614"/>
      <c r="E246" s="614"/>
      <c r="F246" s="614"/>
      <c r="G246" s="614"/>
      <c r="H246" s="614"/>
      <c r="I246" s="614"/>
      <c r="J246" s="614"/>
      <c r="K246" s="614"/>
      <c r="L246" s="614"/>
      <c r="M246" s="614"/>
      <c r="N246" s="614"/>
      <c r="O246" s="614"/>
      <c r="P246" s="614"/>
      <c r="Q246" s="614"/>
      <c r="R246" s="614"/>
      <c r="S246" s="614"/>
      <c r="T246" s="614"/>
      <c r="U246" s="614"/>
      <c r="V246" s="614"/>
      <c r="W246" s="614"/>
      <c r="X246" s="614"/>
      <c r="Y246" s="614"/>
      <c r="Z246" s="614"/>
      <c r="AA246" s="614"/>
      <c r="AB246" s="614"/>
      <c r="AC246" s="614"/>
    </row>
    <row r="247" spans="1:29" ht="12.75" customHeight="1">
      <c r="A247" s="319"/>
      <c r="B247" s="614"/>
      <c r="C247" s="319"/>
      <c r="D247" s="614"/>
      <c r="E247" s="614"/>
      <c r="F247" s="614"/>
      <c r="G247" s="614"/>
      <c r="H247" s="614"/>
      <c r="I247" s="614"/>
      <c r="J247" s="614"/>
      <c r="K247" s="614"/>
      <c r="L247" s="614"/>
      <c r="M247" s="614"/>
      <c r="N247" s="614"/>
      <c r="O247" s="614"/>
      <c r="P247" s="614"/>
      <c r="Q247" s="614"/>
      <c r="R247" s="614"/>
      <c r="S247" s="614"/>
      <c r="T247" s="614"/>
      <c r="U247" s="614"/>
      <c r="V247" s="614"/>
      <c r="W247" s="614"/>
      <c r="X247" s="614"/>
      <c r="Y247" s="614"/>
      <c r="Z247" s="614"/>
      <c r="AA247" s="614"/>
      <c r="AB247" s="614"/>
      <c r="AC247" s="614"/>
    </row>
    <row r="248" spans="1:29" ht="12.75" customHeight="1">
      <c r="A248" s="319"/>
      <c r="B248" s="614"/>
      <c r="C248" s="319"/>
      <c r="D248" s="614"/>
      <c r="E248" s="614"/>
      <c r="F248" s="614"/>
      <c r="G248" s="614"/>
      <c r="H248" s="614"/>
      <c r="I248" s="614"/>
      <c r="J248" s="614"/>
      <c r="K248" s="614"/>
      <c r="L248" s="614"/>
      <c r="M248" s="614"/>
      <c r="N248" s="614"/>
      <c r="O248" s="614"/>
      <c r="P248" s="614"/>
      <c r="Q248" s="614"/>
      <c r="R248" s="614"/>
      <c r="S248" s="614"/>
      <c r="T248" s="614"/>
      <c r="U248" s="614"/>
      <c r="V248" s="614"/>
      <c r="W248" s="614"/>
      <c r="X248" s="614"/>
      <c r="Y248" s="614"/>
      <c r="Z248" s="614"/>
      <c r="AA248" s="614"/>
      <c r="AB248" s="614"/>
      <c r="AC248" s="614"/>
    </row>
    <row r="249" spans="1:29" ht="12.75" customHeight="1">
      <c r="A249" s="319"/>
      <c r="B249" s="614"/>
      <c r="C249" s="319"/>
      <c r="D249" s="614"/>
      <c r="E249" s="614"/>
      <c r="F249" s="614"/>
      <c r="G249" s="614"/>
      <c r="H249" s="614"/>
      <c r="I249" s="614"/>
      <c r="J249" s="614"/>
      <c r="K249" s="614"/>
      <c r="L249" s="614"/>
      <c r="M249" s="614"/>
      <c r="N249" s="614"/>
      <c r="O249" s="614"/>
      <c r="P249" s="614"/>
      <c r="Q249" s="614"/>
      <c r="R249" s="614"/>
      <c r="S249" s="614"/>
      <c r="T249" s="614"/>
      <c r="U249" s="614"/>
      <c r="V249" s="614"/>
      <c r="W249" s="614"/>
      <c r="X249" s="614"/>
      <c r="Y249" s="614"/>
      <c r="Z249" s="614"/>
      <c r="AA249" s="614"/>
      <c r="AB249" s="614"/>
      <c r="AC249" s="614"/>
    </row>
    <row r="250" spans="1:29" ht="12.75" customHeight="1">
      <c r="A250" s="319"/>
      <c r="B250" s="614"/>
      <c r="C250" s="319"/>
      <c r="D250" s="614"/>
      <c r="E250" s="614"/>
      <c r="F250" s="614"/>
      <c r="G250" s="614"/>
      <c r="H250" s="614"/>
      <c r="I250" s="614"/>
      <c r="J250" s="614"/>
      <c r="K250" s="614"/>
      <c r="L250" s="614"/>
      <c r="M250" s="614"/>
      <c r="N250" s="614"/>
      <c r="O250" s="614"/>
      <c r="P250" s="614"/>
      <c r="Q250" s="614"/>
      <c r="R250" s="614"/>
      <c r="S250" s="614"/>
      <c r="T250" s="614"/>
      <c r="U250" s="614"/>
      <c r="V250" s="614"/>
      <c r="W250" s="614"/>
      <c r="X250" s="614"/>
      <c r="Y250" s="614"/>
      <c r="Z250" s="614"/>
      <c r="AA250" s="614"/>
      <c r="AB250" s="614"/>
      <c r="AC250" s="614"/>
    </row>
    <row r="251" spans="1:29" ht="12.75" customHeight="1">
      <c r="A251" s="319"/>
      <c r="B251" s="614"/>
      <c r="C251" s="319"/>
      <c r="D251" s="614"/>
      <c r="E251" s="614"/>
      <c r="F251" s="614"/>
      <c r="G251" s="614"/>
      <c r="H251" s="614"/>
      <c r="I251" s="614"/>
      <c r="J251" s="614"/>
      <c r="K251" s="614"/>
      <c r="L251" s="614"/>
      <c r="M251" s="614"/>
      <c r="N251" s="614"/>
      <c r="O251" s="614"/>
      <c r="P251" s="614"/>
      <c r="Q251" s="614"/>
      <c r="R251" s="614"/>
      <c r="S251" s="614"/>
      <c r="T251" s="614"/>
      <c r="U251" s="614"/>
      <c r="V251" s="614"/>
      <c r="W251" s="614"/>
      <c r="X251" s="614"/>
      <c r="Y251" s="614"/>
      <c r="Z251" s="614"/>
      <c r="AA251" s="614"/>
      <c r="AB251" s="614"/>
      <c r="AC251" s="614"/>
    </row>
    <row r="252" spans="1:29" ht="12.75" customHeight="1">
      <c r="A252" s="319"/>
      <c r="B252" s="614"/>
      <c r="C252" s="319"/>
      <c r="D252" s="614"/>
      <c r="E252" s="614"/>
      <c r="F252" s="614"/>
      <c r="G252" s="614"/>
      <c r="H252" s="614"/>
      <c r="I252" s="614"/>
      <c r="J252" s="614"/>
      <c r="K252" s="614"/>
      <c r="L252" s="614"/>
      <c r="M252" s="614"/>
      <c r="N252" s="614"/>
      <c r="O252" s="614"/>
      <c r="P252" s="614"/>
      <c r="Q252" s="614"/>
      <c r="R252" s="614"/>
      <c r="S252" s="614"/>
      <c r="T252" s="614"/>
      <c r="U252" s="614"/>
      <c r="V252" s="614"/>
      <c r="W252" s="614"/>
      <c r="X252" s="614"/>
      <c r="Y252" s="614"/>
      <c r="Z252" s="614"/>
      <c r="AA252" s="614"/>
      <c r="AB252" s="614"/>
      <c r="AC252" s="614"/>
    </row>
    <row r="253" spans="1:29" ht="12.75" customHeight="1">
      <c r="A253" s="319"/>
      <c r="B253" s="614"/>
      <c r="C253" s="319"/>
      <c r="D253" s="614"/>
      <c r="E253" s="614"/>
      <c r="F253" s="614"/>
      <c r="G253" s="614"/>
      <c r="H253" s="614"/>
      <c r="I253" s="614"/>
      <c r="J253" s="614"/>
      <c r="K253" s="614"/>
      <c r="L253" s="614"/>
      <c r="M253" s="614"/>
      <c r="N253" s="614"/>
      <c r="O253" s="614"/>
      <c r="P253" s="614"/>
      <c r="Q253" s="614"/>
      <c r="R253" s="614"/>
      <c r="S253" s="614"/>
      <c r="T253" s="614"/>
      <c r="U253" s="614"/>
      <c r="V253" s="614"/>
      <c r="W253" s="614"/>
      <c r="X253" s="614"/>
      <c r="Y253" s="614"/>
      <c r="Z253" s="614"/>
      <c r="AA253" s="614"/>
      <c r="AB253" s="614"/>
      <c r="AC253" s="614"/>
    </row>
    <row r="254" spans="1:29" ht="12.75" customHeight="1">
      <c r="A254" s="319"/>
      <c r="B254" s="614"/>
      <c r="C254" s="319"/>
      <c r="D254" s="614"/>
      <c r="E254" s="614"/>
      <c r="F254" s="614"/>
      <c r="G254" s="614"/>
      <c r="H254" s="614"/>
      <c r="I254" s="614"/>
      <c r="J254" s="614"/>
      <c r="K254" s="614"/>
      <c r="L254" s="614"/>
      <c r="M254" s="614"/>
      <c r="N254" s="614"/>
      <c r="O254" s="614"/>
      <c r="P254" s="614"/>
      <c r="Q254" s="614"/>
      <c r="R254" s="614"/>
      <c r="S254" s="614"/>
      <c r="T254" s="614"/>
      <c r="U254" s="614"/>
      <c r="V254" s="614"/>
      <c r="W254" s="614"/>
      <c r="X254" s="614"/>
      <c r="Y254" s="614"/>
      <c r="Z254" s="614"/>
      <c r="AA254" s="614"/>
      <c r="AB254" s="614"/>
      <c r="AC254" s="614"/>
    </row>
    <row r="255" spans="1:29" ht="12.75" customHeight="1">
      <c r="A255" s="319"/>
      <c r="B255" s="614"/>
      <c r="C255" s="319"/>
      <c r="D255" s="614"/>
      <c r="E255" s="614"/>
      <c r="F255" s="614"/>
      <c r="G255" s="614"/>
      <c r="H255" s="614"/>
      <c r="I255" s="614"/>
      <c r="J255" s="614"/>
      <c r="K255" s="614"/>
      <c r="L255" s="614"/>
      <c r="M255" s="614"/>
      <c r="N255" s="614"/>
      <c r="O255" s="614"/>
      <c r="P255" s="614"/>
      <c r="Q255" s="614"/>
      <c r="R255" s="614"/>
      <c r="S255" s="614"/>
      <c r="T255" s="614"/>
      <c r="U255" s="614"/>
      <c r="V255" s="614"/>
      <c r="W255" s="614"/>
      <c r="X255" s="614"/>
      <c r="Y255" s="614"/>
      <c r="Z255" s="614"/>
      <c r="AA255" s="614"/>
      <c r="AB255" s="614"/>
      <c r="AC255" s="614"/>
    </row>
    <row r="256" spans="1:29" ht="12.75" customHeight="1">
      <c r="A256" s="319"/>
      <c r="B256" s="614"/>
      <c r="C256" s="319"/>
      <c r="D256" s="614"/>
      <c r="E256" s="614"/>
      <c r="F256" s="614"/>
      <c r="G256" s="614"/>
      <c r="H256" s="614"/>
      <c r="I256" s="614"/>
      <c r="J256" s="614"/>
      <c r="K256" s="614"/>
      <c r="L256" s="614"/>
      <c r="M256" s="614"/>
      <c r="N256" s="614"/>
      <c r="O256" s="614"/>
      <c r="P256" s="614"/>
      <c r="Q256" s="614"/>
      <c r="R256" s="614"/>
      <c r="S256" s="614"/>
      <c r="T256" s="614"/>
      <c r="U256" s="614"/>
      <c r="V256" s="614"/>
      <c r="W256" s="614"/>
      <c r="X256" s="614"/>
      <c r="Y256" s="614"/>
      <c r="Z256" s="614"/>
      <c r="AA256" s="614"/>
      <c r="AB256" s="614"/>
      <c r="AC256" s="614"/>
    </row>
    <row r="257" spans="1:29" ht="12.75" customHeight="1">
      <c r="A257" s="319"/>
      <c r="B257" s="614"/>
      <c r="C257" s="319"/>
      <c r="D257" s="614"/>
      <c r="E257" s="614"/>
      <c r="F257" s="614"/>
      <c r="G257" s="614"/>
      <c r="H257" s="614"/>
      <c r="I257" s="614"/>
      <c r="J257" s="614"/>
      <c r="K257" s="614"/>
      <c r="L257" s="614"/>
      <c r="M257" s="614"/>
      <c r="N257" s="614"/>
      <c r="O257" s="614"/>
      <c r="P257" s="614"/>
      <c r="Q257" s="614"/>
      <c r="R257" s="614"/>
      <c r="S257" s="614"/>
      <c r="T257" s="614"/>
      <c r="U257" s="614"/>
      <c r="V257" s="614"/>
      <c r="W257" s="614"/>
      <c r="X257" s="614"/>
      <c r="Y257" s="614"/>
      <c r="Z257" s="614"/>
      <c r="AA257" s="614"/>
      <c r="AB257" s="614"/>
      <c r="AC257" s="614"/>
    </row>
    <row r="258" spans="1:29" ht="12.75" customHeight="1">
      <c r="A258" s="319"/>
      <c r="B258" s="614"/>
      <c r="C258" s="319"/>
      <c r="D258" s="614"/>
      <c r="E258" s="614"/>
      <c r="F258" s="614"/>
      <c r="G258" s="614"/>
      <c r="H258" s="614"/>
      <c r="I258" s="614"/>
      <c r="J258" s="614"/>
      <c r="K258" s="614"/>
      <c r="L258" s="614"/>
      <c r="M258" s="614"/>
      <c r="N258" s="614"/>
      <c r="O258" s="614"/>
      <c r="P258" s="614"/>
      <c r="Q258" s="614"/>
      <c r="R258" s="614"/>
      <c r="S258" s="614"/>
      <c r="T258" s="614"/>
      <c r="U258" s="614"/>
      <c r="V258" s="614"/>
      <c r="W258" s="614"/>
      <c r="X258" s="614"/>
      <c r="Y258" s="614"/>
      <c r="Z258" s="614"/>
      <c r="AA258" s="614"/>
      <c r="AB258" s="614"/>
      <c r="AC258" s="614"/>
    </row>
    <row r="259" spans="1:29" ht="12.75" customHeight="1">
      <c r="A259" s="319"/>
      <c r="B259" s="614"/>
      <c r="C259" s="319"/>
      <c r="D259" s="614"/>
      <c r="E259" s="614"/>
      <c r="F259" s="614"/>
      <c r="G259" s="614"/>
      <c r="H259" s="614"/>
      <c r="I259" s="614"/>
      <c r="J259" s="614"/>
      <c r="K259" s="614"/>
      <c r="L259" s="614"/>
      <c r="M259" s="614"/>
      <c r="N259" s="614"/>
      <c r="O259" s="614"/>
      <c r="P259" s="614"/>
      <c r="Q259" s="614"/>
      <c r="R259" s="614"/>
      <c r="S259" s="614"/>
      <c r="T259" s="614"/>
      <c r="U259" s="614"/>
      <c r="V259" s="614"/>
      <c r="W259" s="614"/>
      <c r="X259" s="614"/>
      <c r="Y259" s="614"/>
      <c r="Z259" s="614"/>
      <c r="AA259" s="614"/>
      <c r="AB259" s="614"/>
      <c r="AC259" s="614"/>
    </row>
    <row r="260" spans="1:29" ht="12.75" customHeight="1">
      <c r="A260" s="319"/>
      <c r="B260" s="614"/>
      <c r="C260" s="319"/>
      <c r="D260" s="614"/>
      <c r="E260" s="614"/>
      <c r="F260" s="614"/>
      <c r="G260" s="614"/>
      <c r="H260" s="614"/>
      <c r="I260" s="614"/>
      <c r="J260" s="614"/>
      <c r="K260" s="614"/>
      <c r="L260" s="614"/>
      <c r="M260" s="614"/>
      <c r="N260" s="614"/>
      <c r="O260" s="614"/>
      <c r="P260" s="614"/>
      <c r="Q260" s="614"/>
      <c r="R260" s="614"/>
      <c r="S260" s="614"/>
      <c r="T260" s="614"/>
      <c r="U260" s="614"/>
      <c r="V260" s="614"/>
      <c r="W260" s="614"/>
      <c r="X260" s="614"/>
      <c r="Y260" s="614"/>
      <c r="Z260" s="614"/>
      <c r="AA260" s="614"/>
      <c r="AB260" s="614"/>
      <c r="AC260" s="614"/>
    </row>
    <row r="261" spans="1:29" ht="12.75" customHeight="1">
      <c r="A261" s="319"/>
      <c r="B261" s="614"/>
      <c r="C261" s="319"/>
      <c r="D261" s="614"/>
      <c r="E261" s="614"/>
      <c r="F261" s="614"/>
      <c r="G261" s="614"/>
      <c r="H261" s="614"/>
      <c r="I261" s="614"/>
      <c r="J261" s="614"/>
      <c r="K261" s="614"/>
      <c r="L261" s="614"/>
      <c r="M261" s="614"/>
      <c r="N261" s="614"/>
      <c r="O261" s="614"/>
      <c r="P261" s="614"/>
      <c r="Q261" s="614"/>
      <c r="R261" s="614"/>
      <c r="S261" s="614"/>
      <c r="T261" s="614"/>
      <c r="U261" s="614"/>
      <c r="V261" s="614"/>
      <c r="W261" s="614"/>
      <c r="X261" s="614"/>
      <c r="Y261" s="614"/>
      <c r="Z261" s="614"/>
      <c r="AA261" s="614"/>
      <c r="AB261" s="614"/>
      <c r="AC261" s="614"/>
    </row>
    <row r="262" spans="1:29" ht="12.75" customHeight="1">
      <c r="A262" s="319"/>
      <c r="B262" s="614"/>
      <c r="C262" s="319"/>
      <c r="D262" s="614"/>
      <c r="E262" s="614"/>
      <c r="F262" s="614"/>
      <c r="G262" s="614"/>
      <c r="H262" s="614"/>
      <c r="I262" s="614"/>
      <c r="J262" s="614"/>
      <c r="K262" s="614"/>
      <c r="L262" s="614"/>
      <c r="M262" s="614"/>
      <c r="N262" s="614"/>
      <c r="O262" s="614"/>
      <c r="P262" s="614"/>
      <c r="Q262" s="614"/>
      <c r="R262" s="614"/>
      <c r="S262" s="614"/>
      <c r="T262" s="614"/>
      <c r="U262" s="614"/>
      <c r="V262" s="614"/>
      <c r="W262" s="614"/>
      <c r="X262" s="614"/>
      <c r="Y262" s="614"/>
      <c r="Z262" s="614"/>
      <c r="AA262" s="614"/>
      <c r="AB262" s="614"/>
      <c r="AC262" s="614"/>
    </row>
    <row r="263" spans="1:29" ht="12.75" customHeight="1">
      <c r="A263" s="319"/>
      <c r="B263" s="614"/>
      <c r="C263" s="319"/>
      <c r="D263" s="614"/>
      <c r="E263" s="614"/>
      <c r="F263" s="614"/>
      <c r="G263" s="614"/>
      <c r="H263" s="614"/>
      <c r="I263" s="614"/>
      <c r="J263" s="614"/>
      <c r="K263" s="614"/>
      <c r="L263" s="614"/>
      <c r="M263" s="614"/>
      <c r="N263" s="614"/>
      <c r="O263" s="614"/>
      <c r="P263" s="614"/>
      <c r="Q263" s="614"/>
      <c r="R263" s="614"/>
      <c r="S263" s="614"/>
      <c r="T263" s="614"/>
      <c r="U263" s="614"/>
      <c r="V263" s="614"/>
      <c r="W263" s="614"/>
      <c r="X263" s="614"/>
      <c r="Y263" s="614"/>
      <c r="Z263" s="614"/>
      <c r="AA263" s="614"/>
      <c r="AB263" s="614"/>
      <c r="AC263" s="614"/>
    </row>
    <row r="264" spans="1:29" ht="12.75" customHeight="1">
      <c r="A264" s="319"/>
      <c r="B264" s="614"/>
      <c r="C264" s="319"/>
      <c r="D264" s="614"/>
      <c r="E264" s="614"/>
      <c r="F264" s="614"/>
      <c r="G264" s="614"/>
      <c r="H264" s="614"/>
      <c r="I264" s="614"/>
      <c r="J264" s="614"/>
      <c r="K264" s="614"/>
      <c r="L264" s="614"/>
      <c r="M264" s="614"/>
      <c r="N264" s="614"/>
      <c r="O264" s="614"/>
      <c r="P264" s="614"/>
      <c r="Q264" s="614"/>
      <c r="R264" s="614"/>
      <c r="S264" s="614"/>
      <c r="T264" s="614"/>
      <c r="U264" s="614"/>
      <c r="V264" s="614"/>
      <c r="W264" s="614"/>
      <c r="X264" s="614"/>
      <c r="Y264" s="614"/>
      <c r="Z264" s="614"/>
      <c r="AA264" s="614"/>
      <c r="AB264" s="614"/>
      <c r="AC264" s="614"/>
    </row>
    <row r="265" spans="1:29" ht="12.75" customHeight="1">
      <c r="A265" s="319"/>
      <c r="B265" s="614"/>
      <c r="C265" s="319"/>
      <c r="D265" s="614"/>
      <c r="E265" s="614"/>
      <c r="F265" s="614"/>
      <c r="G265" s="614"/>
      <c r="H265" s="614"/>
      <c r="I265" s="614"/>
      <c r="J265" s="614"/>
      <c r="K265" s="614"/>
      <c r="L265" s="614"/>
      <c r="M265" s="614"/>
      <c r="N265" s="614"/>
      <c r="O265" s="614"/>
      <c r="P265" s="614"/>
      <c r="Q265" s="614"/>
      <c r="R265" s="614"/>
      <c r="S265" s="614"/>
      <c r="T265" s="614"/>
      <c r="U265" s="614"/>
      <c r="V265" s="614"/>
      <c r="W265" s="614"/>
      <c r="X265" s="614"/>
      <c r="Y265" s="614"/>
      <c r="Z265" s="614"/>
      <c r="AA265" s="614"/>
      <c r="AB265" s="614"/>
      <c r="AC265" s="614"/>
    </row>
    <row r="266" spans="1:29" ht="12.75" customHeight="1">
      <c r="A266" s="319"/>
      <c r="B266" s="614"/>
      <c r="C266" s="319"/>
      <c r="D266" s="614"/>
      <c r="E266" s="614"/>
      <c r="F266" s="614"/>
      <c r="G266" s="614"/>
      <c r="H266" s="614"/>
      <c r="I266" s="614"/>
      <c r="J266" s="614"/>
      <c r="K266" s="614"/>
      <c r="L266" s="614"/>
      <c r="M266" s="614"/>
      <c r="N266" s="614"/>
      <c r="O266" s="614"/>
      <c r="P266" s="614"/>
      <c r="Q266" s="614"/>
      <c r="R266" s="614"/>
      <c r="S266" s="614"/>
      <c r="T266" s="614"/>
      <c r="U266" s="614"/>
      <c r="V266" s="614"/>
      <c r="W266" s="614"/>
      <c r="X266" s="614"/>
      <c r="Y266" s="614"/>
      <c r="Z266" s="614"/>
      <c r="AA266" s="614"/>
      <c r="AB266" s="614"/>
      <c r="AC266" s="614"/>
    </row>
    <row r="267" spans="1:29" ht="12.75" customHeight="1">
      <c r="A267" s="319"/>
      <c r="B267" s="614"/>
      <c r="C267" s="319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4"/>
      <c r="X267" s="614"/>
      <c r="Y267" s="614"/>
      <c r="Z267" s="614"/>
      <c r="AA267" s="614"/>
      <c r="AB267" s="614"/>
      <c r="AC267" s="614"/>
    </row>
    <row r="268" spans="1:29" ht="12.75" customHeight="1">
      <c r="A268" s="319"/>
      <c r="B268" s="614"/>
      <c r="C268" s="319"/>
      <c r="D268" s="614"/>
      <c r="E268" s="614"/>
      <c r="F268" s="614"/>
      <c r="G268" s="614"/>
      <c r="H268" s="614"/>
      <c r="I268" s="614"/>
      <c r="J268" s="614"/>
      <c r="K268" s="614"/>
      <c r="L268" s="614"/>
      <c r="M268" s="614"/>
      <c r="N268" s="614"/>
      <c r="O268" s="614"/>
      <c r="P268" s="614"/>
      <c r="Q268" s="614"/>
      <c r="R268" s="614"/>
      <c r="S268" s="614"/>
      <c r="T268" s="614"/>
      <c r="U268" s="614"/>
      <c r="V268" s="614"/>
      <c r="W268" s="614"/>
      <c r="X268" s="614"/>
      <c r="Y268" s="614"/>
      <c r="Z268" s="614"/>
      <c r="AA268" s="614"/>
      <c r="AB268" s="614"/>
      <c r="AC268" s="614"/>
    </row>
    <row r="269" spans="1:29" ht="12.75" customHeight="1">
      <c r="A269" s="319"/>
      <c r="B269" s="614"/>
      <c r="C269" s="319"/>
      <c r="D269" s="614"/>
      <c r="E269" s="614"/>
      <c r="F269" s="614"/>
      <c r="G269" s="614"/>
      <c r="H269" s="614"/>
      <c r="I269" s="614"/>
      <c r="J269" s="614"/>
      <c r="K269" s="614"/>
      <c r="L269" s="614"/>
      <c r="M269" s="614"/>
      <c r="N269" s="614"/>
      <c r="O269" s="614"/>
      <c r="P269" s="614"/>
      <c r="Q269" s="614"/>
      <c r="R269" s="614"/>
      <c r="S269" s="614"/>
      <c r="T269" s="614"/>
      <c r="U269" s="614"/>
      <c r="V269" s="614"/>
      <c r="W269" s="614"/>
      <c r="X269" s="614"/>
      <c r="Y269" s="614"/>
      <c r="Z269" s="614"/>
      <c r="AA269" s="614"/>
      <c r="AB269" s="614"/>
      <c r="AC269" s="614"/>
    </row>
    <row r="270" spans="1:29" ht="12.75" customHeight="1">
      <c r="A270" s="319"/>
      <c r="B270" s="614"/>
      <c r="C270" s="319"/>
      <c r="D270" s="614"/>
      <c r="E270" s="614"/>
      <c r="F270" s="614"/>
      <c r="G270" s="614"/>
      <c r="H270" s="614"/>
      <c r="I270" s="614"/>
      <c r="J270" s="614"/>
      <c r="K270" s="614"/>
      <c r="L270" s="614"/>
      <c r="M270" s="614"/>
      <c r="N270" s="614"/>
      <c r="O270" s="614"/>
      <c r="P270" s="614"/>
      <c r="Q270" s="614"/>
      <c r="R270" s="614"/>
      <c r="S270" s="614"/>
      <c r="T270" s="614"/>
      <c r="U270" s="614"/>
      <c r="V270" s="614"/>
      <c r="W270" s="614"/>
      <c r="X270" s="614"/>
      <c r="Y270" s="614"/>
      <c r="Z270" s="614"/>
      <c r="AA270" s="614"/>
      <c r="AB270" s="614"/>
      <c r="AC270" s="614"/>
    </row>
    <row r="271" spans="1:29" ht="12.75" customHeight="1">
      <c r="A271" s="319"/>
      <c r="B271" s="614"/>
      <c r="C271" s="319"/>
      <c r="D271" s="614"/>
      <c r="E271" s="614"/>
      <c r="F271" s="614"/>
      <c r="G271" s="614"/>
      <c r="H271" s="614"/>
      <c r="I271" s="614"/>
      <c r="J271" s="614"/>
      <c r="K271" s="614"/>
      <c r="L271" s="614"/>
      <c r="M271" s="614"/>
      <c r="N271" s="614"/>
      <c r="O271" s="614"/>
      <c r="P271" s="614"/>
      <c r="Q271" s="614"/>
      <c r="R271" s="614"/>
      <c r="S271" s="614"/>
      <c r="T271" s="614"/>
      <c r="U271" s="614"/>
      <c r="V271" s="614"/>
      <c r="W271" s="614"/>
      <c r="X271" s="614"/>
      <c r="Y271" s="614"/>
      <c r="Z271" s="614"/>
      <c r="AA271" s="614"/>
      <c r="AB271" s="614"/>
      <c r="AC271" s="614"/>
    </row>
    <row r="272" spans="1:29" ht="12.75" customHeight="1">
      <c r="A272" s="319"/>
      <c r="B272" s="614"/>
      <c r="C272" s="319"/>
      <c r="D272" s="614"/>
      <c r="E272" s="614"/>
      <c r="F272" s="614"/>
      <c r="G272" s="614"/>
      <c r="H272" s="614"/>
      <c r="I272" s="614"/>
      <c r="J272" s="614"/>
      <c r="K272" s="614"/>
      <c r="L272" s="614"/>
      <c r="M272" s="614"/>
      <c r="N272" s="614"/>
      <c r="O272" s="614"/>
      <c r="P272" s="614"/>
      <c r="Q272" s="614"/>
      <c r="R272" s="614"/>
      <c r="S272" s="614"/>
      <c r="T272" s="614"/>
      <c r="U272" s="614"/>
      <c r="V272" s="614"/>
      <c r="W272" s="614"/>
      <c r="X272" s="614"/>
      <c r="Y272" s="614"/>
      <c r="Z272" s="614"/>
      <c r="AA272" s="614"/>
      <c r="AB272" s="614"/>
      <c r="AC272" s="614"/>
    </row>
    <row r="273" spans="1:29" ht="12.75" customHeight="1">
      <c r="A273" s="319"/>
      <c r="B273" s="614"/>
      <c r="C273" s="319"/>
      <c r="D273" s="614"/>
      <c r="E273" s="614"/>
      <c r="F273" s="614"/>
      <c r="G273" s="614"/>
      <c r="H273" s="614"/>
      <c r="I273" s="614"/>
      <c r="J273" s="614"/>
      <c r="K273" s="614"/>
      <c r="L273" s="614"/>
      <c r="M273" s="614"/>
      <c r="N273" s="614"/>
      <c r="O273" s="614"/>
      <c r="P273" s="614"/>
      <c r="Q273" s="614"/>
      <c r="R273" s="614"/>
      <c r="S273" s="614"/>
      <c r="T273" s="614"/>
      <c r="U273" s="614"/>
      <c r="V273" s="614"/>
      <c r="W273" s="614"/>
      <c r="X273" s="614"/>
      <c r="Y273" s="614"/>
      <c r="Z273" s="614"/>
      <c r="AA273" s="614"/>
      <c r="AB273" s="614"/>
      <c r="AC273" s="614"/>
    </row>
    <row r="274" spans="1:29" ht="12.75" customHeight="1">
      <c r="A274" s="319"/>
      <c r="B274" s="614"/>
      <c r="C274" s="319"/>
      <c r="D274" s="614"/>
      <c r="E274" s="614"/>
      <c r="F274" s="614"/>
      <c r="G274" s="614"/>
      <c r="H274" s="614"/>
      <c r="I274" s="614"/>
      <c r="J274" s="614"/>
      <c r="K274" s="614"/>
      <c r="L274" s="614"/>
      <c r="M274" s="614"/>
      <c r="N274" s="614"/>
      <c r="O274" s="614"/>
      <c r="P274" s="614"/>
      <c r="Q274" s="614"/>
      <c r="R274" s="614"/>
      <c r="S274" s="614"/>
      <c r="T274" s="614"/>
      <c r="U274" s="614"/>
      <c r="V274" s="614"/>
      <c r="W274" s="614"/>
      <c r="X274" s="614"/>
      <c r="Y274" s="614"/>
      <c r="Z274" s="614"/>
      <c r="AA274" s="614"/>
      <c r="AB274" s="614"/>
      <c r="AC274" s="614"/>
    </row>
    <row r="275" spans="1:29" ht="12.75" customHeight="1">
      <c r="A275" s="319"/>
      <c r="B275" s="614"/>
      <c r="C275" s="319"/>
      <c r="D275" s="614"/>
      <c r="E275" s="614"/>
      <c r="F275" s="614"/>
      <c r="G275" s="614"/>
      <c r="H275" s="614"/>
      <c r="I275" s="614"/>
      <c r="J275" s="614"/>
      <c r="K275" s="614"/>
      <c r="L275" s="614"/>
      <c r="M275" s="614"/>
      <c r="N275" s="614"/>
      <c r="O275" s="614"/>
      <c r="P275" s="614"/>
      <c r="Q275" s="614"/>
      <c r="R275" s="614"/>
      <c r="S275" s="614"/>
      <c r="T275" s="614"/>
      <c r="U275" s="614"/>
      <c r="V275" s="614"/>
      <c r="W275" s="614"/>
      <c r="X275" s="614"/>
      <c r="Y275" s="614"/>
      <c r="Z275" s="614"/>
      <c r="AA275" s="614"/>
      <c r="AB275" s="614"/>
      <c r="AC275" s="614"/>
    </row>
    <row r="276" spans="1:29" ht="12.75" customHeight="1">
      <c r="A276" s="319"/>
      <c r="B276" s="614"/>
      <c r="C276" s="319"/>
      <c r="D276" s="614"/>
      <c r="E276" s="614"/>
      <c r="F276" s="614"/>
      <c r="G276" s="614"/>
      <c r="H276" s="614"/>
      <c r="I276" s="614"/>
      <c r="J276" s="614"/>
      <c r="K276" s="614"/>
      <c r="L276" s="614"/>
      <c r="M276" s="614"/>
      <c r="N276" s="614"/>
      <c r="O276" s="614"/>
      <c r="P276" s="614"/>
      <c r="Q276" s="614"/>
      <c r="R276" s="614"/>
      <c r="S276" s="614"/>
      <c r="T276" s="614"/>
      <c r="U276" s="614"/>
      <c r="V276" s="614"/>
      <c r="W276" s="614"/>
      <c r="X276" s="614"/>
      <c r="Y276" s="614"/>
      <c r="Z276" s="614"/>
      <c r="AA276" s="614"/>
      <c r="AB276" s="614"/>
      <c r="AC276" s="614"/>
    </row>
    <row r="277" spans="1:29" ht="12.75" customHeight="1">
      <c r="A277" s="319"/>
      <c r="B277" s="614"/>
      <c r="C277" s="319"/>
      <c r="D277" s="614"/>
      <c r="E277" s="614"/>
      <c r="F277" s="614"/>
      <c r="G277" s="614"/>
      <c r="H277" s="614"/>
      <c r="I277" s="614"/>
      <c r="J277" s="614"/>
      <c r="K277" s="614"/>
      <c r="L277" s="614"/>
      <c r="M277" s="614"/>
      <c r="N277" s="614"/>
      <c r="O277" s="614"/>
      <c r="P277" s="614"/>
      <c r="Q277" s="614"/>
      <c r="R277" s="614"/>
      <c r="S277" s="614"/>
      <c r="T277" s="614"/>
      <c r="U277" s="614"/>
      <c r="V277" s="614"/>
      <c r="W277" s="614"/>
      <c r="X277" s="614"/>
      <c r="Y277" s="614"/>
      <c r="Z277" s="614"/>
      <c r="AA277" s="614"/>
      <c r="AB277" s="614"/>
      <c r="AC277" s="614"/>
    </row>
    <row r="278" spans="1:29" ht="12.75" customHeight="1">
      <c r="A278" s="319"/>
      <c r="B278" s="614"/>
      <c r="C278" s="319"/>
      <c r="D278" s="614"/>
      <c r="E278" s="614"/>
      <c r="F278" s="614"/>
      <c r="G278" s="614"/>
      <c r="H278" s="614"/>
      <c r="I278" s="614"/>
      <c r="J278" s="614"/>
      <c r="K278" s="614"/>
      <c r="L278" s="614"/>
      <c r="M278" s="614"/>
      <c r="N278" s="614"/>
      <c r="O278" s="614"/>
      <c r="P278" s="614"/>
      <c r="Q278" s="614"/>
      <c r="R278" s="614"/>
      <c r="S278" s="614"/>
      <c r="T278" s="614"/>
      <c r="U278" s="614"/>
      <c r="V278" s="614"/>
      <c r="W278" s="614"/>
      <c r="X278" s="614"/>
      <c r="Y278" s="614"/>
      <c r="Z278" s="614"/>
      <c r="AA278" s="614"/>
      <c r="AB278" s="614"/>
      <c r="AC278" s="614"/>
    </row>
    <row r="279" spans="1:29" ht="12.75" customHeight="1">
      <c r="A279" s="319"/>
      <c r="B279" s="614"/>
      <c r="C279" s="319"/>
      <c r="D279" s="614"/>
      <c r="E279" s="614"/>
      <c r="F279" s="614"/>
      <c r="G279" s="614"/>
      <c r="H279" s="614"/>
      <c r="I279" s="614"/>
      <c r="J279" s="614"/>
      <c r="K279" s="614"/>
      <c r="L279" s="614"/>
      <c r="M279" s="614"/>
      <c r="N279" s="614"/>
      <c r="O279" s="614"/>
      <c r="P279" s="614"/>
      <c r="Q279" s="614"/>
      <c r="R279" s="614"/>
      <c r="S279" s="614"/>
      <c r="T279" s="614"/>
      <c r="U279" s="614"/>
      <c r="V279" s="614"/>
      <c r="W279" s="614"/>
      <c r="X279" s="614"/>
      <c r="Y279" s="614"/>
      <c r="Z279" s="614"/>
      <c r="AA279" s="614"/>
      <c r="AB279" s="614"/>
      <c r="AC279" s="614"/>
    </row>
    <row r="280" spans="1:29" ht="12.75" customHeight="1">
      <c r="A280" s="319"/>
      <c r="B280" s="614"/>
      <c r="C280" s="319"/>
      <c r="D280" s="614"/>
      <c r="E280" s="614"/>
      <c r="F280" s="614"/>
      <c r="G280" s="614"/>
      <c r="H280" s="614"/>
      <c r="I280" s="614"/>
      <c r="J280" s="614"/>
      <c r="K280" s="614"/>
      <c r="L280" s="614"/>
      <c r="M280" s="614"/>
      <c r="N280" s="614"/>
      <c r="O280" s="614"/>
      <c r="P280" s="614"/>
      <c r="Q280" s="614"/>
      <c r="R280" s="614"/>
      <c r="S280" s="614"/>
      <c r="T280" s="614"/>
      <c r="U280" s="614"/>
      <c r="V280" s="614"/>
      <c r="W280" s="614"/>
      <c r="X280" s="614"/>
      <c r="Y280" s="614"/>
      <c r="Z280" s="614"/>
      <c r="AA280" s="614"/>
      <c r="AB280" s="614"/>
      <c r="AC280" s="614"/>
    </row>
    <row r="281" spans="1:29" ht="12.75" customHeight="1">
      <c r="A281" s="319"/>
      <c r="B281" s="614"/>
      <c r="C281" s="319"/>
      <c r="D281" s="614"/>
      <c r="E281" s="614"/>
      <c r="F281" s="614"/>
      <c r="G281" s="614"/>
      <c r="H281" s="614"/>
      <c r="I281" s="614"/>
      <c r="J281" s="614"/>
      <c r="K281" s="614"/>
      <c r="L281" s="614"/>
      <c r="M281" s="614"/>
      <c r="N281" s="614"/>
      <c r="O281" s="614"/>
      <c r="P281" s="614"/>
      <c r="Q281" s="614"/>
      <c r="R281" s="614"/>
      <c r="S281" s="614"/>
      <c r="T281" s="614"/>
      <c r="U281" s="614"/>
      <c r="V281" s="614"/>
      <c r="W281" s="614"/>
      <c r="X281" s="614"/>
      <c r="Y281" s="614"/>
      <c r="Z281" s="614"/>
      <c r="AA281" s="614"/>
      <c r="AB281" s="614"/>
      <c r="AC281" s="614"/>
    </row>
    <row r="282" spans="1:29" ht="12.75" customHeight="1">
      <c r="A282" s="319"/>
      <c r="B282" s="614"/>
      <c r="C282" s="319"/>
      <c r="D282" s="614"/>
      <c r="E282" s="614"/>
      <c r="F282" s="614"/>
      <c r="G282" s="614"/>
      <c r="H282" s="614"/>
      <c r="I282" s="614"/>
      <c r="J282" s="614"/>
      <c r="K282" s="614"/>
      <c r="L282" s="614"/>
      <c r="M282" s="614"/>
      <c r="N282" s="614"/>
      <c r="O282" s="614"/>
      <c r="P282" s="614"/>
      <c r="Q282" s="614"/>
      <c r="R282" s="614"/>
      <c r="S282" s="614"/>
      <c r="T282" s="614"/>
      <c r="U282" s="614"/>
      <c r="V282" s="614"/>
      <c r="W282" s="614"/>
      <c r="X282" s="614"/>
      <c r="Y282" s="614"/>
      <c r="Z282" s="614"/>
      <c r="AA282" s="614"/>
      <c r="AB282" s="614"/>
      <c r="AC282" s="614"/>
    </row>
    <row r="283" spans="1:29" ht="12.75" customHeight="1">
      <c r="A283" s="319"/>
      <c r="B283" s="614"/>
      <c r="C283" s="319"/>
      <c r="D283" s="614"/>
      <c r="E283" s="614"/>
      <c r="F283" s="614"/>
      <c r="G283" s="614"/>
      <c r="H283" s="614"/>
      <c r="I283" s="614"/>
      <c r="J283" s="614"/>
      <c r="K283" s="614"/>
      <c r="L283" s="614"/>
      <c r="M283" s="614"/>
      <c r="N283" s="614"/>
      <c r="O283" s="614"/>
      <c r="P283" s="614"/>
      <c r="Q283" s="614"/>
      <c r="R283" s="614"/>
      <c r="S283" s="614"/>
      <c r="T283" s="614"/>
      <c r="U283" s="614"/>
      <c r="V283" s="614"/>
      <c r="W283" s="614"/>
      <c r="X283" s="614"/>
      <c r="Y283" s="614"/>
      <c r="Z283" s="614"/>
      <c r="AA283" s="614"/>
      <c r="AB283" s="614"/>
      <c r="AC283" s="614"/>
    </row>
    <row r="284" spans="1:29" ht="12.75" customHeight="1">
      <c r="A284" s="319"/>
      <c r="B284" s="614"/>
      <c r="C284" s="319"/>
      <c r="D284" s="614"/>
      <c r="E284" s="614"/>
      <c r="F284" s="614"/>
      <c r="G284" s="614"/>
      <c r="H284" s="614"/>
      <c r="I284" s="614"/>
      <c r="J284" s="614"/>
      <c r="K284" s="614"/>
      <c r="L284" s="614"/>
      <c r="M284" s="614"/>
      <c r="N284" s="614"/>
      <c r="O284" s="614"/>
      <c r="P284" s="614"/>
      <c r="Q284" s="614"/>
      <c r="R284" s="614"/>
      <c r="S284" s="614"/>
      <c r="T284" s="614"/>
      <c r="U284" s="614"/>
      <c r="V284" s="614"/>
      <c r="W284" s="614"/>
      <c r="X284" s="614"/>
      <c r="Y284" s="614"/>
      <c r="Z284" s="614"/>
      <c r="AA284" s="614"/>
      <c r="AB284" s="614"/>
      <c r="AC284" s="614"/>
    </row>
    <row r="285" spans="1:29" ht="12.75" customHeight="1">
      <c r="A285" s="319"/>
      <c r="B285" s="614"/>
      <c r="C285" s="319"/>
      <c r="D285" s="614"/>
      <c r="E285" s="614"/>
      <c r="F285" s="614"/>
      <c r="G285" s="614"/>
      <c r="H285" s="614"/>
      <c r="I285" s="614"/>
      <c r="J285" s="614"/>
      <c r="K285" s="614"/>
      <c r="L285" s="614"/>
      <c r="M285" s="614"/>
      <c r="N285" s="614"/>
      <c r="O285" s="614"/>
      <c r="P285" s="614"/>
      <c r="Q285" s="614"/>
      <c r="R285" s="614"/>
      <c r="S285" s="614"/>
      <c r="T285" s="614"/>
      <c r="U285" s="614"/>
      <c r="V285" s="614"/>
      <c r="W285" s="614"/>
      <c r="X285" s="614"/>
      <c r="Y285" s="614"/>
      <c r="Z285" s="614"/>
      <c r="AA285" s="614"/>
      <c r="AB285" s="614"/>
      <c r="AC285" s="614"/>
    </row>
    <row r="286" spans="1:29" ht="12.75" customHeight="1">
      <c r="A286" s="319"/>
      <c r="B286" s="614"/>
      <c r="C286" s="319"/>
      <c r="D286" s="614"/>
      <c r="E286" s="614"/>
      <c r="F286" s="614"/>
      <c r="G286" s="614"/>
      <c r="H286" s="614"/>
      <c r="I286" s="614"/>
      <c r="J286" s="614"/>
      <c r="K286" s="614"/>
      <c r="L286" s="614"/>
      <c r="M286" s="614"/>
      <c r="N286" s="614"/>
      <c r="O286" s="614"/>
      <c r="P286" s="614"/>
      <c r="Q286" s="614"/>
      <c r="R286" s="614"/>
      <c r="S286" s="614"/>
      <c r="T286" s="614"/>
      <c r="U286" s="614"/>
      <c r="V286" s="614"/>
      <c r="W286" s="614"/>
      <c r="X286" s="614"/>
      <c r="Y286" s="614"/>
      <c r="Z286" s="614"/>
      <c r="AA286" s="614"/>
      <c r="AB286" s="614"/>
      <c r="AC286" s="614"/>
    </row>
    <row r="287" spans="1:29" ht="12.75" customHeight="1">
      <c r="A287" s="319"/>
      <c r="B287" s="614"/>
      <c r="C287" s="319"/>
      <c r="D287" s="614"/>
      <c r="E287" s="614"/>
      <c r="F287" s="614"/>
      <c r="G287" s="614"/>
      <c r="H287" s="614"/>
      <c r="I287" s="614"/>
      <c r="J287" s="614"/>
      <c r="K287" s="614"/>
      <c r="L287" s="614"/>
      <c r="M287" s="614"/>
      <c r="N287" s="614"/>
      <c r="O287" s="614"/>
      <c r="P287" s="614"/>
      <c r="Q287" s="614"/>
      <c r="R287" s="614"/>
      <c r="S287" s="614"/>
      <c r="T287" s="614"/>
      <c r="U287" s="614"/>
      <c r="V287" s="614"/>
      <c r="W287" s="614"/>
      <c r="X287" s="614"/>
      <c r="Y287" s="614"/>
      <c r="Z287" s="614"/>
      <c r="AA287" s="614"/>
      <c r="AB287" s="614"/>
      <c r="AC287" s="614"/>
    </row>
    <row r="288" spans="1:29" ht="12.75" customHeight="1">
      <c r="A288" s="319"/>
      <c r="B288" s="614"/>
      <c r="C288" s="319"/>
      <c r="D288" s="614"/>
      <c r="E288" s="614"/>
      <c r="F288" s="614"/>
      <c r="G288" s="614"/>
      <c r="H288" s="614"/>
      <c r="I288" s="614"/>
      <c r="J288" s="614"/>
      <c r="K288" s="614"/>
      <c r="L288" s="614"/>
      <c r="M288" s="614"/>
      <c r="N288" s="614"/>
      <c r="O288" s="614"/>
      <c r="P288" s="614"/>
      <c r="Q288" s="614"/>
      <c r="R288" s="614"/>
      <c r="S288" s="614"/>
      <c r="T288" s="614"/>
      <c r="U288" s="614"/>
      <c r="V288" s="614"/>
      <c r="W288" s="614"/>
      <c r="X288" s="614"/>
      <c r="Y288" s="614"/>
      <c r="Z288" s="614"/>
      <c r="AA288" s="614"/>
      <c r="AB288" s="614"/>
      <c r="AC288" s="614"/>
    </row>
    <row r="289" spans="1:29" ht="12.75" customHeight="1">
      <c r="A289" s="319"/>
      <c r="B289" s="614"/>
      <c r="C289" s="319"/>
      <c r="D289" s="614"/>
      <c r="E289" s="614"/>
      <c r="F289" s="614"/>
      <c r="G289" s="614"/>
      <c r="H289" s="614"/>
      <c r="I289" s="614"/>
      <c r="J289" s="614"/>
      <c r="K289" s="614"/>
      <c r="L289" s="614"/>
      <c r="M289" s="614"/>
      <c r="N289" s="614"/>
      <c r="O289" s="614"/>
      <c r="P289" s="614"/>
      <c r="Q289" s="614"/>
      <c r="R289" s="614"/>
      <c r="S289" s="614"/>
      <c r="T289" s="614"/>
      <c r="U289" s="614"/>
      <c r="V289" s="614"/>
      <c r="W289" s="614"/>
      <c r="X289" s="614"/>
      <c r="Y289" s="614"/>
      <c r="Z289" s="614"/>
      <c r="AA289" s="614"/>
      <c r="AB289" s="614"/>
      <c r="AC289" s="614"/>
    </row>
    <row r="290" spans="1:29" ht="12.75" customHeight="1">
      <c r="A290" s="319"/>
      <c r="B290" s="614"/>
      <c r="C290" s="319"/>
      <c r="D290" s="614"/>
      <c r="E290" s="614"/>
      <c r="F290" s="614"/>
      <c r="G290" s="614"/>
      <c r="H290" s="614"/>
      <c r="I290" s="614"/>
      <c r="J290" s="614"/>
      <c r="K290" s="614"/>
      <c r="L290" s="614"/>
      <c r="M290" s="614"/>
      <c r="N290" s="614"/>
      <c r="O290" s="614"/>
      <c r="P290" s="614"/>
      <c r="Q290" s="614"/>
      <c r="R290" s="614"/>
      <c r="S290" s="614"/>
      <c r="T290" s="614"/>
      <c r="U290" s="614"/>
      <c r="V290" s="614"/>
      <c r="W290" s="614"/>
      <c r="X290" s="614"/>
      <c r="Y290" s="614"/>
      <c r="Z290" s="614"/>
      <c r="AA290" s="614"/>
      <c r="AB290" s="614"/>
      <c r="AC290" s="614"/>
    </row>
    <row r="291" spans="1:29" ht="12.75" customHeight="1">
      <c r="A291" s="319"/>
      <c r="B291" s="614"/>
      <c r="C291" s="319"/>
      <c r="D291" s="614"/>
      <c r="E291" s="614"/>
      <c r="F291" s="614"/>
      <c r="G291" s="614"/>
      <c r="H291" s="614"/>
      <c r="I291" s="614"/>
      <c r="J291" s="614"/>
      <c r="K291" s="614"/>
      <c r="L291" s="614"/>
      <c r="M291" s="614"/>
      <c r="N291" s="614"/>
      <c r="O291" s="614"/>
      <c r="P291" s="614"/>
      <c r="Q291" s="614"/>
      <c r="R291" s="614"/>
      <c r="S291" s="614"/>
      <c r="T291" s="614"/>
      <c r="U291" s="614"/>
      <c r="V291" s="614"/>
      <c r="W291" s="614"/>
      <c r="X291" s="614"/>
      <c r="Y291" s="614"/>
      <c r="Z291" s="614"/>
      <c r="AA291" s="614"/>
      <c r="AB291" s="614"/>
      <c r="AC291" s="614"/>
    </row>
    <row r="292" spans="1:29" ht="12.75" customHeight="1">
      <c r="A292" s="319"/>
      <c r="B292" s="614"/>
      <c r="C292" s="319"/>
      <c r="D292" s="614"/>
      <c r="E292" s="614"/>
      <c r="F292" s="614"/>
      <c r="G292" s="614"/>
      <c r="H292" s="614"/>
      <c r="I292" s="614"/>
      <c r="J292" s="614"/>
      <c r="K292" s="614"/>
      <c r="L292" s="614"/>
      <c r="M292" s="614"/>
      <c r="N292" s="614"/>
      <c r="O292" s="614"/>
      <c r="P292" s="614"/>
      <c r="Q292" s="614"/>
      <c r="R292" s="614"/>
      <c r="S292" s="614"/>
      <c r="T292" s="614"/>
      <c r="U292" s="614"/>
      <c r="V292" s="614"/>
      <c r="W292" s="614"/>
      <c r="X292" s="614"/>
      <c r="Y292" s="614"/>
      <c r="Z292" s="614"/>
      <c r="AA292" s="614"/>
      <c r="AB292" s="614"/>
      <c r="AC292" s="614"/>
    </row>
    <row r="293" spans="1:29" ht="12.75" customHeight="1">
      <c r="A293" s="319"/>
      <c r="B293" s="614"/>
      <c r="C293" s="319"/>
      <c r="D293" s="614"/>
      <c r="E293" s="614"/>
      <c r="F293" s="614"/>
      <c r="G293" s="614"/>
      <c r="H293" s="614"/>
      <c r="I293" s="614"/>
      <c r="J293" s="614"/>
      <c r="K293" s="614"/>
      <c r="L293" s="614"/>
      <c r="M293" s="614"/>
      <c r="N293" s="614"/>
      <c r="O293" s="614"/>
      <c r="P293" s="614"/>
      <c r="Q293" s="614"/>
      <c r="R293" s="614"/>
      <c r="S293" s="614"/>
      <c r="T293" s="614"/>
      <c r="U293" s="614"/>
      <c r="V293" s="614"/>
      <c r="W293" s="614"/>
      <c r="X293" s="614"/>
      <c r="Y293" s="614"/>
      <c r="Z293" s="614"/>
      <c r="AA293" s="614"/>
      <c r="AB293" s="614"/>
      <c r="AC293" s="614"/>
    </row>
    <row r="294" spans="1:29" ht="12.75" customHeight="1">
      <c r="A294" s="319"/>
      <c r="B294" s="614"/>
      <c r="C294" s="319"/>
      <c r="D294" s="614"/>
      <c r="E294" s="614"/>
      <c r="F294" s="614"/>
      <c r="G294" s="614"/>
      <c r="H294" s="614"/>
      <c r="I294" s="614"/>
      <c r="J294" s="614"/>
      <c r="K294" s="614"/>
      <c r="L294" s="614"/>
      <c r="M294" s="614"/>
      <c r="N294" s="614"/>
      <c r="O294" s="614"/>
      <c r="P294" s="614"/>
      <c r="Q294" s="614"/>
      <c r="R294" s="614"/>
      <c r="S294" s="614"/>
      <c r="T294" s="614"/>
      <c r="U294" s="614"/>
      <c r="V294" s="614"/>
      <c r="W294" s="614"/>
      <c r="X294" s="614"/>
      <c r="Y294" s="614"/>
      <c r="Z294" s="614"/>
      <c r="AA294" s="614"/>
      <c r="AB294" s="614"/>
      <c r="AC294" s="614"/>
    </row>
    <row r="295" spans="1:29" ht="12.75" customHeight="1">
      <c r="A295" s="319"/>
      <c r="B295" s="614"/>
      <c r="C295" s="319"/>
      <c r="D295" s="614"/>
      <c r="E295" s="614"/>
      <c r="F295" s="614"/>
      <c r="G295" s="614"/>
      <c r="H295" s="614"/>
      <c r="I295" s="614"/>
      <c r="J295" s="614"/>
      <c r="K295" s="614"/>
      <c r="L295" s="614"/>
      <c r="M295" s="614"/>
      <c r="N295" s="614"/>
      <c r="O295" s="614"/>
      <c r="P295" s="614"/>
      <c r="Q295" s="614"/>
      <c r="R295" s="614"/>
      <c r="S295" s="614"/>
      <c r="T295" s="614"/>
      <c r="U295" s="614"/>
      <c r="V295" s="614"/>
      <c r="W295" s="614"/>
      <c r="X295" s="614"/>
      <c r="Y295" s="614"/>
      <c r="Z295" s="614"/>
      <c r="AA295" s="614"/>
      <c r="AB295" s="614"/>
      <c r="AC295" s="614"/>
    </row>
    <row r="296" spans="1:29" ht="12.75" customHeight="1">
      <c r="A296" s="319"/>
      <c r="B296" s="614"/>
      <c r="C296" s="319"/>
      <c r="D296" s="614"/>
      <c r="E296" s="614"/>
      <c r="F296" s="614"/>
      <c r="G296" s="614"/>
      <c r="H296" s="614"/>
      <c r="I296" s="614"/>
      <c r="J296" s="614"/>
      <c r="K296" s="614"/>
      <c r="L296" s="614"/>
      <c r="M296" s="614"/>
      <c r="N296" s="614"/>
      <c r="O296" s="614"/>
      <c r="P296" s="614"/>
      <c r="Q296" s="614"/>
      <c r="R296" s="614"/>
      <c r="S296" s="614"/>
      <c r="T296" s="614"/>
      <c r="U296" s="614"/>
      <c r="V296" s="614"/>
      <c r="W296" s="614"/>
      <c r="X296" s="614"/>
      <c r="Y296" s="614"/>
      <c r="Z296" s="614"/>
      <c r="AA296" s="614"/>
      <c r="AB296" s="614"/>
      <c r="AC296" s="614"/>
    </row>
    <row r="297" spans="1:29" ht="12.75" customHeight="1">
      <c r="A297" s="319"/>
      <c r="B297" s="614"/>
      <c r="C297" s="319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  <c r="N297" s="614"/>
      <c r="O297" s="614"/>
      <c r="P297" s="614"/>
      <c r="Q297" s="614"/>
      <c r="R297" s="614"/>
      <c r="S297" s="614"/>
      <c r="T297" s="614"/>
      <c r="U297" s="614"/>
      <c r="V297" s="614"/>
      <c r="W297" s="614"/>
      <c r="X297" s="614"/>
      <c r="Y297" s="614"/>
      <c r="Z297" s="614"/>
      <c r="AA297" s="614"/>
      <c r="AB297" s="614"/>
      <c r="AC297" s="614"/>
    </row>
    <row r="298" spans="1:29" ht="12.75" customHeight="1">
      <c r="A298" s="319"/>
      <c r="B298" s="614"/>
      <c r="C298" s="319"/>
      <c r="D298" s="614"/>
      <c r="E298" s="614"/>
      <c r="F298" s="614"/>
      <c r="G298" s="614"/>
      <c r="H298" s="614"/>
      <c r="I298" s="614"/>
      <c r="J298" s="614"/>
      <c r="K298" s="614"/>
      <c r="L298" s="614"/>
      <c r="M298" s="614"/>
      <c r="N298" s="614"/>
      <c r="O298" s="614"/>
      <c r="P298" s="614"/>
      <c r="Q298" s="614"/>
      <c r="R298" s="614"/>
      <c r="S298" s="614"/>
      <c r="T298" s="614"/>
      <c r="U298" s="614"/>
      <c r="V298" s="614"/>
      <c r="W298" s="614"/>
      <c r="X298" s="614"/>
      <c r="Y298" s="614"/>
      <c r="Z298" s="614"/>
      <c r="AA298" s="614"/>
      <c r="AB298" s="614"/>
      <c r="AC298" s="614"/>
    </row>
    <row r="299" spans="1:29" ht="12.75" customHeight="1">
      <c r="A299" s="319"/>
      <c r="B299" s="614"/>
      <c r="C299" s="319"/>
      <c r="D299" s="614"/>
      <c r="E299" s="614"/>
      <c r="F299" s="614"/>
      <c r="G299" s="614"/>
      <c r="H299" s="614"/>
      <c r="I299" s="614"/>
      <c r="J299" s="614"/>
      <c r="K299" s="614"/>
      <c r="L299" s="614"/>
      <c r="M299" s="614"/>
      <c r="N299" s="614"/>
      <c r="O299" s="614"/>
      <c r="P299" s="614"/>
      <c r="Q299" s="614"/>
      <c r="R299" s="614"/>
      <c r="S299" s="614"/>
      <c r="T299" s="614"/>
      <c r="U299" s="614"/>
      <c r="V299" s="614"/>
      <c r="W299" s="614"/>
      <c r="X299" s="614"/>
      <c r="Y299" s="614"/>
      <c r="Z299" s="614"/>
      <c r="AA299" s="614"/>
      <c r="AB299" s="614"/>
      <c r="AC299" s="614"/>
    </row>
    <row r="300" spans="1:29" ht="12.75" customHeight="1">
      <c r="A300" s="319"/>
      <c r="B300" s="614"/>
      <c r="C300" s="319"/>
      <c r="D300" s="614"/>
      <c r="E300" s="614"/>
      <c r="F300" s="614"/>
      <c r="G300" s="614"/>
      <c r="H300" s="614"/>
      <c r="I300" s="614"/>
      <c r="J300" s="614"/>
      <c r="K300" s="614"/>
      <c r="L300" s="614"/>
      <c r="M300" s="614"/>
      <c r="N300" s="614"/>
      <c r="O300" s="614"/>
      <c r="P300" s="614"/>
      <c r="Q300" s="614"/>
      <c r="R300" s="614"/>
      <c r="S300" s="614"/>
      <c r="T300" s="614"/>
      <c r="U300" s="614"/>
      <c r="V300" s="614"/>
      <c r="W300" s="614"/>
      <c r="X300" s="614"/>
      <c r="Y300" s="614"/>
      <c r="Z300" s="614"/>
      <c r="AA300" s="614"/>
      <c r="AB300" s="614"/>
      <c r="AC300" s="614"/>
    </row>
    <row r="301" spans="1:29" ht="12.75" customHeight="1">
      <c r="A301" s="319"/>
      <c r="B301" s="614"/>
      <c r="C301" s="319"/>
      <c r="D301" s="614"/>
      <c r="E301" s="614"/>
      <c r="F301" s="614"/>
      <c r="G301" s="614"/>
      <c r="H301" s="614"/>
      <c r="I301" s="614"/>
      <c r="J301" s="614"/>
      <c r="K301" s="614"/>
      <c r="L301" s="614"/>
      <c r="M301" s="614"/>
      <c r="N301" s="614"/>
      <c r="O301" s="614"/>
      <c r="P301" s="614"/>
      <c r="Q301" s="614"/>
      <c r="R301" s="614"/>
      <c r="S301" s="614"/>
      <c r="T301" s="614"/>
      <c r="U301" s="614"/>
      <c r="V301" s="614"/>
      <c r="W301" s="614"/>
      <c r="X301" s="614"/>
      <c r="Y301" s="614"/>
      <c r="Z301" s="614"/>
      <c r="AA301" s="614"/>
      <c r="AB301" s="614"/>
      <c r="AC301" s="614"/>
    </row>
    <row r="302" spans="1:29" ht="12.75" customHeight="1">
      <c r="A302" s="319"/>
      <c r="B302" s="614"/>
      <c r="C302" s="319"/>
      <c r="D302" s="614"/>
      <c r="E302" s="614"/>
      <c r="F302" s="614"/>
      <c r="G302" s="614"/>
      <c r="H302" s="614"/>
      <c r="I302" s="614"/>
      <c r="J302" s="614"/>
      <c r="K302" s="614"/>
      <c r="L302" s="614"/>
      <c r="M302" s="614"/>
      <c r="N302" s="614"/>
      <c r="O302" s="614"/>
      <c r="P302" s="614"/>
      <c r="Q302" s="614"/>
      <c r="R302" s="614"/>
      <c r="S302" s="614"/>
      <c r="T302" s="614"/>
      <c r="U302" s="614"/>
      <c r="V302" s="614"/>
      <c r="W302" s="614"/>
      <c r="X302" s="614"/>
      <c r="Y302" s="614"/>
      <c r="Z302" s="614"/>
      <c r="AA302" s="614"/>
      <c r="AB302" s="614"/>
      <c r="AC302" s="614"/>
    </row>
    <row r="303" spans="1:29" ht="12.75" customHeight="1">
      <c r="A303" s="319"/>
      <c r="B303" s="614"/>
      <c r="C303" s="319"/>
      <c r="D303" s="614"/>
      <c r="E303" s="614"/>
      <c r="F303" s="614"/>
      <c r="G303" s="614"/>
      <c r="H303" s="614"/>
      <c r="I303" s="614"/>
      <c r="J303" s="614"/>
      <c r="K303" s="614"/>
      <c r="L303" s="614"/>
      <c r="M303" s="614"/>
      <c r="N303" s="614"/>
      <c r="O303" s="614"/>
      <c r="P303" s="614"/>
      <c r="Q303" s="614"/>
      <c r="R303" s="614"/>
      <c r="S303" s="614"/>
      <c r="T303" s="614"/>
      <c r="U303" s="614"/>
      <c r="V303" s="614"/>
      <c r="W303" s="614"/>
      <c r="X303" s="614"/>
      <c r="Y303" s="614"/>
      <c r="Z303" s="614"/>
      <c r="AA303" s="614"/>
      <c r="AB303" s="614"/>
      <c r="AC303" s="614"/>
    </row>
    <row r="304" spans="1:29" ht="12.75" customHeight="1">
      <c r="A304" s="319"/>
      <c r="B304" s="614"/>
      <c r="C304" s="319"/>
      <c r="D304" s="614"/>
      <c r="E304" s="614"/>
      <c r="F304" s="614"/>
      <c r="G304" s="614"/>
      <c r="H304" s="614"/>
      <c r="I304" s="614"/>
      <c r="J304" s="614"/>
      <c r="K304" s="614"/>
      <c r="L304" s="614"/>
      <c r="M304" s="614"/>
      <c r="N304" s="614"/>
      <c r="O304" s="614"/>
      <c r="P304" s="614"/>
      <c r="Q304" s="614"/>
      <c r="R304" s="614"/>
      <c r="S304" s="614"/>
      <c r="T304" s="614"/>
      <c r="U304" s="614"/>
      <c r="V304" s="614"/>
      <c r="W304" s="614"/>
      <c r="X304" s="614"/>
      <c r="Y304" s="614"/>
      <c r="Z304" s="614"/>
      <c r="AA304" s="614"/>
      <c r="AB304" s="614"/>
      <c r="AC304" s="614"/>
    </row>
    <row r="305" spans="1:29" ht="12.75" customHeight="1">
      <c r="A305" s="319"/>
      <c r="B305" s="614"/>
      <c r="C305" s="319"/>
      <c r="D305" s="614"/>
      <c r="E305" s="614"/>
      <c r="F305" s="614"/>
      <c r="G305" s="614"/>
      <c r="H305" s="614"/>
      <c r="I305" s="614"/>
      <c r="J305" s="614"/>
      <c r="K305" s="614"/>
      <c r="L305" s="614"/>
      <c r="M305" s="614"/>
      <c r="N305" s="614"/>
      <c r="O305" s="614"/>
      <c r="P305" s="614"/>
      <c r="Q305" s="614"/>
      <c r="R305" s="614"/>
      <c r="S305" s="614"/>
      <c r="T305" s="614"/>
      <c r="U305" s="614"/>
      <c r="V305" s="614"/>
      <c r="W305" s="614"/>
      <c r="X305" s="614"/>
      <c r="Y305" s="614"/>
      <c r="Z305" s="614"/>
      <c r="AA305" s="614"/>
      <c r="AB305" s="614"/>
      <c r="AC305" s="614"/>
    </row>
    <row r="306" spans="1:29" ht="12.75" customHeight="1">
      <c r="A306" s="319"/>
      <c r="B306" s="614"/>
      <c r="C306" s="319"/>
      <c r="D306" s="614"/>
      <c r="E306" s="614"/>
      <c r="F306" s="614"/>
      <c r="G306" s="614"/>
      <c r="H306" s="614"/>
      <c r="I306" s="614"/>
      <c r="J306" s="614"/>
      <c r="K306" s="614"/>
      <c r="L306" s="614"/>
      <c r="M306" s="614"/>
      <c r="N306" s="614"/>
      <c r="O306" s="614"/>
      <c r="P306" s="614"/>
      <c r="Q306" s="614"/>
      <c r="R306" s="614"/>
      <c r="S306" s="614"/>
      <c r="T306" s="614"/>
      <c r="U306" s="614"/>
      <c r="V306" s="614"/>
      <c r="W306" s="614"/>
      <c r="X306" s="614"/>
      <c r="Y306" s="614"/>
      <c r="Z306" s="614"/>
      <c r="AA306" s="614"/>
      <c r="AB306" s="614"/>
      <c r="AC306" s="614"/>
    </row>
    <row r="307" spans="1:29" ht="12.75" customHeight="1">
      <c r="A307" s="319"/>
      <c r="B307" s="614"/>
      <c r="C307" s="319"/>
      <c r="D307" s="614"/>
      <c r="E307" s="614"/>
      <c r="F307" s="614"/>
      <c r="G307" s="614"/>
      <c r="H307" s="614"/>
      <c r="I307" s="614"/>
      <c r="J307" s="614"/>
      <c r="K307" s="614"/>
      <c r="L307" s="614"/>
      <c r="M307" s="614"/>
      <c r="N307" s="614"/>
      <c r="O307" s="614"/>
      <c r="P307" s="614"/>
      <c r="Q307" s="614"/>
      <c r="R307" s="614"/>
      <c r="S307" s="614"/>
      <c r="T307" s="614"/>
      <c r="U307" s="614"/>
      <c r="V307" s="614"/>
      <c r="W307" s="614"/>
      <c r="X307" s="614"/>
      <c r="Y307" s="614"/>
      <c r="Z307" s="614"/>
      <c r="AA307" s="614"/>
      <c r="AB307" s="614"/>
      <c r="AC307" s="614"/>
    </row>
    <row r="308" spans="1:29" ht="12.75" customHeight="1">
      <c r="A308" s="319"/>
      <c r="B308" s="614"/>
      <c r="C308" s="319"/>
      <c r="D308" s="614"/>
      <c r="E308" s="614"/>
      <c r="F308" s="614"/>
      <c r="G308" s="614"/>
      <c r="H308" s="614"/>
      <c r="I308" s="614"/>
      <c r="J308" s="614"/>
      <c r="K308" s="614"/>
      <c r="L308" s="614"/>
      <c r="M308" s="614"/>
      <c r="N308" s="614"/>
      <c r="O308" s="614"/>
      <c r="P308" s="614"/>
      <c r="Q308" s="614"/>
      <c r="R308" s="614"/>
      <c r="S308" s="614"/>
      <c r="T308" s="614"/>
      <c r="U308" s="614"/>
      <c r="V308" s="614"/>
      <c r="W308" s="614"/>
      <c r="X308" s="614"/>
      <c r="Y308" s="614"/>
      <c r="Z308" s="614"/>
      <c r="AA308" s="614"/>
      <c r="AB308" s="614"/>
      <c r="AC308" s="614"/>
    </row>
    <row r="309" spans="1:29" ht="12.75" customHeight="1">
      <c r="A309" s="319"/>
      <c r="B309" s="614"/>
      <c r="C309" s="319"/>
      <c r="D309" s="614"/>
      <c r="E309" s="614"/>
      <c r="F309" s="614"/>
      <c r="G309" s="614"/>
      <c r="H309" s="614"/>
      <c r="I309" s="614"/>
      <c r="J309" s="614"/>
      <c r="K309" s="614"/>
      <c r="L309" s="614"/>
      <c r="M309" s="614"/>
      <c r="N309" s="614"/>
      <c r="O309" s="614"/>
      <c r="P309" s="614"/>
      <c r="Q309" s="614"/>
      <c r="R309" s="614"/>
      <c r="S309" s="614"/>
      <c r="T309" s="614"/>
      <c r="U309" s="614"/>
      <c r="V309" s="614"/>
      <c r="W309" s="614"/>
      <c r="X309" s="614"/>
      <c r="Y309" s="614"/>
      <c r="Z309" s="614"/>
      <c r="AA309" s="614"/>
      <c r="AB309" s="614"/>
      <c r="AC309" s="614"/>
    </row>
    <row r="310" spans="1:29" ht="12.75" customHeight="1">
      <c r="A310" s="319"/>
      <c r="B310" s="614"/>
      <c r="C310" s="319"/>
      <c r="D310" s="614"/>
      <c r="E310" s="614"/>
      <c r="F310" s="614"/>
      <c r="G310" s="614"/>
      <c r="H310" s="614"/>
      <c r="I310" s="614"/>
      <c r="J310" s="614"/>
      <c r="K310" s="614"/>
      <c r="L310" s="614"/>
      <c r="M310" s="614"/>
      <c r="N310" s="614"/>
      <c r="O310" s="614"/>
      <c r="P310" s="614"/>
      <c r="Q310" s="614"/>
      <c r="R310" s="614"/>
      <c r="S310" s="614"/>
      <c r="T310" s="614"/>
      <c r="U310" s="614"/>
      <c r="V310" s="614"/>
      <c r="W310" s="614"/>
      <c r="X310" s="614"/>
      <c r="Y310" s="614"/>
      <c r="Z310" s="614"/>
      <c r="AA310" s="614"/>
      <c r="AB310" s="614"/>
      <c r="AC310" s="614"/>
    </row>
    <row r="311" spans="1:29" ht="12.75" customHeight="1">
      <c r="A311" s="319"/>
      <c r="B311" s="614"/>
      <c r="C311" s="319"/>
      <c r="D311" s="614"/>
      <c r="E311" s="614"/>
      <c r="F311" s="614"/>
      <c r="G311" s="614"/>
      <c r="H311" s="614"/>
      <c r="I311" s="614"/>
      <c r="J311" s="614"/>
      <c r="K311" s="614"/>
      <c r="L311" s="614"/>
      <c r="M311" s="614"/>
      <c r="N311" s="614"/>
      <c r="O311" s="614"/>
      <c r="P311" s="614"/>
      <c r="Q311" s="614"/>
      <c r="R311" s="614"/>
      <c r="S311" s="614"/>
      <c r="T311" s="614"/>
      <c r="U311" s="614"/>
      <c r="V311" s="614"/>
      <c r="W311" s="614"/>
      <c r="X311" s="614"/>
      <c r="Y311" s="614"/>
      <c r="Z311" s="614"/>
      <c r="AA311" s="614"/>
      <c r="AB311" s="614"/>
      <c r="AC311" s="614"/>
    </row>
    <row r="312" spans="1:29" ht="12.75" customHeight="1">
      <c r="A312" s="319"/>
      <c r="B312" s="614"/>
      <c r="C312" s="319"/>
      <c r="D312" s="614"/>
      <c r="E312" s="614"/>
      <c r="F312" s="614"/>
      <c r="G312" s="614"/>
      <c r="H312" s="614"/>
      <c r="I312" s="614"/>
      <c r="J312" s="614"/>
      <c r="K312" s="614"/>
      <c r="L312" s="614"/>
      <c r="M312" s="614"/>
      <c r="N312" s="614"/>
      <c r="O312" s="614"/>
      <c r="P312" s="614"/>
      <c r="Q312" s="614"/>
      <c r="R312" s="614"/>
      <c r="S312" s="614"/>
      <c r="T312" s="614"/>
      <c r="U312" s="614"/>
      <c r="V312" s="614"/>
      <c r="W312" s="614"/>
      <c r="X312" s="614"/>
      <c r="Y312" s="614"/>
      <c r="Z312" s="614"/>
      <c r="AA312" s="614"/>
      <c r="AB312" s="614"/>
      <c r="AC312" s="614"/>
    </row>
    <row r="313" spans="1:29" ht="12.75" customHeight="1">
      <c r="A313" s="319"/>
      <c r="B313" s="614"/>
      <c r="C313" s="319"/>
      <c r="D313" s="614"/>
      <c r="E313" s="614"/>
      <c r="F313" s="614"/>
      <c r="G313" s="614"/>
      <c r="H313" s="614"/>
      <c r="I313" s="614"/>
      <c r="J313" s="614"/>
      <c r="K313" s="614"/>
      <c r="L313" s="614"/>
      <c r="M313" s="614"/>
      <c r="N313" s="614"/>
      <c r="O313" s="614"/>
      <c r="P313" s="614"/>
      <c r="Q313" s="614"/>
      <c r="R313" s="614"/>
      <c r="S313" s="614"/>
      <c r="T313" s="614"/>
      <c r="U313" s="614"/>
      <c r="V313" s="614"/>
      <c r="W313" s="614"/>
      <c r="X313" s="614"/>
      <c r="Y313" s="614"/>
      <c r="Z313" s="614"/>
      <c r="AA313" s="614"/>
      <c r="AB313" s="614"/>
      <c r="AC313" s="614"/>
    </row>
    <row r="314" spans="1:29" ht="12.75" customHeight="1">
      <c r="A314" s="319"/>
      <c r="B314" s="614"/>
      <c r="C314" s="319"/>
      <c r="D314" s="614"/>
      <c r="E314" s="614"/>
      <c r="F314" s="614"/>
      <c r="G314" s="614"/>
      <c r="H314" s="614"/>
      <c r="I314" s="614"/>
      <c r="J314" s="614"/>
      <c r="K314" s="614"/>
      <c r="L314" s="614"/>
      <c r="M314" s="614"/>
      <c r="N314" s="614"/>
      <c r="O314" s="614"/>
      <c r="P314" s="614"/>
      <c r="Q314" s="614"/>
      <c r="R314" s="614"/>
      <c r="S314" s="614"/>
      <c r="T314" s="614"/>
      <c r="U314" s="614"/>
      <c r="V314" s="614"/>
      <c r="W314" s="614"/>
      <c r="X314" s="614"/>
      <c r="Y314" s="614"/>
      <c r="Z314" s="614"/>
      <c r="AA314" s="614"/>
      <c r="AB314" s="614"/>
      <c r="AC314" s="614"/>
    </row>
    <row r="315" spans="1:29" ht="12.75" customHeight="1">
      <c r="A315" s="319"/>
      <c r="B315" s="614"/>
      <c r="C315" s="319"/>
      <c r="D315" s="614"/>
      <c r="E315" s="614"/>
      <c r="F315" s="614"/>
      <c r="G315" s="614"/>
      <c r="H315" s="614"/>
      <c r="I315" s="614"/>
      <c r="J315" s="614"/>
      <c r="K315" s="614"/>
      <c r="L315" s="614"/>
      <c r="M315" s="614"/>
      <c r="N315" s="614"/>
      <c r="O315" s="614"/>
      <c r="P315" s="614"/>
      <c r="Q315" s="614"/>
      <c r="R315" s="614"/>
      <c r="S315" s="614"/>
      <c r="T315" s="614"/>
      <c r="U315" s="614"/>
      <c r="V315" s="614"/>
      <c r="W315" s="614"/>
      <c r="X315" s="614"/>
      <c r="Y315" s="614"/>
      <c r="Z315" s="614"/>
      <c r="AA315" s="614"/>
      <c r="AB315" s="614"/>
      <c r="AC315" s="614"/>
    </row>
    <row r="316" spans="1:29" ht="12.75" customHeight="1">
      <c r="A316" s="319"/>
      <c r="B316" s="614"/>
      <c r="C316" s="319"/>
      <c r="D316" s="614"/>
      <c r="E316" s="614"/>
      <c r="F316" s="614"/>
      <c r="G316" s="614"/>
      <c r="H316" s="614"/>
      <c r="I316" s="614"/>
      <c r="J316" s="614"/>
      <c r="K316" s="614"/>
      <c r="L316" s="614"/>
      <c r="M316" s="614"/>
      <c r="N316" s="614"/>
      <c r="O316" s="614"/>
      <c r="P316" s="614"/>
      <c r="Q316" s="614"/>
      <c r="R316" s="614"/>
      <c r="S316" s="614"/>
      <c r="T316" s="614"/>
      <c r="U316" s="614"/>
      <c r="V316" s="614"/>
      <c r="W316" s="614"/>
      <c r="X316" s="614"/>
      <c r="Y316" s="614"/>
      <c r="Z316" s="614"/>
      <c r="AA316" s="614"/>
      <c r="AB316" s="614"/>
      <c r="AC316" s="614"/>
    </row>
    <row r="317" spans="1:29" ht="12.75" customHeight="1">
      <c r="A317" s="319"/>
      <c r="B317" s="614"/>
      <c r="C317" s="319"/>
      <c r="D317" s="614"/>
      <c r="E317" s="614"/>
      <c r="F317" s="614"/>
      <c r="G317" s="614"/>
      <c r="H317" s="614"/>
      <c r="I317" s="614"/>
      <c r="J317" s="614"/>
      <c r="K317" s="614"/>
      <c r="L317" s="614"/>
      <c r="M317" s="614"/>
      <c r="N317" s="614"/>
      <c r="O317" s="614"/>
      <c r="P317" s="614"/>
      <c r="Q317" s="614"/>
      <c r="R317" s="614"/>
      <c r="S317" s="614"/>
      <c r="T317" s="614"/>
      <c r="U317" s="614"/>
      <c r="V317" s="614"/>
      <c r="W317" s="614"/>
      <c r="X317" s="614"/>
      <c r="Y317" s="614"/>
      <c r="Z317" s="614"/>
      <c r="AA317" s="614"/>
      <c r="AB317" s="614"/>
      <c r="AC317" s="614"/>
    </row>
    <row r="318" spans="1:29" ht="12.75" customHeight="1">
      <c r="A318" s="319"/>
      <c r="B318" s="614"/>
      <c r="C318" s="319"/>
      <c r="D318" s="614"/>
      <c r="E318" s="614"/>
      <c r="F318" s="614"/>
      <c r="G318" s="614"/>
      <c r="H318" s="614"/>
      <c r="I318" s="614"/>
      <c r="J318" s="614"/>
      <c r="K318" s="614"/>
      <c r="L318" s="614"/>
      <c r="M318" s="614"/>
      <c r="N318" s="614"/>
      <c r="O318" s="614"/>
      <c r="P318" s="614"/>
      <c r="Q318" s="614"/>
      <c r="R318" s="614"/>
      <c r="S318" s="614"/>
      <c r="T318" s="614"/>
      <c r="U318" s="614"/>
      <c r="V318" s="614"/>
      <c r="W318" s="614"/>
      <c r="X318" s="614"/>
      <c r="Y318" s="614"/>
      <c r="Z318" s="614"/>
      <c r="AA318" s="614"/>
      <c r="AB318" s="614"/>
      <c r="AC318" s="614"/>
    </row>
    <row r="319" spans="1:29" ht="12.75" customHeight="1">
      <c r="A319" s="319"/>
      <c r="B319" s="614"/>
      <c r="C319" s="319"/>
      <c r="D319" s="614"/>
      <c r="E319" s="614"/>
      <c r="F319" s="614"/>
      <c r="G319" s="614"/>
      <c r="H319" s="614"/>
      <c r="I319" s="614"/>
      <c r="J319" s="614"/>
      <c r="K319" s="614"/>
      <c r="L319" s="614"/>
      <c r="M319" s="614"/>
      <c r="N319" s="614"/>
      <c r="O319" s="614"/>
      <c r="P319" s="614"/>
      <c r="Q319" s="614"/>
      <c r="R319" s="614"/>
      <c r="S319" s="614"/>
      <c r="T319" s="614"/>
      <c r="U319" s="614"/>
      <c r="V319" s="614"/>
      <c r="W319" s="614"/>
      <c r="X319" s="614"/>
      <c r="Y319" s="614"/>
      <c r="Z319" s="614"/>
      <c r="AA319" s="614"/>
      <c r="AB319" s="614"/>
      <c r="AC319" s="614"/>
    </row>
    <row r="320" spans="1:29" ht="12.75" customHeight="1">
      <c r="A320" s="319"/>
      <c r="B320" s="614"/>
      <c r="C320" s="319"/>
      <c r="D320" s="614"/>
      <c r="E320" s="614"/>
      <c r="F320" s="614"/>
      <c r="G320" s="614"/>
      <c r="H320" s="614"/>
      <c r="I320" s="614"/>
      <c r="J320" s="614"/>
      <c r="K320" s="614"/>
      <c r="L320" s="614"/>
      <c r="M320" s="614"/>
      <c r="N320" s="614"/>
      <c r="O320" s="614"/>
      <c r="P320" s="614"/>
      <c r="Q320" s="614"/>
      <c r="R320" s="614"/>
      <c r="S320" s="614"/>
      <c r="T320" s="614"/>
      <c r="U320" s="614"/>
      <c r="V320" s="614"/>
      <c r="W320" s="614"/>
      <c r="X320" s="614"/>
      <c r="Y320" s="614"/>
      <c r="Z320" s="614"/>
      <c r="AA320" s="614"/>
      <c r="AB320" s="614"/>
      <c r="AC320" s="614"/>
    </row>
    <row r="321" spans="1:29" ht="12.75" customHeight="1">
      <c r="A321" s="319"/>
      <c r="B321" s="614"/>
      <c r="C321" s="319"/>
      <c r="D321" s="614"/>
      <c r="E321" s="614"/>
      <c r="F321" s="614"/>
      <c r="G321" s="614"/>
      <c r="H321" s="614"/>
      <c r="I321" s="614"/>
      <c r="J321" s="614"/>
      <c r="K321" s="614"/>
      <c r="L321" s="614"/>
      <c r="M321" s="614"/>
      <c r="N321" s="614"/>
      <c r="O321" s="614"/>
      <c r="P321" s="614"/>
      <c r="Q321" s="614"/>
      <c r="R321" s="614"/>
      <c r="S321" s="614"/>
      <c r="T321" s="614"/>
      <c r="U321" s="614"/>
      <c r="V321" s="614"/>
      <c r="W321" s="614"/>
      <c r="X321" s="614"/>
      <c r="Y321" s="614"/>
      <c r="Z321" s="614"/>
      <c r="AA321" s="614"/>
      <c r="AB321" s="614"/>
      <c r="AC321" s="614"/>
    </row>
    <row r="322" spans="1:29" ht="12.75" customHeight="1">
      <c r="A322" s="319"/>
      <c r="B322" s="614"/>
      <c r="C322" s="319"/>
      <c r="D322" s="614"/>
      <c r="E322" s="614"/>
      <c r="F322" s="614"/>
      <c r="G322" s="614"/>
      <c r="H322" s="614"/>
      <c r="I322" s="614"/>
      <c r="J322" s="614"/>
      <c r="K322" s="614"/>
      <c r="L322" s="614"/>
      <c r="M322" s="614"/>
      <c r="N322" s="614"/>
      <c r="O322" s="614"/>
      <c r="P322" s="614"/>
      <c r="Q322" s="614"/>
      <c r="R322" s="614"/>
      <c r="S322" s="614"/>
      <c r="T322" s="614"/>
      <c r="U322" s="614"/>
      <c r="V322" s="614"/>
      <c r="W322" s="614"/>
      <c r="X322" s="614"/>
      <c r="Y322" s="614"/>
      <c r="Z322" s="614"/>
      <c r="AA322" s="614"/>
      <c r="AB322" s="614"/>
      <c r="AC322" s="614"/>
    </row>
    <row r="323" spans="1:29" ht="12.75" customHeight="1">
      <c r="A323" s="319"/>
      <c r="B323" s="614"/>
      <c r="C323" s="319"/>
      <c r="D323" s="614"/>
      <c r="E323" s="614"/>
      <c r="F323" s="614"/>
      <c r="G323" s="614"/>
      <c r="H323" s="614"/>
      <c r="I323" s="614"/>
      <c r="J323" s="614"/>
      <c r="K323" s="614"/>
      <c r="L323" s="614"/>
      <c r="M323" s="614"/>
      <c r="N323" s="614"/>
      <c r="O323" s="614"/>
      <c r="P323" s="614"/>
      <c r="Q323" s="614"/>
      <c r="R323" s="614"/>
      <c r="S323" s="614"/>
      <c r="T323" s="614"/>
      <c r="U323" s="614"/>
      <c r="V323" s="614"/>
      <c r="W323" s="614"/>
      <c r="X323" s="614"/>
      <c r="Y323" s="614"/>
      <c r="Z323" s="614"/>
      <c r="AA323" s="614"/>
      <c r="AB323" s="614"/>
      <c r="AC323" s="614"/>
    </row>
    <row r="324" spans="1:29" ht="12.75" customHeight="1">
      <c r="A324" s="319"/>
      <c r="B324" s="614"/>
      <c r="C324" s="319"/>
      <c r="D324" s="614"/>
      <c r="E324" s="614"/>
      <c r="F324" s="614"/>
      <c r="G324" s="614"/>
      <c r="H324" s="614"/>
      <c r="I324" s="614"/>
      <c r="J324" s="614"/>
      <c r="K324" s="614"/>
      <c r="L324" s="614"/>
      <c r="M324" s="614"/>
      <c r="N324" s="614"/>
      <c r="O324" s="614"/>
      <c r="P324" s="614"/>
      <c r="Q324" s="614"/>
      <c r="R324" s="614"/>
      <c r="S324" s="614"/>
      <c r="T324" s="614"/>
      <c r="U324" s="614"/>
      <c r="V324" s="614"/>
      <c r="W324" s="614"/>
      <c r="X324" s="614"/>
      <c r="Y324" s="614"/>
      <c r="Z324" s="614"/>
      <c r="AA324" s="614"/>
      <c r="AB324" s="614"/>
      <c r="AC324" s="614"/>
    </row>
    <row r="325" spans="1:29" ht="12.75" customHeight="1">
      <c r="A325" s="319"/>
      <c r="B325" s="614"/>
      <c r="C325" s="319"/>
      <c r="D325" s="614"/>
      <c r="E325" s="614"/>
      <c r="F325" s="614"/>
      <c r="G325" s="614"/>
      <c r="H325" s="614"/>
      <c r="I325" s="614"/>
      <c r="J325" s="614"/>
      <c r="K325" s="614"/>
      <c r="L325" s="614"/>
      <c r="M325" s="614"/>
      <c r="N325" s="614"/>
      <c r="O325" s="614"/>
      <c r="P325" s="614"/>
      <c r="Q325" s="614"/>
      <c r="R325" s="614"/>
      <c r="S325" s="614"/>
      <c r="T325" s="614"/>
      <c r="U325" s="614"/>
      <c r="V325" s="614"/>
      <c r="W325" s="614"/>
      <c r="X325" s="614"/>
      <c r="Y325" s="614"/>
      <c r="Z325" s="614"/>
      <c r="AA325" s="614"/>
      <c r="AB325" s="614"/>
      <c r="AC325" s="614"/>
    </row>
    <row r="326" spans="1:29" ht="12.75" customHeight="1">
      <c r="A326" s="319"/>
      <c r="B326" s="614"/>
      <c r="C326" s="319"/>
      <c r="D326" s="614"/>
      <c r="E326" s="614"/>
      <c r="F326" s="614"/>
      <c r="G326" s="614"/>
      <c r="H326" s="614"/>
      <c r="I326" s="614"/>
      <c r="J326" s="614"/>
      <c r="K326" s="614"/>
      <c r="L326" s="614"/>
      <c r="M326" s="614"/>
      <c r="N326" s="614"/>
      <c r="O326" s="614"/>
      <c r="P326" s="614"/>
      <c r="Q326" s="614"/>
      <c r="R326" s="614"/>
      <c r="S326" s="614"/>
      <c r="T326" s="614"/>
      <c r="U326" s="614"/>
      <c r="V326" s="614"/>
      <c r="W326" s="614"/>
      <c r="X326" s="614"/>
      <c r="Y326" s="614"/>
      <c r="Z326" s="614"/>
      <c r="AA326" s="614"/>
      <c r="AB326" s="614"/>
      <c r="AC326" s="614"/>
    </row>
    <row r="327" spans="1:29" ht="12.75" customHeight="1">
      <c r="A327" s="319"/>
      <c r="B327" s="614"/>
      <c r="C327" s="319"/>
      <c r="D327" s="614"/>
      <c r="E327" s="614"/>
      <c r="F327" s="614"/>
      <c r="G327" s="614"/>
      <c r="H327" s="614"/>
      <c r="I327" s="614"/>
      <c r="J327" s="614"/>
      <c r="K327" s="614"/>
      <c r="L327" s="614"/>
      <c r="M327" s="614"/>
      <c r="N327" s="614"/>
      <c r="O327" s="614"/>
      <c r="P327" s="614"/>
      <c r="Q327" s="614"/>
      <c r="R327" s="614"/>
      <c r="S327" s="614"/>
      <c r="T327" s="614"/>
      <c r="U327" s="614"/>
      <c r="V327" s="614"/>
      <c r="W327" s="614"/>
      <c r="X327" s="614"/>
      <c r="Y327" s="614"/>
      <c r="Z327" s="614"/>
      <c r="AA327" s="614"/>
      <c r="AB327" s="614"/>
      <c r="AC327" s="614"/>
    </row>
    <row r="328" spans="1:29" ht="12.75" customHeight="1">
      <c r="A328" s="319"/>
      <c r="B328" s="614"/>
      <c r="C328" s="319"/>
      <c r="D328" s="614"/>
      <c r="E328" s="614"/>
      <c r="F328" s="614"/>
      <c r="G328" s="614"/>
      <c r="H328" s="614"/>
      <c r="I328" s="614"/>
      <c r="J328" s="614"/>
      <c r="K328" s="614"/>
      <c r="L328" s="614"/>
      <c r="M328" s="614"/>
      <c r="N328" s="614"/>
      <c r="O328" s="614"/>
      <c r="P328" s="614"/>
      <c r="Q328" s="614"/>
      <c r="R328" s="614"/>
      <c r="S328" s="614"/>
      <c r="T328" s="614"/>
      <c r="U328" s="614"/>
      <c r="V328" s="614"/>
      <c r="W328" s="614"/>
      <c r="X328" s="614"/>
      <c r="Y328" s="614"/>
      <c r="Z328" s="614"/>
      <c r="AA328" s="614"/>
      <c r="AB328" s="614"/>
      <c r="AC328" s="614"/>
    </row>
    <row r="329" spans="1:29" ht="12.75" customHeight="1">
      <c r="A329" s="319"/>
      <c r="B329" s="614"/>
      <c r="C329" s="319"/>
      <c r="D329" s="614"/>
      <c r="E329" s="614"/>
      <c r="F329" s="614"/>
      <c r="G329" s="614"/>
      <c r="H329" s="614"/>
      <c r="I329" s="614"/>
      <c r="J329" s="614"/>
      <c r="K329" s="614"/>
      <c r="L329" s="614"/>
      <c r="M329" s="614"/>
      <c r="N329" s="614"/>
      <c r="O329" s="614"/>
      <c r="P329" s="614"/>
      <c r="Q329" s="614"/>
      <c r="R329" s="614"/>
      <c r="S329" s="614"/>
      <c r="T329" s="614"/>
      <c r="U329" s="614"/>
      <c r="V329" s="614"/>
      <c r="W329" s="614"/>
      <c r="X329" s="614"/>
      <c r="Y329" s="614"/>
      <c r="Z329" s="614"/>
      <c r="AA329" s="614"/>
      <c r="AB329" s="614"/>
      <c r="AC329" s="614"/>
    </row>
    <row r="330" spans="1:29" ht="12.75" customHeight="1">
      <c r="A330" s="319"/>
      <c r="B330" s="614"/>
      <c r="C330" s="319"/>
      <c r="D330" s="614"/>
      <c r="E330" s="614"/>
      <c r="F330" s="614"/>
      <c r="G330" s="614"/>
      <c r="H330" s="614"/>
      <c r="I330" s="614"/>
      <c r="J330" s="614"/>
      <c r="K330" s="614"/>
      <c r="L330" s="614"/>
      <c r="M330" s="614"/>
      <c r="N330" s="614"/>
      <c r="O330" s="614"/>
      <c r="P330" s="614"/>
      <c r="Q330" s="614"/>
      <c r="R330" s="614"/>
      <c r="S330" s="614"/>
      <c r="T330" s="614"/>
      <c r="U330" s="614"/>
      <c r="V330" s="614"/>
      <c r="W330" s="614"/>
      <c r="X330" s="614"/>
      <c r="Y330" s="614"/>
      <c r="Z330" s="614"/>
      <c r="AA330" s="614"/>
      <c r="AB330" s="614"/>
      <c r="AC330" s="614"/>
    </row>
    <row r="331" spans="1:29" ht="12.75" customHeight="1">
      <c r="A331" s="319"/>
      <c r="B331" s="614"/>
      <c r="C331" s="319"/>
      <c r="D331" s="614"/>
      <c r="E331" s="614"/>
      <c r="F331" s="614"/>
      <c r="G331" s="614"/>
      <c r="H331" s="614"/>
      <c r="I331" s="614"/>
      <c r="J331" s="614"/>
      <c r="K331" s="614"/>
      <c r="L331" s="614"/>
      <c r="M331" s="614"/>
      <c r="N331" s="614"/>
      <c r="O331" s="614"/>
      <c r="P331" s="614"/>
      <c r="Q331" s="614"/>
      <c r="R331" s="614"/>
      <c r="S331" s="614"/>
      <c r="T331" s="614"/>
      <c r="U331" s="614"/>
      <c r="V331" s="614"/>
      <c r="W331" s="614"/>
      <c r="X331" s="614"/>
      <c r="Y331" s="614"/>
      <c r="Z331" s="614"/>
      <c r="AA331" s="614"/>
      <c r="AB331" s="614"/>
      <c r="AC331" s="614"/>
    </row>
    <row r="332" spans="1:29" ht="12.75" customHeight="1">
      <c r="A332" s="319"/>
      <c r="B332" s="614"/>
      <c r="C332" s="319"/>
      <c r="D332" s="614"/>
      <c r="E332" s="614"/>
      <c r="F332" s="614"/>
      <c r="G332" s="614"/>
      <c r="H332" s="614"/>
      <c r="I332" s="614"/>
      <c r="J332" s="614"/>
      <c r="K332" s="614"/>
      <c r="L332" s="614"/>
      <c r="M332" s="614"/>
      <c r="N332" s="614"/>
      <c r="O332" s="614"/>
      <c r="P332" s="614"/>
      <c r="Q332" s="614"/>
      <c r="R332" s="614"/>
      <c r="S332" s="614"/>
      <c r="T332" s="614"/>
      <c r="U332" s="614"/>
      <c r="V332" s="614"/>
      <c r="W332" s="614"/>
      <c r="X332" s="614"/>
      <c r="Y332" s="614"/>
      <c r="Z332" s="614"/>
      <c r="AA332" s="614"/>
      <c r="AB332" s="614"/>
      <c r="AC332" s="614"/>
    </row>
    <row r="333" spans="1:29" ht="12.75" customHeight="1">
      <c r="A333" s="319"/>
      <c r="B333" s="614"/>
      <c r="C333" s="319"/>
      <c r="D333" s="614"/>
      <c r="E333" s="614"/>
      <c r="F333" s="614"/>
      <c r="G333" s="614"/>
      <c r="H333" s="614"/>
      <c r="I333" s="614"/>
      <c r="J333" s="614"/>
      <c r="K333" s="614"/>
      <c r="L333" s="614"/>
      <c r="M333" s="614"/>
      <c r="N333" s="614"/>
      <c r="O333" s="614"/>
      <c r="P333" s="614"/>
      <c r="Q333" s="614"/>
      <c r="R333" s="614"/>
      <c r="S333" s="614"/>
      <c r="T333" s="614"/>
      <c r="U333" s="614"/>
      <c r="V333" s="614"/>
      <c r="W333" s="614"/>
      <c r="X333" s="614"/>
      <c r="Y333" s="614"/>
      <c r="Z333" s="614"/>
      <c r="AA333" s="614"/>
      <c r="AB333" s="614"/>
      <c r="AC333" s="614"/>
    </row>
    <row r="334" spans="1:29" ht="12.75" customHeight="1">
      <c r="A334" s="319"/>
      <c r="B334" s="614"/>
      <c r="C334" s="319"/>
      <c r="D334" s="614"/>
      <c r="E334" s="614"/>
      <c r="F334" s="614"/>
      <c r="G334" s="614"/>
      <c r="H334" s="614"/>
      <c r="I334" s="614"/>
      <c r="J334" s="614"/>
      <c r="K334" s="614"/>
      <c r="L334" s="614"/>
      <c r="M334" s="614"/>
      <c r="N334" s="614"/>
      <c r="O334" s="614"/>
      <c r="P334" s="614"/>
      <c r="Q334" s="614"/>
      <c r="R334" s="614"/>
      <c r="S334" s="614"/>
      <c r="T334" s="614"/>
      <c r="U334" s="614"/>
      <c r="V334" s="614"/>
      <c r="W334" s="614"/>
      <c r="X334" s="614"/>
      <c r="Y334" s="614"/>
      <c r="Z334" s="614"/>
      <c r="AA334" s="614"/>
      <c r="AB334" s="614"/>
      <c r="AC334" s="614"/>
    </row>
    <row r="335" spans="1:29" ht="12.75" customHeight="1">
      <c r="A335" s="319"/>
      <c r="B335" s="614"/>
      <c r="C335" s="319"/>
      <c r="D335" s="614"/>
      <c r="E335" s="614"/>
      <c r="F335" s="614"/>
      <c r="G335" s="614"/>
      <c r="H335" s="614"/>
      <c r="I335" s="614"/>
      <c r="J335" s="614"/>
      <c r="K335" s="614"/>
      <c r="L335" s="614"/>
      <c r="M335" s="614"/>
      <c r="N335" s="614"/>
      <c r="O335" s="614"/>
      <c r="P335" s="614"/>
      <c r="Q335" s="614"/>
      <c r="R335" s="614"/>
      <c r="S335" s="614"/>
      <c r="T335" s="614"/>
      <c r="U335" s="614"/>
      <c r="V335" s="614"/>
      <c r="W335" s="614"/>
      <c r="X335" s="614"/>
      <c r="Y335" s="614"/>
      <c r="Z335" s="614"/>
      <c r="AA335" s="614"/>
      <c r="AB335" s="614"/>
      <c r="AC335" s="614"/>
    </row>
    <row r="336" spans="1:29" ht="12.75" customHeight="1">
      <c r="A336" s="319"/>
      <c r="B336" s="614"/>
      <c r="C336" s="319"/>
      <c r="D336" s="614"/>
      <c r="E336" s="614"/>
      <c r="F336" s="614"/>
      <c r="G336" s="614"/>
      <c r="H336" s="614"/>
      <c r="I336" s="614"/>
      <c r="J336" s="614"/>
      <c r="K336" s="614"/>
      <c r="L336" s="614"/>
      <c r="M336" s="614"/>
      <c r="N336" s="614"/>
      <c r="O336" s="614"/>
      <c r="P336" s="614"/>
      <c r="Q336" s="614"/>
      <c r="R336" s="614"/>
      <c r="S336" s="614"/>
      <c r="T336" s="614"/>
      <c r="U336" s="614"/>
      <c r="V336" s="614"/>
      <c r="W336" s="614"/>
      <c r="X336" s="614"/>
      <c r="Y336" s="614"/>
      <c r="Z336" s="614"/>
      <c r="AA336" s="614"/>
      <c r="AB336" s="614"/>
      <c r="AC336" s="614"/>
    </row>
    <row r="337" spans="1:29" ht="12.75" customHeight="1">
      <c r="A337" s="319"/>
      <c r="B337" s="614"/>
      <c r="C337" s="319"/>
      <c r="D337" s="614"/>
      <c r="E337" s="614"/>
      <c r="F337" s="614"/>
      <c r="G337" s="614"/>
      <c r="H337" s="614"/>
      <c r="I337" s="614"/>
      <c r="J337" s="614"/>
      <c r="K337" s="614"/>
      <c r="L337" s="614"/>
      <c r="M337" s="614"/>
      <c r="N337" s="614"/>
      <c r="O337" s="614"/>
      <c r="P337" s="614"/>
      <c r="Q337" s="614"/>
      <c r="R337" s="614"/>
      <c r="S337" s="614"/>
      <c r="T337" s="614"/>
      <c r="U337" s="614"/>
      <c r="V337" s="614"/>
      <c r="W337" s="614"/>
      <c r="X337" s="614"/>
      <c r="Y337" s="614"/>
      <c r="Z337" s="614"/>
      <c r="AA337" s="614"/>
      <c r="AB337" s="614"/>
      <c r="AC337" s="614"/>
    </row>
    <row r="338" spans="1:29" ht="12.75" customHeight="1">
      <c r="A338" s="319"/>
      <c r="B338" s="614"/>
      <c r="C338" s="319"/>
      <c r="D338" s="614"/>
      <c r="E338" s="614"/>
      <c r="F338" s="614"/>
      <c r="G338" s="614"/>
      <c r="H338" s="614"/>
      <c r="I338" s="614"/>
      <c r="J338" s="614"/>
      <c r="K338" s="614"/>
      <c r="L338" s="614"/>
      <c r="M338" s="614"/>
      <c r="N338" s="614"/>
      <c r="O338" s="614"/>
      <c r="P338" s="614"/>
      <c r="Q338" s="614"/>
      <c r="R338" s="614"/>
      <c r="S338" s="614"/>
      <c r="T338" s="614"/>
      <c r="U338" s="614"/>
      <c r="V338" s="614"/>
      <c r="W338" s="614"/>
      <c r="X338" s="614"/>
      <c r="Y338" s="614"/>
      <c r="Z338" s="614"/>
      <c r="AA338" s="614"/>
      <c r="AB338" s="614"/>
      <c r="AC338" s="614"/>
    </row>
    <row r="339" spans="1:29" ht="12.75" customHeight="1">
      <c r="A339" s="319"/>
      <c r="B339" s="614"/>
      <c r="C339" s="319"/>
      <c r="D339" s="614"/>
      <c r="E339" s="614"/>
      <c r="F339" s="614"/>
      <c r="G339" s="614"/>
      <c r="H339" s="614"/>
      <c r="I339" s="614"/>
      <c r="J339" s="614"/>
      <c r="K339" s="614"/>
      <c r="L339" s="614"/>
      <c r="M339" s="614"/>
      <c r="N339" s="614"/>
      <c r="O339" s="614"/>
      <c r="P339" s="614"/>
      <c r="Q339" s="614"/>
      <c r="R339" s="614"/>
      <c r="S339" s="614"/>
      <c r="T339" s="614"/>
      <c r="U339" s="614"/>
      <c r="V339" s="614"/>
      <c r="W339" s="614"/>
      <c r="X339" s="614"/>
      <c r="Y339" s="614"/>
      <c r="Z339" s="614"/>
      <c r="AA339" s="614"/>
      <c r="AB339" s="614"/>
      <c r="AC339" s="614"/>
    </row>
    <row r="340" spans="1:29" ht="12.75" customHeight="1">
      <c r="A340" s="319"/>
      <c r="B340" s="614"/>
      <c r="C340" s="319"/>
      <c r="D340" s="614"/>
      <c r="E340" s="614"/>
      <c r="F340" s="614"/>
      <c r="G340" s="614"/>
      <c r="H340" s="614"/>
      <c r="I340" s="614"/>
      <c r="J340" s="614"/>
      <c r="K340" s="614"/>
      <c r="L340" s="614"/>
      <c r="M340" s="614"/>
      <c r="N340" s="614"/>
      <c r="O340" s="614"/>
      <c r="P340" s="614"/>
      <c r="Q340" s="614"/>
      <c r="R340" s="614"/>
      <c r="S340" s="614"/>
      <c r="T340" s="614"/>
      <c r="U340" s="614"/>
      <c r="V340" s="614"/>
      <c r="W340" s="614"/>
      <c r="X340" s="614"/>
      <c r="Y340" s="614"/>
      <c r="Z340" s="614"/>
      <c r="AA340" s="614"/>
      <c r="AB340" s="614"/>
      <c r="AC340" s="614"/>
    </row>
    <row r="341" spans="1:29" ht="12.75" customHeight="1">
      <c r="A341" s="319"/>
      <c r="B341" s="614"/>
      <c r="C341" s="319"/>
      <c r="D341" s="614"/>
      <c r="E341" s="614"/>
      <c r="F341" s="614"/>
      <c r="G341" s="614"/>
      <c r="H341" s="614"/>
      <c r="I341" s="614"/>
      <c r="J341" s="614"/>
      <c r="K341" s="614"/>
      <c r="L341" s="614"/>
      <c r="M341" s="614"/>
      <c r="N341" s="614"/>
      <c r="O341" s="614"/>
      <c r="P341" s="614"/>
      <c r="Q341" s="614"/>
      <c r="R341" s="614"/>
      <c r="S341" s="614"/>
      <c r="T341" s="614"/>
      <c r="U341" s="614"/>
      <c r="V341" s="614"/>
      <c r="W341" s="614"/>
      <c r="X341" s="614"/>
      <c r="Y341" s="614"/>
      <c r="Z341" s="614"/>
      <c r="AA341" s="614"/>
      <c r="AB341" s="614"/>
      <c r="AC341" s="614"/>
    </row>
    <row r="342" spans="1:29" ht="12.75" customHeight="1">
      <c r="A342" s="319"/>
      <c r="B342" s="614"/>
      <c r="C342" s="319"/>
      <c r="D342" s="614"/>
      <c r="E342" s="614"/>
      <c r="F342" s="614"/>
      <c r="G342" s="614"/>
      <c r="H342" s="614"/>
      <c r="I342" s="614"/>
      <c r="J342" s="614"/>
      <c r="K342" s="614"/>
      <c r="L342" s="614"/>
      <c r="M342" s="614"/>
      <c r="N342" s="614"/>
      <c r="O342" s="614"/>
      <c r="P342" s="614"/>
      <c r="Q342" s="614"/>
      <c r="R342" s="614"/>
      <c r="S342" s="614"/>
      <c r="T342" s="614"/>
      <c r="U342" s="614"/>
      <c r="V342" s="614"/>
      <c r="W342" s="614"/>
      <c r="X342" s="614"/>
      <c r="Y342" s="614"/>
      <c r="Z342" s="614"/>
      <c r="AA342" s="614"/>
      <c r="AB342" s="614"/>
      <c r="AC342" s="614"/>
    </row>
    <row r="343" spans="1:29" ht="12.75" customHeight="1">
      <c r="A343" s="319"/>
      <c r="B343" s="614"/>
      <c r="C343" s="319"/>
      <c r="D343" s="614"/>
      <c r="E343" s="614"/>
      <c r="F343" s="614"/>
      <c r="G343" s="614"/>
      <c r="H343" s="614"/>
      <c r="I343" s="614"/>
      <c r="J343" s="614"/>
      <c r="K343" s="614"/>
      <c r="L343" s="614"/>
      <c r="M343" s="614"/>
      <c r="N343" s="614"/>
      <c r="O343" s="614"/>
      <c r="P343" s="614"/>
      <c r="Q343" s="614"/>
      <c r="R343" s="614"/>
      <c r="S343" s="614"/>
      <c r="T343" s="614"/>
      <c r="U343" s="614"/>
      <c r="V343" s="614"/>
      <c r="W343" s="614"/>
      <c r="X343" s="614"/>
      <c r="Y343" s="614"/>
      <c r="Z343" s="614"/>
      <c r="AA343" s="614"/>
      <c r="AB343" s="614"/>
      <c r="AC343" s="614"/>
    </row>
    <row r="344" spans="1:29" ht="12.75" customHeight="1">
      <c r="A344" s="319"/>
      <c r="B344" s="614"/>
      <c r="C344" s="319"/>
      <c r="D344" s="614"/>
      <c r="E344" s="614"/>
      <c r="F344" s="614"/>
      <c r="G344" s="614"/>
      <c r="H344" s="614"/>
      <c r="I344" s="614"/>
      <c r="J344" s="614"/>
      <c r="K344" s="614"/>
      <c r="L344" s="614"/>
      <c r="M344" s="614"/>
      <c r="N344" s="614"/>
      <c r="O344" s="614"/>
      <c r="P344" s="614"/>
      <c r="Q344" s="614"/>
      <c r="R344" s="614"/>
      <c r="S344" s="614"/>
      <c r="T344" s="614"/>
      <c r="U344" s="614"/>
      <c r="V344" s="614"/>
      <c r="W344" s="614"/>
      <c r="X344" s="614"/>
      <c r="Y344" s="614"/>
      <c r="Z344" s="614"/>
      <c r="AA344" s="614"/>
      <c r="AB344" s="614"/>
      <c r="AC344" s="614"/>
    </row>
    <row r="345" spans="1:29" ht="12.75" customHeight="1">
      <c r="A345" s="319"/>
      <c r="B345" s="614"/>
      <c r="C345" s="319"/>
      <c r="D345" s="614"/>
      <c r="E345" s="614"/>
      <c r="F345" s="614"/>
      <c r="G345" s="614"/>
      <c r="H345" s="614"/>
      <c r="I345" s="614"/>
      <c r="J345" s="614"/>
      <c r="K345" s="614"/>
      <c r="L345" s="614"/>
      <c r="M345" s="614"/>
      <c r="N345" s="614"/>
      <c r="O345" s="614"/>
      <c r="P345" s="614"/>
      <c r="Q345" s="614"/>
      <c r="R345" s="614"/>
      <c r="S345" s="614"/>
      <c r="T345" s="614"/>
      <c r="U345" s="614"/>
      <c r="V345" s="614"/>
      <c r="W345" s="614"/>
      <c r="X345" s="614"/>
      <c r="Y345" s="614"/>
      <c r="Z345" s="614"/>
      <c r="AA345" s="614"/>
      <c r="AB345" s="614"/>
      <c r="AC345" s="614"/>
    </row>
    <row r="346" spans="1:29" ht="12.75" customHeight="1">
      <c r="A346" s="319"/>
      <c r="B346" s="614"/>
      <c r="C346" s="319"/>
      <c r="D346" s="614"/>
      <c r="E346" s="614"/>
      <c r="F346" s="614"/>
      <c r="G346" s="614"/>
      <c r="H346" s="614"/>
      <c r="I346" s="614"/>
      <c r="J346" s="614"/>
      <c r="K346" s="614"/>
      <c r="L346" s="614"/>
      <c r="M346" s="614"/>
      <c r="N346" s="614"/>
      <c r="O346" s="614"/>
      <c r="P346" s="614"/>
      <c r="Q346" s="614"/>
      <c r="R346" s="614"/>
      <c r="S346" s="614"/>
      <c r="T346" s="614"/>
      <c r="U346" s="614"/>
      <c r="V346" s="614"/>
      <c r="W346" s="614"/>
      <c r="X346" s="614"/>
      <c r="Y346" s="614"/>
      <c r="Z346" s="614"/>
      <c r="AA346" s="614"/>
      <c r="AB346" s="614"/>
      <c r="AC346" s="614"/>
    </row>
    <row r="347" spans="1:29" ht="12.75" customHeight="1">
      <c r="A347" s="319"/>
      <c r="B347" s="614"/>
      <c r="C347" s="319"/>
      <c r="D347" s="614"/>
      <c r="E347" s="614"/>
      <c r="F347" s="614"/>
      <c r="G347" s="614"/>
      <c r="H347" s="614"/>
      <c r="I347" s="614"/>
      <c r="J347" s="614"/>
      <c r="K347" s="614"/>
      <c r="L347" s="614"/>
      <c r="M347" s="614"/>
      <c r="N347" s="614"/>
      <c r="O347" s="614"/>
      <c r="P347" s="614"/>
      <c r="Q347" s="614"/>
      <c r="R347" s="614"/>
      <c r="S347" s="614"/>
      <c r="T347" s="614"/>
      <c r="U347" s="614"/>
      <c r="V347" s="614"/>
      <c r="W347" s="614"/>
      <c r="X347" s="614"/>
      <c r="Y347" s="614"/>
      <c r="Z347" s="614"/>
      <c r="AA347" s="614"/>
      <c r="AB347" s="614"/>
      <c r="AC347" s="614"/>
    </row>
    <row r="348" spans="1:29" ht="12.75" customHeight="1">
      <c r="A348" s="319"/>
      <c r="B348" s="614"/>
      <c r="C348" s="319"/>
      <c r="D348" s="614"/>
      <c r="E348" s="614"/>
      <c r="F348" s="614"/>
      <c r="G348" s="614"/>
      <c r="H348" s="614"/>
      <c r="I348" s="614"/>
      <c r="J348" s="614"/>
      <c r="K348" s="614"/>
      <c r="L348" s="614"/>
      <c r="M348" s="614"/>
      <c r="N348" s="614"/>
      <c r="O348" s="614"/>
      <c r="P348" s="614"/>
      <c r="Q348" s="614"/>
      <c r="R348" s="614"/>
      <c r="S348" s="614"/>
      <c r="T348" s="614"/>
      <c r="U348" s="614"/>
      <c r="V348" s="614"/>
      <c r="W348" s="614"/>
      <c r="X348" s="614"/>
      <c r="Y348" s="614"/>
      <c r="Z348" s="614"/>
      <c r="AA348" s="614"/>
      <c r="AB348" s="614"/>
      <c r="AC348" s="614"/>
    </row>
    <row r="349" spans="1:29" ht="12.75" customHeight="1">
      <c r="A349" s="319"/>
      <c r="B349" s="614"/>
      <c r="C349" s="319"/>
      <c r="D349" s="614"/>
      <c r="E349" s="614"/>
      <c r="F349" s="614"/>
      <c r="G349" s="614"/>
      <c r="H349" s="614"/>
      <c r="I349" s="614"/>
      <c r="J349" s="614"/>
      <c r="K349" s="614"/>
      <c r="L349" s="614"/>
      <c r="M349" s="614"/>
      <c r="N349" s="614"/>
      <c r="O349" s="614"/>
      <c r="P349" s="614"/>
      <c r="Q349" s="614"/>
      <c r="R349" s="614"/>
      <c r="S349" s="614"/>
      <c r="T349" s="614"/>
      <c r="U349" s="614"/>
      <c r="V349" s="614"/>
      <c r="W349" s="614"/>
      <c r="X349" s="614"/>
      <c r="Y349" s="614"/>
      <c r="Z349" s="614"/>
      <c r="AA349" s="614"/>
      <c r="AB349" s="614"/>
      <c r="AC349" s="614"/>
    </row>
    <row r="350" spans="1:29" ht="12.75" customHeight="1">
      <c r="A350" s="319"/>
      <c r="B350" s="614"/>
      <c r="C350" s="319"/>
      <c r="D350" s="614"/>
      <c r="E350" s="614"/>
      <c r="F350" s="614"/>
      <c r="G350" s="614"/>
      <c r="H350" s="614"/>
      <c r="I350" s="614"/>
      <c r="J350" s="614"/>
      <c r="K350" s="614"/>
      <c r="L350" s="614"/>
      <c r="M350" s="614"/>
      <c r="N350" s="614"/>
      <c r="O350" s="614"/>
      <c r="P350" s="614"/>
      <c r="Q350" s="614"/>
      <c r="R350" s="614"/>
      <c r="S350" s="614"/>
      <c r="T350" s="614"/>
      <c r="U350" s="614"/>
      <c r="V350" s="614"/>
      <c r="W350" s="614"/>
      <c r="X350" s="614"/>
      <c r="Y350" s="614"/>
      <c r="Z350" s="614"/>
      <c r="AA350" s="614"/>
      <c r="AB350" s="614"/>
      <c r="AC350" s="614"/>
    </row>
    <row r="351" spans="1:29" ht="12.75" customHeight="1">
      <c r="A351" s="319"/>
      <c r="B351" s="614"/>
      <c r="C351" s="319"/>
      <c r="D351" s="614"/>
      <c r="E351" s="614"/>
      <c r="F351" s="614"/>
      <c r="G351" s="614"/>
      <c r="H351" s="614"/>
      <c r="I351" s="614"/>
      <c r="J351" s="614"/>
      <c r="K351" s="614"/>
      <c r="L351" s="614"/>
      <c r="M351" s="614"/>
      <c r="N351" s="614"/>
      <c r="O351" s="614"/>
      <c r="P351" s="614"/>
      <c r="Q351" s="614"/>
      <c r="R351" s="614"/>
      <c r="S351" s="614"/>
      <c r="T351" s="614"/>
      <c r="U351" s="614"/>
      <c r="V351" s="614"/>
      <c r="W351" s="614"/>
      <c r="X351" s="614"/>
      <c r="Y351" s="614"/>
      <c r="Z351" s="614"/>
      <c r="AA351" s="614"/>
      <c r="AB351" s="614"/>
      <c r="AC351" s="614"/>
    </row>
    <row r="352" spans="1:29" ht="12.75" customHeight="1">
      <c r="A352" s="319"/>
      <c r="B352" s="614"/>
      <c r="C352" s="319"/>
      <c r="D352" s="614"/>
      <c r="E352" s="614"/>
      <c r="F352" s="614"/>
      <c r="G352" s="614"/>
      <c r="H352" s="614"/>
      <c r="I352" s="614"/>
      <c r="J352" s="614"/>
      <c r="K352" s="614"/>
      <c r="L352" s="614"/>
      <c r="M352" s="614"/>
      <c r="N352" s="614"/>
      <c r="O352" s="614"/>
      <c r="P352" s="614"/>
      <c r="Q352" s="614"/>
      <c r="R352" s="614"/>
      <c r="S352" s="614"/>
      <c r="T352" s="614"/>
      <c r="U352" s="614"/>
      <c r="V352" s="614"/>
      <c r="W352" s="614"/>
      <c r="X352" s="614"/>
      <c r="Y352" s="614"/>
      <c r="Z352" s="614"/>
      <c r="AA352" s="614"/>
      <c r="AB352" s="614"/>
      <c r="AC352" s="614"/>
    </row>
    <row r="353" spans="1:29" ht="12.75" customHeight="1">
      <c r="A353" s="319"/>
      <c r="B353" s="614"/>
      <c r="C353" s="319"/>
      <c r="D353" s="614"/>
      <c r="E353" s="614"/>
      <c r="F353" s="614"/>
      <c r="G353" s="614"/>
      <c r="H353" s="614"/>
      <c r="I353" s="614"/>
      <c r="J353" s="614"/>
      <c r="K353" s="614"/>
      <c r="L353" s="614"/>
      <c r="M353" s="614"/>
      <c r="N353" s="614"/>
      <c r="O353" s="614"/>
      <c r="P353" s="614"/>
      <c r="Q353" s="614"/>
      <c r="R353" s="614"/>
      <c r="S353" s="614"/>
      <c r="T353" s="614"/>
      <c r="U353" s="614"/>
      <c r="V353" s="614"/>
      <c r="W353" s="614"/>
      <c r="X353" s="614"/>
      <c r="Y353" s="614"/>
      <c r="Z353" s="614"/>
      <c r="AA353" s="614"/>
      <c r="AB353" s="614"/>
      <c r="AC353" s="614"/>
    </row>
    <row r="354" spans="1:29" ht="12.75" customHeight="1">
      <c r="A354" s="319"/>
      <c r="B354" s="614"/>
      <c r="C354" s="319"/>
      <c r="D354" s="614"/>
      <c r="E354" s="614"/>
      <c r="F354" s="614"/>
      <c r="G354" s="614"/>
      <c r="H354" s="614"/>
      <c r="I354" s="614"/>
      <c r="J354" s="614"/>
      <c r="K354" s="614"/>
      <c r="L354" s="614"/>
      <c r="M354" s="614"/>
      <c r="N354" s="614"/>
      <c r="O354" s="614"/>
      <c r="P354" s="614"/>
      <c r="Q354" s="614"/>
      <c r="R354" s="614"/>
      <c r="S354" s="614"/>
      <c r="T354" s="614"/>
      <c r="U354" s="614"/>
      <c r="V354" s="614"/>
      <c r="W354" s="614"/>
      <c r="X354" s="614"/>
      <c r="Y354" s="614"/>
      <c r="Z354" s="614"/>
      <c r="AA354" s="614"/>
      <c r="AB354" s="614"/>
      <c r="AC354" s="614"/>
    </row>
    <row r="355" spans="1:29" ht="12.75" customHeight="1">
      <c r="A355" s="319"/>
      <c r="B355" s="614"/>
      <c r="C355" s="319"/>
      <c r="D355" s="614"/>
      <c r="E355" s="614"/>
      <c r="F355" s="614"/>
      <c r="G355" s="614"/>
      <c r="H355" s="614"/>
      <c r="I355" s="614"/>
      <c r="J355" s="614"/>
      <c r="K355" s="614"/>
      <c r="L355" s="614"/>
      <c r="M355" s="614"/>
      <c r="N355" s="614"/>
      <c r="O355" s="614"/>
      <c r="P355" s="614"/>
      <c r="Q355" s="614"/>
      <c r="R355" s="614"/>
      <c r="S355" s="614"/>
      <c r="T355" s="614"/>
      <c r="U355" s="614"/>
      <c r="V355" s="614"/>
      <c r="W355" s="614"/>
      <c r="X355" s="614"/>
      <c r="Y355" s="614"/>
      <c r="Z355" s="614"/>
      <c r="AA355" s="614"/>
      <c r="AB355" s="614"/>
      <c r="AC355" s="614"/>
    </row>
    <row r="356" spans="1:29" ht="12.75" customHeight="1">
      <c r="A356" s="319"/>
      <c r="B356" s="614"/>
      <c r="C356" s="319"/>
      <c r="D356" s="614"/>
      <c r="E356" s="614"/>
      <c r="F356" s="614"/>
      <c r="G356" s="614"/>
      <c r="H356" s="614"/>
      <c r="I356" s="614"/>
      <c r="J356" s="614"/>
      <c r="K356" s="614"/>
      <c r="L356" s="614"/>
      <c r="M356" s="614"/>
      <c r="N356" s="614"/>
      <c r="O356" s="614"/>
      <c r="P356" s="614"/>
      <c r="Q356" s="614"/>
      <c r="R356" s="614"/>
      <c r="S356" s="614"/>
      <c r="T356" s="614"/>
      <c r="U356" s="614"/>
      <c r="V356" s="614"/>
      <c r="W356" s="614"/>
      <c r="X356" s="614"/>
      <c r="Y356" s="614"/>
      <c r="Z356" s="614"/>
      <c r="AA356" s="614"/>
      <c r="AB356" s="614"/>
      <c r="AC356" s="614"/>
    </row>
    <row r="357" spans="1:29" ht="12.75" customHeight="1">
      <c r="A357" s="319"/>
      <c r="B357" s="614"/>
      <c r="C357" s="319"/>
      <c r="D357" s="614"/>
      <c r="E357" s="614"/>
      <c r="F357" s="614"/>
      <c r="G357" s="614"/>
      <c r="H357" s="614"/>
      <c r="I357" s="614"/>
      <c r="J357" s="614"/>
      <c r="K357" s="614"/>
      <c r="L357" s="614"/>
      <c r="M357" s="614"/>
      <c r="N357" s="614"/>
      <c r="O357" s="614"/>
      <c r="P357" s="614"/>
      <c r="Q357" s="614"/>
      <c r="R357" s="614"/>
      <c r="S357" s="614"/>
      <c r="T357" s="614"/>
      <c r="U357" s="614"/>
      <c r="V357" s="614"/>
      <c r="W357" s="614"/>
      <c r="X357" s="614"/>
      <c r="Y357" s="614"/>
      <c r="Z357" s="614"/>
      <c r="AA357" s="614"/>
      <c r="AB357" s="614"/>
      <c r="AC357" s="614"/>
    </row>
    <row r="358" spans="1:29" ht="12.75" customHeight="1">
      <c r="A358" s="319"/>
      <c r="B358" s="614"/>
      <c r="C358" s="319"/>
      <c r="D358" s="614"/>
      <c r="E358" s="614"/>
      <c r="F358" s="614"/>
      <c r="G358" s="614"/>
      <c r="H358" s="614"/>
      <c r="I358" s="614"/>
      <c r="J358" s="614"/>
      <c r="K358" s="614"/>
      <c r="L358" s="614"/>
      <c r="M358" s="614"/>
      <c r="N358" s="614"/>
      <c r="O358" s="614"/>
      <c r="P358" s="614"/>
      <c r="Q358" s="614"/>
      <c r="R358" s="614"/>
      <c r="S358" s="614"/>
      <c r="T358" s="614"/>
      <c r="U358" s="614"/>
      <c r="V358" s="614"/>
      <c r="W358" s="614"/>
      <c r="X358" s="614"/>
      <c r="Y358" s="614"/>
      <c r="Z358" s="614"/>
      <c r="AA358" s="614"/>
      <c r="AB358" s="614"/>
      <c r="AC358" s="614"/>
    </row>
    <row r="359" spans="1:29" ht="12.75" customHeight="1">
      <c r="A359" s="319"/>
      <c r="B359" s="614"/>
      <c r="C359" s="319"/>
      <c r="D359" s="614"/>
      <c r="E359" s="614"/>
      <c r="F359" s="614"/>
      <c r="G359" s="614"/>
      <c r="H359" s="614"/>
      <c r="I359" s="614"/>
      <c r="J359" s="614"/>
      <c r="K359" s="614"/>
      <c r="L359" s="614"/>
      <c r="M359" s="614"/>
      <c r="N359" s="614"/>
      <c r="O359" s="614"/>
      <c r="P359" s="614"/>
      <c r="Q359" s="614"/>
      <c r="R359" s="614"/>
      <c r="S359" s="614"/>
      <c r="T359" s="614"/>
      <c r="U359" s="614"/>
      <c r="V359" s="614"/>
      <c r="W359" s="614"/>
      <c r="X359" s="614"/>
      <c r="Y359" s="614"/>
      <c r="Z359" s="614"/>
      <c r="AA359" s="614"/>
      <c r="AB359" s="614"/>
      <c r="AC359" s="614"/>
    </row>
    <row r="360" spans="1:29" ht="12.75" customHeight="1">
      <c r="A360" s="319"/>
      <c r="B360" s="614"/>
      <c r="C360" s="319"/>
      <c r="D360" s="614"/>
      <c r="E360" s="614"/>
      <c r="F360" s="614"/>
      <c r="G360" s="614"/>
      <c r="H360" s="614"/>
      <c r="I360" s="614"/>
      <c r="J360" s="614"/>
      <c r="K360" s="614"/>
      <c r="L360" s="614"/>
      <c r="M360" s="614"/>
      <c r="N360" s="614"/>
      <c r="O360" s="614"/>
      <c r="P360" s="614"/>
      <c r="Q360" s="614"/>
      <c r="R360" s="614"/>
      <c r="S360" s="614"/>
      <c r="T360" s="614"/>
      <c r="U360" s="614"/>
      <c r="V360" s="614"/>
      <c r="W360" s="614"/>
      <c r="X360" s="614"/>
      <c r="Y360" s="614"/>
      <c r="Z360" s="614"/>
      <c r="AA360" s="614"/>
      <c r="AB360" s="614"/>
      <c r="AC360" s="614"/>
    </row>
    <row r="361" spans="1:29" ht="12.75" customHeight="1">
      <c r="A361" s="319"/>
      <c r="B361" s="614"/>
      <c r="C361" s="319"/>
      <c r="D361" s="614"/>
      <c r="E361" s="614"/>
      <c r="F361" s="614"/>
      <c r="G361" s="614"/>
      <c r="H361" s="614"/>
      <c r="I361" s="614"/>
      <c r="J361" s="614"/>
      <c r="K361" s="614"/>
      <c r="L361" s="614"/>
      <c r="M361" s="614"/>
      <c r="N361" s="614"/>
      <c r="O361" s="614"/>
      <c r="P361" s="614"/>
      <c r="Q361" s="614"/>
      <c r="R361" s="614"/>
      <c r="S361" s="614"/>
      <c r="T361" s="614"/>
      <c r="U361" s="614"/>
      <c r="V361" s="614"/>
      <c r="W361" s="614"/>
      <c r="X361" s="614"/>
      <c r="Y361" s="614"/>
      <c r="Z361" s="614"/>
      <c r="AA361" s="614"/>
      <c r="AB361" s="614"/>
      <c r="AC361" s="614"/>
    </row>
    <row r="362" spans="1:29" ht="12.75" customHeight="1">
      <c r="A362" s="319"/>
      <c r="B362" s="614"/>
      <c r="C362" s="319"/>
      <c r="D362" s="614"/>
      <c r="E362" s="614"/>
      <c r="F362" s="614"/>
      <c r="G362" s="614"/>
      <c r="H362" s="614"/>
      <c r="I362" s="614"/>
      <c r="J362" s="614"/>
      <c r="K362" s="614"/>
      <c r="L362" s="614"/>
      <c r="M362" s="614"/>
      <c r="N362" s="614"/>
      <c r="O362" s="614"/>
      <c r="P362" s="614"/>
      <c r="Q362" s="614"/>
      <c r="R362" s="614"/>
      <c r="S362" s="614"/>
      <c r="T362" s="614"/>
      <c r="U362" s="614"/>
      <c r="V362" s="614"/>
      <c r="W362" s="614"/>
      <c r="X362" s="614"/>
      <c r="Y362" s="614"/>
      <c r="Z362" s="614"/>
      <c r="AA362" s="614"/>
      <c r="AB362" s="614"/>
      <c r="AC362" s="614"/>
    </row>
    <row r="363" spans="1:29" ht="12.75" customHeight="1">
      <c r="A363" s="319"/>
      <c r="B363" s="614"/>
      <c r="C363" s="319"/>
      <c r="D363" s="614"/>
      <c r="E363" s="614"/>
      <c r="F363" s="614"/>
      <c r="G363" s="614"/>
      <c r="H363" s="614"/>
      <c r="I363" s="614"/>
      <c r="J363" s="614"/>
      <c r="K363" s="614"/>
      <c r="L363" s="614"/>
      <c r="M363" s="614"/>
      <c r="N363" s="614"/>
      <c r="O363" s="614"/>
      <c r="P363" s="614"/>
      <c r="Q363" s="614"/>
      <c r="R363" s="614"/>
      <c r="S363" s="614"/>
      <c r="T363" s="614"/>
      <c r="U363" s="614"/>
      <c r="V363" s="614"/>
      <c r="W363" s="614"/>
      <c r="X363" s="614"/>
      <c r="Y363" s="614"/>
      <c r="Z363" s="614"/>
      <c r="AA363" s="614"/>
      <c r="AB363" s="614"/>
      <c r="AC363" s="614"/>
    </row>
    <row r="364" spans="1:29" ht="12.75" customHeight="1">
      <c r="A364" s="319"/>
      <c r="B364" s="614"/>
      <c r="C364" s="319"/>
      <c r="D364" s="614"/>
      <c r="E364" s="614"/>
      <c r="F364" s="614"/>
      <c r="G364" s="614"/>
      <c r="H364" s="614"/>
      <c r="I364" s="614"/>
      <c r="J364" s="614"/>
      <c r="K364" s="614"/>
      <c r="L364" s="614"/>
      <c r="M364" s="614"/>
      <c r="N364" s="614"/>
      <c r="O364" s="614"/>
      <c r="P364" s="614"/>
      <c r="Q364" s="614"/>
      <c r="R364" s="614"/>
      <c r="S364" s="614"/>
      <c r="T364" s="614"/>
      <c r="U364" s="614"/>
      <c r="V364" s="614"/>
      <c r="W364" s="614"/>
      <c r="X364" s="614"/>
      <c r="Y364" s="614"/>
      <c r="Z364" s="614"/>
      <c r="AA364" s="614"/>
      <c r="AB364" s="614"/>
      <c r="AC364" s="614"/>
    </row>
    <row r="365" spans="1:29" ht="12.75" customHeight="1">
      <c r="A365" s="319"/>
      <c r="B365" s="614"/>
      <c r="C365" s="319"/>
      <c r="D365" s="614"/>
      <c r="E365" s="614"/>
      <c r="F365" s="614"/>
      <c r="G365" s="614"/>
      <c r="H365" s="614"/>
      <c r="I365" s="614"/>
      <c r="J365" s="614"/>
      <c r="K365" s="614"/>
      <c r="L365" s="614"/>
      <c r="M365" s="614"/>
      <c r="N365" s="614"/>
      <c r="O365" s="614"/>
      <c r="P365" s="614"/>
      <c r="Q365" s="614"/>
      <c r="R365" s="614"/>
      <c r="S365" s="614"/>
      <c r="T365" s="614"/>
      <c r="U365" s="614"/>
      <c r="V365" s="614"/>
      <c r="W365" s="614"/>
      <c r="X365" s="614"/>
      <c r="Y365" s="614"/>
      <c r="Z365" s="614"/>
      <c r="AA365" s="614"/>
      <c r="AB365" s="614"/>
      <c r="AC365" s="614"/>
    </row>
    <row r="366" spans="1:29" ht="12.75" customHeight="1">
      <c r="A366" s="319"/>
      <c r="B366" s="614"/>
      <c r="C366" s="319"/>
      <c r="D366" s="614"/>
      <c r="E366" s="614"/>
      <c r="F366" s="614"/>
      <c r="G366" s="614"/>
      <c r="H366" s="614"/>
      <c r="I366" s="614"/>
      <c r="J366" s="614"/>
      <c r="K366" s="614"/>
      <c r="L366" s="614"/>
      <c r="M366" s="614"/>
      <c r="N366" s="614"/>
      <c r="O366" s="614"/>
      <c r="P366" s="614"/>
      <c r="Q366" s="614"/>
      <c r="R366" s="614"/>
      <c r="S366" s="614"/>
      <c r="T366" s="614"/>
      <c r="U366" s="614"/>
      <c r="V366" s="614"/>
      <c r="W366" s="614"/>
      <c r="X366" s="614"/>
      <c r="Y366" s="614"/>
      <c r="Z366" s="614"/>
      <c r="AA366" s="614"/>
      <c r="AB366" s="614"/>
      <c r="AC366" s="614"/>
    </row>
    <row r="367" spans="1:29" ht="12.75" customHeight="1">
      <c r="A367" s="319"/>
      <c r="B367" s="614"/>
      <c r="C367" s="319"/>
      <c r="D367" s="614"/>
      <c r="E367" s="614"/>
      <c r="F367" s="614"/>
      <c r="G367" s="614"/>
      <c r="H367" s="614"/>
      <c r="I367" s="614"/>
      <c r="J367" s="614"/>
      <c r="K367" s="614"/>
      <c r="L367" s="614"/>
      <c r="M367" s="614"/>
      <c r="N367" s="614"/>
      <c r="O367" s="614"/>
      <c r="P367" s="614"/>
      <c r="Q367" s="614"/>
      <c r="R367" s="614"/>
      <c r="S367" s="614"/>
      <c r="T367" s="614"/>
      <c r="U367" s="614"/>
      <c r="V367" s="614"/>
      <c r="W367" s="614"/>
      <c r="X367" s="614"/>
      <c r="Y367" s="614"/>
      <c r="Z367" s="614"/>
      <c r="AA367" s="614"/>
      <c r="AB367" s="614"/>
      <c r="AC367" s="614"/>
    </row>
    <row r="368" spans="1:29" ht="12.75" customHeight="1">
      <c r="A368" s="319"/>
      <c r="B368" s="614"/>
      <c r="C368" s="319"/>
      <c r="D368" s="614"/>
      <c r="E368" s="614"/>
      <c r="F368" s="614"/>
      <c r="G368" s="614"/>
      <c r="H368" s="614"/>
      <c r="I368" s="614"/>
      <c r="J368" s="614"/>
      <c r="K368" s="614"/>
      <c r="L368" s="614"/>
      <c r="M368" s="614"/>
      <c r="N368" s="614"/>
      <c r="O368" s="614"/>
      <c r="P368" s="614"/>
      <c r="Q368" s="614"/>
      <c r="R368" s="614"/>
      <c r="S368" s="614"/>
      <c r="T368" s="614"/>
      <c r="U368" s="614"/>
      <c r="V368" s="614"/>
      <c r="W368" s="614"/>
      <c r="X368" s="614"/>
      <c r="Y368" s="614"/>
      <c r="Z368" s="614"/>
      <c r="AA368" s="614"/>
      <c r="AB368" s="614"/>
      <c r="AC368" s="614"/>
    </row>
    <row r="369" spans="1:29" ht="12.75" customHeight="1">
      <c r="A369" s="319"/>
      <c r="B369" s="614"/>
      <c r="C369" s="319"/>
      <c r="D369" s="614"/>
      <c r="E369" s="614"/>
      <c r="F369" s="614"/>
      <c r="G369" s="614"/>
      <c r="H369" s="614"/>
      <c r="I369" s="614"/>
      <c r="J369" s="614"/>
      <c r="K369" s="614"/>
      <c r="L369" s="614"/>
      <c r="M369" s="614"/>
      <c r="N369" s="614"/>
      <c r="O369" s="614"/>
      <c r="P369" s="614"/>
      <c r="Q369" s="614"/>
      <c r="R369" s="614"/>
      <c r="S369" s="614"/>
      <c r="T369" s="614"/>
      <c r="U369" s="614"/>
      <c r="V369" s="614"/>
      <c r="W369" s="614"/>
      <c r="X369" s="614"/>
      <c r="Y369" s="614"/>
      <c r="Z369" s="614"/>
      <c r="AA369" s="614"/>
      <c r="AB369" s="614"/>
      <c r="AC369" s="614"/>
    </row>
    <row r="370" spans="1:29" ht="12.75" customHeight="1">
      <c r="A370" s="319"/>
      <c r="B370" s="614"/>
      <c r="C370" s="319"/>
      <c r="D370" s="614"/>
      <c r="E370" s="614"/>
      <c r="F370" s="614"/>
      <c r="G370" s="614"/>
      <c r="H370" s="614"/>
      <c r="I370" s="614"/>
      <c r="J370" s="614"/>
      <c r="K370" s="614"/>
      <c r="L370" s="614"/>
      <c r="M370" s="614"/>
      <c r="N370" s="614"/>
      <c r="O370" s="614"/>
      <c r="P370" s="614"/>
      <c r="Q370" s="614"/>
      <c r="R370" s="614"/>
      <c r="S370" s="614"/>
      <c r="T370" s="614"/>
      <c r="U370" s="614"/>
      <c r="V370" s="614"/>
      <c r="W370" s="614"/>
      <c r="X370" s="614"/>
      <c r="Y370" s="614"/>
      <c r="Z370" s="614"/>
      <c r="AA370" s="614"/>
      <c r="AB370" s="614"/>
      <c r="AC370" s="614"/>
    </row>
    <row r="371" spans="1:29" ht="12.75" customHeight="1">
      <c r="A371" s="319"/>
      <c r="B371" s="614"/>
      <c r="C371" s="319"/>
      <c r="D371" s="614"/>
      <c r="E371" s="614"/>
      <c r="F371" s="614"/>
      <c r="G371" s="614"/>
      <c r="H371" s="614"/>
      <c r="I371" s="614"/>
      <c r="J371" s="614"/>
      <c r="K371" s="614"/>
      <c r="L371" s="614"/>
      <c r="M371" s="614"/>
      <c r="N371" s="614"/>
      <c r="O371" s="614"/>
      <c r="P371" s="614"/>
      <c r="Q371" s="614"/>
      <c r="R371" s="614"/>
      <c r="S371" s="614"/>
      <c r="T371" s="614"/>
      <c r="U371" s="614"/>
      <c r="V371" s="614"/>
      <c r="W371" s="614"/>
      <c r="X371" s="614"/>
      <c r="Y371" s="614"/>
      <c r="Z371" s="614"/>
      <c r="AA371" s="614"/>
      <c r="AB371" s="614"/>
      <c r="AC371" s="614"/>
    </row>
    <row r="372" spans="1:29" ht="12.75" customHeight="1">
      <c r="A372" s="319"/>
      <c r="B372" s="614"/>
      <c r="C372" s="319"/>
      <c r="D372" s="614"/>
      <c r="E372" s="614"/>
      <c r="F372" s="614"/>
      <c r="G372" s="614"/>
      <c r="H372" s="614"/>
      <c r="I372" s="614"/>
      <c r="J372" s="614"/>
      <c r="K372" s="614"/>
      <c r="L372" s="614"/>
      <c r="M372" s="614"/>
      <c r="N372" s="614"/>
      <c r="O372" s="614"/>
      <c r="P372" s="614"/>
      <c r="Q372" s="614"/>
      <c r="R372" s="614"/>
      <c r="S372" s="614"/>
      <c r="T372" s="614"/>
      <c r="U372" s="614"/>
      <c r="V372" s="614"/>
      <c r="W372" s="614"/>
      <c r="X372" s="614"/>
      <c r="Y372" s="614"/>
      <c r="Z372" s="614"/>
      <c r="AA372" s="614"/>
      <c r="AB372" s="614"/>
      <c r="AC372" s="614"/>
    </row>
    <row r="373" spans="1:29" ht="12.75" customHeight="1">
      <c r="A373" s="319"/>
      <c r="B373" s="614"/>
      <c r="C373" s="319"/>
      <c r="D373" s="614"/>
      <c r="E373" s="614"/>
      <c r="F373" s="614"/>
      <c r="G373" s="614"/>
      <c r="H373" s="614"/>
      <c r="I373" s="614"/>
      <c r="J373" s="614"/>
      <c r="K373" s="614"/>
      <c r="L373" s="614"/>
      <c r="M373" s="614"/>
      <c r="N373" s="614"/>
      <c r="O373" s="614"/>
      <c r="P373" s="614"/>
      <c r="Q373" s="614"/>
      <c r="R373" s="614"/>
      <c r="S373" s="614"/>
      <c r="T373" s="614"/>
      <c r="U373" s="614"/>
      <c r="V373" s="614"/>
      <c r="W373" s="614"/>
      <c r="X373" s="614"/>
      <c r="Y373" s="614"/>
      <c r="Z373" s="614"/>
      <c r="AA373" s="614"/>
      <c r="AB373" s="614"/>
      <c r="AC373" s="614"/>
    </row>
    <row r="374" spans="1:29" ht="12.75" customHeight="1">
      <c r="A374" s="319"/>
      <c r="B374" s="614"/>
      <c r="C374" s="319"/>
      <c r="D374" s="614"/>
      <c r="E374" s="614"/>
      <c r="F374" s="614"/>
      <c r="G374" s="614"/>
      <c r="H374" s="614"/>
      <c r="I374" s="614"/>
      <c r="J374" s="614"/>
      <c r="K374" s="614"/>
      <c r="L374" s="614"/>
      <c r="M374" s="614"/>
      <c r="N374" s="614"/>
      <c r="O374" s="614"/>
      <c r="P374" s="614"/>
      <c r="Q374" s="614"/>
      <c r="R374" s="614"/>
      <c r="S374" s="614"/>
      <c r="T374" s="614"/>
      <c r="U374" s="614"/>
      <c r="V374" s="614"/>
      <c r="W374" s="614"/>
      <c r="X374" s="614"/>
      <c r="Y374" s="614"/>
      <c r="Z374" s="614"/>
      <c r="AA374" s="614"/>
      <c r="AB374" s="614"/>
      <c r="AC374" s="614"/>
    </row>
    <row r="375" spans="1:29" ht="12.75" customHeight="1">
      <c r="A375" s="319"/>
      <c r="B375" s="614"/>
      <c r="C375" s="319"/>
      <c r="D375" s="614"/>
      <c r="E375" s="614"/>
      <c r="F375" s="614"/>
      <c r="G375" s="614"/>
      <c r="H375" s="614"/>
      <c r="I375" s="614"/>
      <c r="J375" s="614"/>
      <c r="K375" s="614"/>
      <c r="L375" s="614"/>
      <c r="M375" s="614"/>
      <c r="N375" s="614"/>
      <c r="O375" s="614"/>
      <c r="P375" s="614"/>
      <c r="Q375" s="614"/>
      <c r="R375" s="614"/>
      <c r="S375" s="614"/>
      <c r="T375" s="614"/>
      <c r="U375" s="614"/>
      <c r="V375" s="614"/>
      <c r="W375" s="614"/>
      <c r="X375" s="614"/>
      <c r="Y375" s="614"/>
      <c r="Z375" s="614"/>
      <c r="AA375" s="614"/>
      <c r="AB375" s="614"/>
      <c r="AC375" s="614"/>
    </row>
    <row r="376" spans="1:29" ht="12.75" customHeight="1">
      <c r="A376" s="319"/>
      <c r="B376" s="614"/>
      <c r="C376" s="319"/>
      <c r="D376" s="614"/>
      <c r="E376" s="614"/>
      <c r="F376" s="614"/>
      <c r="G376" s="614"/>
      <c r="H376" s="614"/>
      <c r="I376" s="614"/>
      <c r="J376" s="614"/>
      <c r="K376" s="614"/>
      <c r="L376" s="614"/>
      <c r="M376" s="614"/>
      <c r="N376" s="614"/>
      <c r="O376" s="614"/>
      <c r="P376" s="614"/>
      <c r="Q376" s="614"/>
      <c r="R376" s="614"/>
      <c r="S376" s="614"/>
      <c r="T376" s="614"/>
      <c r="U376" s="614"/>
      <c r="V376" s="614"/>
      <c r="W376" s="614"/>
      <c r="X376" s="614"/>
      <c r="Y376" s="614"/>
      <c r="Z376" s="614"/>
      <c r="AA376" s="614"/>
      <c r="AB376" s="614"/>
      <c r="AC376" s="614"/>
    </row>
    <row r="377" spans="1:29" ht="12.75" customHeight="1">
      <c r="A377" s="319"/>
      <c r="B377" s="614"/>
      <c r="C377" s="319"/>
      <c r="D377" s="614"/>
      <c r="E377" s="614"/>
      <c r="F377" s="614"/>
      <c r="G377" s="614"/>
      <c r="H377" s="614"/>
      <c r="I377" s="614"/>
      <c r="J377" s="614"/>
      <c r="K377" s="614"/>
      <c r="L377" s="614"/>
      <c r="M377" s="614"/>
      <c r="N377" s="614"/>
      <c r="O377" s="614"/>
      <c r="P377" s="614"/>
      <c r="Q377" s="614"/>
      <c r="R377" s="614"/>
      <c r="S377" s="614"/>
      <c r="T377" s="614"/>
      <c r="U377" s="614"/>
      <c r="V377" s="614"/>
      <c r="W377" s="614"/>
      <c r="X377" s="614"/>
      <c r="Y377" s="614"/>
      <c r="Z377" s="614"/>
      <c r="AA377" s="614"/>
      <c r="AB377" s="614"/>
      <c r="AC377" s="614"/>
    </row>
    <row r="378" spans="1:29" ht="12.75" customHeight="1">
      <c r="A378" s="319"/>
      <c r="B378" s="614"/>
      <c r="C378" s="319"/>
      <c r="D378" s="614"/>
      <c r="E378" s="614"/>
      <c r="F378" s="614"/>
      <c r="G378" s="614"/>
      <c r="H378" s="614"/>
      <c r="I378" s="614"/>
      <c r="J378" s="614"/>
      <c r="K378" s="614"/>
      <c r="L378" s="614"/>
      <c r="M378" s="614"/>
      <c r="N378" s="614"/>
      <c r="O378" s="614"/>
      <c r="P378" s="614"/>
      <c r="Q378" s="614"/>
      <c r="R378" s="614"/>
      <c r="S378" s="614"/>
      <c r="T378" s="614"/>
      <c r="U378" s="614"/>
      <c r="V378" s="614"/>
      <c r="W378" s="614"/>
      <c r="X378" s="614"/>
      <c r="Y378" s="614"/>
      <c r="Z378" s="614"/>
      <c r="AA378" s="614"/>
      <c r="AB378" s="614"/>
      <c r="AC378" s="614"/>
    </row>
    <row r="379" spans="1:29" ht="12.75" customHeight="1">
      <c r="A379" s="319"/>
      <c r="B379" s="614"/>
      <c r="C379" s="319"/>
      <c r="D379" s="614"/>
      <c r="E379" s="614"/>
      <c r="F379" s="614"/>
      <c r="G379" s="614"/>
      <c r="H379" s="614"/>
      <c r="I379" s="614"/>
      <c r="J379" s="614"/>
      <c r="K379" s="614"/>
      <c r="L379" s="614"/>
      <c r="M379" s="614"/>
      <c r="N379" s="614"/>
      <c r="O379" s="614"/>
      <c r="P379" s="614"/>
      <c r="Q379" s="614"/>
      <c r="R379" s="614"/>
      <c r="S379" s="614"/>
      <c r="T379" s="614"/>
      <c r="U379" s="614"/>
      <c r="V379" s="614"/>
      <c r="W379" s="614"/>
      <c r="X379" s="614"/>
      <c r="Y379" s="614"/>
      <c r="Z379" s="614"/>
      <c r="AA379" s="614"/>
      <c r="AB379" s="614"/>
      <c r="AC379" s="614"/>
    </row>
    <row r="380" spans="1:29" ht="12.75" customHeight="1">
      <c r="A380" s="319"/>
      <c r="B380" s="614"/>
      <c r="C380" s="319"/>
      <c r="D380" s="614"/>
      <c r="E380" s="614"/>
      <c r="F380" s="614"/>
      <c r="G380" s="614"/>
      <c r="H380" s="614"/>
      <c r="I380" s="614"/>
      <c r="J380" s="614"/>
      <c r="K380" s="614"/>
      <c r="L380" s="614"/>
      <c r="M380" s="614"/>
      <c r="N380" s="614"/>
      <c r="O380" s="614"/>
      <c r="P380" s="614"/>
      <c r="Q380" s="614"/>
      <c r="R380" s="614"/>
      <c r="S380" s="614"/>
      <c r="T380" s="614"/>
      <c r="U380" s="614"/>
      <c r="V380" s="614"/>
      <c r="W380" s="614"/>
      <c r="X380" s="614"/>
      <c r="Y380" s="614"/>
      <c r="Z380" s="614"/>
      <c r="AA380" s="614"/>
      <c r="AB380" s="614"/>
      <c r="AC380" s="614"/>
    </row>
    <row r="381" spans="1:29" ht="12.75" customHeight="1">
      <c r="A381" s="319"/>
      <c r="B381" s="614"/>
      <c r="C381" s="319"/>
      <c r="D381" s="614"/>
      <c r="E381" s="614"/>
      <c r="F381" s="614"/>
      <c r="G381" s="614"/>
      <c r="H381" s="614"/>
      <c r="I381" s="614"/>
      <c r="J381" s="614"/>
      <c r="K381" s="614"/>
      <c r="L381" s="614"/>
      <c r="M381" s="614"/>
      <c r="N381" s="614"/>
      <c r="O381" s="614"/>
      <c r="P381" s="614"/>
      <c r="Q381" s="614"/>
      <c r="R381" s="614"/>
      <c r="S381" s="614"/>
      <c r="T381" s="614"/>
      <c r="U381" s="614"/>
      <c r="V381" s="614"/>
      <c r="W381" s="614"/>
      <c r="X381" s="614"/>
      <c r="Y381" s="614"/>
      <c r="Z381" s="614"/>
      <c r="AA381" s="614"/>
      <c r="AB381" s="614"/>
      <c r="AC381" s="614"/>
    </row>
    <row r="382" spans="1:29" ht="12.75" customHeight="1">
      <c r="A382" s="319"/>
      <c r="B382" s="614"/>
      <c r="C382" s="319"/>
      <c r="D382" s="614"/>
      <c r="E382" s="614"/>
      <c r="F382" s="614"/>
      <c r="G382" s="614"/>
      <c r="H382" s="614"/>
      <c r="I382" s="614"/>
      <c r="J382" s="614"/>
      <c r="K382" s="614"/>
      <c r="L382" s="614"/>
      <c r="M382" s="614"/>
      <c r="N382" s="614"/>
      <c r="O382" s="614"/>
      <c r="P382" s="614"/>
      <c r="Q382" s="614"/>
      <c r="R382" s="614"/>
      <c r="S382" s="614"/>
      <c r="T382" s="614"/>
      <c r="U382" s="614"/>
      <c r="V382" s="614"/>
      <c r="W382" s="614"/>
      <c r="X382" s="614"/>
      <c r="Y382" s="614"/>
      <c r="Z382" s="614"/>
      <c r="AA382" s="614"/>
      <c r="AB382" s="614"/>
      <c r="AC382" s="614"/>
    </row>
    <row r="383" spans="1:29" ht="12.75" customHeight="1">
      <c r="A383" s="319"/>
      <c r="B383" s="614"/>
      <c r="C383" s="319"/>
      <c r="D383" s="614"/>
      <c r="E383" s="614"/>
      <c r="F383" s="614"/>
      <c r="G383" s="614"/>
      <c r="H383" s="614"/>
      <c r="I383" s="614"/>
      <c r="J383" s="614"/>
      <c r="K383" s="614"/>
      <c r="L383" s="614"/>
      <c r="M383" s="614"/>
      <c r="N383" s="614"/>
      <c r="O383" s="614"/>
      <c r="P383" s="614"/>
      <c r="Q383" s="614"/>
      <c r="R383" s="614"/>
      <c r="S383" s="614"/>
      <c r="T383" s="614"/>
      <c r="U383" s="614"/>
      <c r="V383" s="614"/>
      <c r="W383" s="614"/>
      <c r="X383" s="614"/>
      <c r="Y383" s="614"/>
      <c r="Z383" s="614"/>
      <c r="AA383" s="614"/>
      <c r="AB383" s="614"/>
      <c r="AC383" s="614"/>
    </row>
    <row r="384" spans="1:29" ht="12.75" customHeight="1">
      <c r="A384" s="319"/>
      <c r="B384" s="614"/>
      <c r="C384" s="319"/>
      <c r="D384" s="614"/>
      <c r="E384" s="614"/>
      <c r="F384" s="614"/>
      <c r="G384" s="614"/>
      <c r="H384" s="614"/>
      <c r="I384" s="614"/>
      <c r="J384" s="614"/>
      <c r="K384" s="614"/>
      <c r="L384" s="614"/>
      <c r="M384" s="614"/>
      <c r="N384" s="614"/>
      <c r="O384" s="614"/>
      <c r="P384" s="614"/>
      <c r="Q384" s="614"/>
      <c r="R384" s="614"/>
      <c r="S384" s="614"/>
      <c r="T384" s="614"/>
      <c r="U384" s="614"/>
      <c r="V384" s="614"/>
      <c r="W384" s="614"/>
      <c r="X384" s="614"/>
      <c r="Y384" s="614"/>
      <c r="Z384" s="614"/>
      <c r="AA384" s="614"/>
      <c r="AB384" s="614"/>
      <c r="AC384" s="614"/>
    </row>
    <row r="385" spans="1:29" ht="12.75" customHeight="1">
      <c r="A385" s="319"/>
      <c r="B385" s="614"/>
      <c r="C385" s="319"/>
      <c r="D385" s="614"/>
      <c r="E385" s="614"/>
      <c r="F385" s="614"/>
      <c r="G385" s="614"/>
      <c r="H385" s="614"/>
      <c r="I385" s="614"/>
      <c r="J385" s="614"/>
      <c r="K385" s="614"/>
      <c r="L385" s="614"/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  <c r="Z385" s="614"/>
      <c r="AA385" s="614"/>
      <c r="AB385" s="614"/>
      <c r="AC385" s="614"/>
    </row>
    <row r="386" spans="1:29" ht="12.75" customHeight="1">
      <c r="A386" s="319"/>
      <c r="B386" s="614"/>
      <c r="C386" s="319"/>
      <c r="D386" s="614"/>
      <c r="E386" s="614"/>
      <c r="F386" s="614"/>
      <c r="G386" s="614"/>
      <c r="H386" s="614"/>
      <c r="I386" s="614"/>
      <c r="J386" s="614"/>
      <c r="K386" s="614"/>
      <c r="L386" s="614"/>
      <c r="M386" s="614"/>
      <c r="N386" s="614"/>
      <c r="O386" s="614"/>
      <c r="P386" s="614"/>
      <c r="Q386" s="614"/>
      <c r="R386" s="614"/>
      <c r="S386" s="614"/>
      <c r="T386" s="614"/>
      <c r="U386" s="614"/>
      <c r="V386" s="614"/>
      <c r="W386" s="614"/>
      <c r="X386" s="614"/>
      <c r="Y386" s="614"/>
      <c r="Z386" s="614"/>
      <c r="AA386" s="614"/>
      <c r="AB386" s="614"/>
      <c r="AC386" s="614"/>
    </row>
    <row r="387" spans="1:29" ht="12.75" customHeight="1">
      <c r="A387" s="319"/>
      <c r="B387" s="614"/>
      <c r="C387" s="319"/>
      <c r="D387" s="614"/>
      <c r="E387" s="614"/>
      <c r="F387" s="614"/>
      <c r="G387" s="614"/>
      <c r="H387" s="614"/>
      <c r="I387" s="614"/>
      <c r="J387" s="614"/>
      <c r="K387" s="614"/>
      <c r="L387" s="614"/>
      <c r="M387" s="614"/>
      <c r="N387" s="614"/>
      <c r="O387" s="614"/>
      <c r="P387" s="614"/>
      <c r="Q387" s="614"/>
      <c r="R387" s="614"/>
      <c r="S387" s="614"/>
      <c r="T387" s="614"/>
      <c r="U387" s="614"/>
      <c r="V387" s="614"/>
      <c r="W387" s="614"/>
      <c r="X387" s="614"/>
      <c r="Y387" s="614"/>
      <c r="Z387" s="614"/>
      <c r="AA387" s="614"/>
      <c r="AB387" s="614"/>
      <c r="AC387" s="614"/>
    </row>
    <row r="388" spans="1:29" ht="12.75" customHeight="1">
      <c r="A388" s="319"/>
      <c r="B388" s="614"/>
      <c r="C388" s="319"/>
      <c r="D388" s="614"/>
      <c r="E388" s="614"/>
      <c r="F388" s="614"/>
      <c r="G388" s="614"/>
      <c r="H388" s="614"/>
      <c r="I388" s="614"/>
      <c r="J388" s="614"/>
      <c r="K388" s="614"/>
      <c r="L388" s="614"/>
      <c r="M388" s="614"/>
      <c r="N388" s="614"/>
      <c r="O388" s="614"/>
      <c r="P388" s="614"/>
      <c r="Q388" s="614"/>
      <c r="R388" s="614"/>
      <c r="S388" s="614"/>
      <c r="T388" s="614"/>
      <c r="U388" s="614"/>
      <c r="V388" s="614"/>
      <c r="W388" s="614"/>
      <c r="X388" s="614"/>
      <c r="Y388" s="614"/>
      <c r="Z388" s="614"/>
      <c r="AA388" s="614"/>
      <c r="AB388" s="614"/>
      <c r="AC388" s="614"/>
    </row>
    <row r="389" spans="1:29" ht="12.75" customHeight="1">
      <c r="A389" s="319"/>
      <c r="B389" s="614"/>
      <c r="C389" s="319"/>
      <c r="D389" s="614"/>
      <c r="E389" s="614"/>
      <c r="F389" s="614"/>
      <c r="G389" s="614"/>
      <c r="H389" s="614"/>
      <c r="I389" s="614"/>
      <c r="J389" s="614"/>
      <c r="K389" s="614"/>
      <c r="L389" s="614"/>
      <c r="M389" s="614"/>
      <c r="N389" s="614"/>
      <c r="O389" s="614"/>
      <c r="P389" s="614"/>
      <c r="Q389" s="614"/>
      <c r="R389" s="614"/>
      <c r="S389" s="614"/>
      <c r="T389" s="614"/>
      <c r="U389" s="614"/>
      <c r="V389" s="614"/>
      <c r="W389" s="614"/>
      <c r="X389" s="614"/>
      <c r="Y389" s="614"/>
      <c r="Z389" s="614"/>
      <c r="AA389" s="614"/>
      <c r="AB389" s="614"/>
      <c r="AC389" s="614"/>
    </row>
    <row r="390" spans="1:29" ht="12.75" customHeight="1">
      <c r="A390" s="319"/>
      <c r="B390" s="614"/>
      <c r="C390" s="319"/>
      <c r="D390" s="614"/>
      <c r="E390" s="614"/>
      <c r="F390" s="614"/>
      <c r="G390" s="614"/>
      <c r="H390" s="614"/>
      <c r="I390" s="614"/>
      <c r="J390" s="614"/>
      <c r="K390" s="614"/>
      <c r="L390" s="614"/>
      <c r="M390" s="614"/>
      <c r="N390" s="614"/>
      <c r="O390" s="614"/>
      <c r="P390" s="614"/>
      <c r="Q390" s="614"/>
      <c r="R390" s="614"/>
      <c r="S390" s="614"/>
      <c r="T390" s="614"/>
      <c r="U390" s="614"/>
      <c r="V390" s="614"/>
      <c r="W390" s="614"/>
      <c r="X390" s="614"/>
      <c r="Y390" s="614"/>
      <c r="Z390" s="614"/>
      <c r="AA390" s="614"/>
      <c r="AB390" s="614"/>
      <c r="AC390" s="614"/>
    </row>
    <row r="391" spans="1:29" ht="12.75" customHeight="1">
      <c r="A391" s="319"/>
      <c r="B391" s="614"/>
      <c r="C391" s="319"/>
      <c r="D391" s="614"/>
      <c r="E391" s="614"/>
      <c r="F391" s="614"/>
      <c r="G391" s="614"/>
      <c r="H391" s="614"/>
      <c r="I391" s="614"/>
      <c r="J391" s="614"/>
      <c r="K391" s="614"/>
      <c r="L391" s="614"/>
      <c r="M391" s="614"/>
      <c r="N391" s="614"/>
      <c r="O391" s="614"/>
      <c r="P391" s="614"/>
      <c r="Q391" s="614"/>
      <c r="R391" s="614"/>
      <c r="S391" s="614"/>
      <c r="T391" s="614"/>
      <c r="U391" s="614"/>
      <c r="V391" s="614"/>
      <c r="W391" s="614"/>
      <c r="X391" s="614"/>
      <c r="Y391" s="614"/>
      <c r="Z391" s="614"/>
      <c r="AA391" s="614"/>
      <c r="AB391" s="614"/>
      <c r="AC391" s="614"/>
    </row>
    <row r="392" spans="1:29" ht="12.75" customHeight="1">
      <c r="A392" s="319"/>
      <c r="B392" s="614"/>
      <c r="C392" s="319"/>
      <c r="D392" s="614"/>
      <c r="E392" s="614"/>
      <c r="F392" s="614"/>
      <c r="G392" s="614"/>
      <c r="H392" s="614"/>
      <c r="I392" s="614"/>
      <c r="J392" s="614"/>
      <c r="K392" s="614"/>
      <c r="L392" s="614"/>
      <c r="M392" s="614"/>
      <c r="N392" s="614"/>
      <c r="O392" s="614"/>
      <c r="P392" s="614"/>
      <c r="Q392" s="614"/>
      <c r="R392" s="614"/>
      <c r="S392" s="614"/>
      <c r="T392" s="614"/>
      <c r="U392" s="614"/>
      <c r="V392" s="614"/>
      <c r="W392" s="614"/>
      <c r="X392" s="614"/>
      <c r="Y392" s="614"/>
      <c r="Z392" s="614"/>
      <c r="AA392" s="614"/>
      <c r="AB392" s="614"/>
      <c r="AC392" s="614"/>
    </row>
    <row r="393" spans="1:29" ht="12.75" customHeight="1">
      <c r="A393" s="319"/>
      <c r="B393" s="614"/>
      <c r="C393" s="319"/>
      <c r="D393" s="614"/>
      <c r="E393" s="614"/>
      <c r="F393" s="614"/>
      <c r="G393" s="614"/>
      <c r="H393" s="614"/>
      <c r="I393" s="614"/>
      <c r="J393" s="614"/>
      <c r="K393" s="614"/>
      <c r="L393" s="614"/>
      <c r="M393" s="614"/>
      <c r="N393" s="614"/>
      <c r="O393" s="614"/>
      <c r="P393" s="614"/>
      <c r="Q393" s="614"/>
      <c r="R393" s="614"/>
      <c r="S393" s="614"/>
      <c r="T393" s="614"/>
      <c r="U393" s="614"/>
      <c r="V393" s="614"/>
      <c r="W393" s="614"/>
      <c r="X393" s="614"/>
      <c r="Y393" s="614"/>
      <c r="Z393" s="614"/>
      <c r="AA393" s="614"/>
      <c r="AB393" s="614"/>
      <c r="AC393" s="614"/>
    </row>
    <row r="394" spans="1:29" ht="12.75" customHeight="1">
      <c r="A394" s="319"/>
      <c r="B394" s="614"/>
      <c r="C394" s="319"/>
      <c r="D394" s="614"/>
      <c r="E394" s="614"/>
      <c r="F394" s="614"/>
      <c r="G394" s="614"/>
      <c r="H394" s="614"/>
      <c r="I394" s="614"/>
      <c r="J394" s="614"/>
      <c r="K394" s="614"/>
      <c r="L394" s="614"/>
      <c r="M394" s="614"/>
      <c r="N394" s="614"/>
      <c r="O394" s="614"/>
      <c r="P394" s="614"/>
      <c r="Q394" s="614"/>
      <c r="R394" s="614"/>
      <c r="S394" s="614"/>
      <c r="T394" s="614"/>
      <c r="U394" s="614"/>
      <c r="V394" s="614"/>
      <c r="W394" s="614"/>
      <c r="X394" s="614"/>
      <c r="Y394" s="614"/>
      <c r="Z394" s="614"/>
      <c r="AA394" s="614"/>
      <c r="AB394" s="614"/>
      <c r="AC394" s="614"/>
    </row>
    <row r="395" spans="1:29" ht="12.75" customHeight="1">
      <c r="A395" s="319"/>
      <c r="B395" s="614"/>
      <c r="C395" s="319"/>
      <c r="D395" s="614"/>
      <c r="E395" s="614"/>
      <c r="F395" s="614"/>
      <c r="G395" s="614"/>
      <c r="H395" s="614"/>
      <c r="I395" s="614"/>
      <c r="J395" s="614"/>
      <c r="K395" s="614"/>
      <c r="L395" s="614"/>
      <c r="M395" s="614"/>
      <c r="N395" s="614"/>
      <c r="O395" s="614"/>
      <c r="P395" s="614"/>
      <c r="Q395" s="614"/>
      <c r="R395" s="614"/>
      <c r="S395" s="614"/>
      <c r="T395" s="614"/>
      <c r="U395" s="614"/>
      <c r="V395" s="614"/>
      <c r="W395" s="614"/>
      <c r="X395" s="614"/>
      <c r="Y395" s="614"/>
      <c r="Z395" s="614"/>
      <c r="AA395" s="614"/>
      <c r="AB395" s="614"/>
      <c r="AC395" s="614"/>
    </row>
    <row r="396" spans="1:29" ht="12.75" customHeight="1">
      <c r="A396" s="319"/>
      <c r="B396" s="614"/>
      <c r="C396" s="319"/>
      <c r="D396" s="614"/>
      <c r="E396" s="614"/>
      <c r="F396" s="614"/>
      <c r="G396" s="614"/>
      <c r="H396" s="614"/>
      <c r="I396" s="614"/>
      <c r="J396" s="614"/>
      <c r="K396" s="614"/>
      <c r="L396" s="614"/>
      <c r="M396" s="614"/>
      <c r="N396" s="614"/>
      <c r="O396" s="614"/>
      <c r="P396" s="614"/>
      <c r="Q396" s="614"/>
      <c r="R396" s="614"/>
      <c r="S396" s="614"/>
      <c r="T396" s="614"/>
      <c r="U396" s="614"/>
      <c r="V396" s="614"/>
      <c r="W396" s="614"/>
      <c r="X396" s="614"/>
      <c r="Y396" s="614"/>
      <c r="Z396" s="614"/>
      <c r="AA396" s="614"/>
      <c r="AB396" s="614"/>
      <c r="AC396" s="614"/>
    </row>
    <row r="397" spans="1:29" ht="12.75" customHeight="1">
      <c r="A397" s="319"/>
      <c r="B397" s="614"/>
      <c r="C397" s="319"/>
      <c r="D397" s="614"/>
      <c r="E397" s="614"/>
      <c r="F397" s="614"/>
      <c r="G397" s="614"/>
      <c r="H397" s="614"/>
      <c r="I397" s="614"/>
      <c r="J397" s="614"/>
      <c r="K397" s="614"/>
      <c r="L397" s="614"/>
      <c r="M397" s="614"/>
      <c r="N397" s="614"/>
      <c r="O397" s="614"/>
      <c r="P397" s="614"/>
      <c r="Q397" s="614"/>
      <c r="R397" s="614"/>
      <c r="S397" s="614"/>
      <c r="T397" s="614"/>
      <c r="U397" s="614"/>
      <c r="V397" s="614"/>
      <c r="W397" s="614"/>
      <c r="X397" s="614"/>
      <c r="Y397" s="614"/>
      <c r="Z397" s="614"/>
      <c r="AA397" s="614"/>
      <c r="AB397" s="614"/>
      <c r="AC397" s="614"/>
    </row>
    <row r="398" spans="1:29" ht="12.75" customHeight="1">
      <c r="A398" s="319"/>
      <c r="B398" s="614"/>
      <c r="C398" s="319"/>
      <c r="D398" s="614"/>
      <c r="E398" s="614"/>
      <c r="F398" s="614"/>
      <c r="G398" s="614"/>
      <c r="H398" s="614"/>
      <c r="I398" s="614"/>
      <c r="J398" s="614"/>
      <c r="K398" s="614"/>
      <c r="L398" s="614"/>
      <c r="M398" s="614"/>
      <c r="N398" s="614"/>
      <c r="O398" s="614"/>
      <c r="P398" s="614"/>
      <c r="Q398" s="614"/>
      <c r="R398" s="614"/>
      <c r="S398" s="614"/>
      <c r="T398" s="614"/>
      <c r="U398" s="614"/>
      <c r="V398" s="614"/>
      <c r="W398" s="614"/>
      <c r="X398" s="614"/>
      <c r="Y398" s="614"/>
      <c r="Z398" s="614"/>
      <c r="AA398" s="614"/>
      <c r="AB398" s="614"/>
      <c r="AC398" s="614"/>
    </row>
    <row r="399" spans="1:29" ht="12.75" customHeight="1">
      <c r="A399" s="319"/>
      <c r="B399" s="614"/>
      <c r="C399" s="319"/>
      <c r="D399" s="614"/>
      <c r="E399" s="614"/>
      <c r="F399" s="614"/>
      <c r="G399" s="614"/>
      <c r="H399" s="614"/>
      <c r="I399" s="614"/>
      <c r="J399" s="614"/>
      <c r="K399" s="614"/>
      <c r="L399" s="614"/>
      <c r="M399" s="614"/>
      <c r="N399" s="614"/>
      <c r="O399" s="614"/>
      <c r="P399" s="614"/>
      <c r="Q399" s="614"/>
      <c r="R399" s="614"/>
      <c r="S399" s="614"/>
      <c r="T399" s="614"/>
      <c r="U399" s="614"/>
      <c r="V399" s="614"/>
      <c r="W399" s="614"/>
      <c r="X399" s="614"/>
      <c r="Y399" s="614"/>
      <c r="Z399" s="614"/>
      <c r="AA399" s="614"/>
      <c r="AB399" s="614"/>
      <c r="AC399" s="614"/>
    </row>
    <row r="400" spans="1:29" ht="12.75" customHeight="1">
      <c r="A400" s="319"/>
      <c r="B400" s="614"/>
      <c r="C400" s="319"/>
      <c r="D400" s="614"/>
      <c r="E400" s="614"/>
      <c r="F400" s="614"/>
      <c r="G400" s="614"/>
      <c r="H400" s="614"/>
      <c r="I400" s="614"/>
      <c r="J400" s="614"/>
      <c r="K400" s="614"/>
      <c r="L400" s="614"/>
      <c r="M400" s="614"/>
      <c r="N400" s="614"/>
      <c r="O400" s="614"/>
      <c r="P400" s="614"/>
      <c r="Q400" s="614"/>
      <c r="R400" s="614"/>
      <c r="S400" s="614"/>
      <c r="T400" s="614"/>
      <c r="U400" s="614"/>
      <c r="V400" s="614"/>
      <c r="W400" s="614"/>
      <c r="X400" s="614"/>
      <c r="Y400" s="614"/>
      <c r="Z400" s="614"/>
      <c r="AA400" s="614"/>
      <c r="AB400" s="614"/>
      <c r="AC400" s="614"/>
    </row>
    <row r="401" spans="1:29" ht="12.75" customHeight="1">
      <c r="A401" s="319"/>
      <c r="B401" s="614"/>
      <c r="C401" s="319"/>
      <c r="D401" s="614"/>
      <c r="E401" s="614"/>
      <c r="F401" s="614"/>
      <c r="G401" s="614"/>
      <c r="H401" s="614"/>
      <c r="I401" s="614"/>
      <c r="J401" s="614"/>
      <c r="K401" s="614"/>
      <c r="L401" s="614"/>
      <c r="M401" s="614"/>
      <c r="N401" s="614"/>
      <c r="O401" s="614"/>
      <c r="P401" s="614"/>
      <c r="Q401" s="614"/>
      <c r="R401" s="614"/>
      <c r="S401" s="614"/>
      <c r="T401" s="614"/>
      <c r="U401" s="614"/>
      <c r="V401" s="614"/>
      <c r="W401" s="614"/>
      <c r="X401" s="614"/>
      <c r="Y401" s="614"/>
      <c r="Z401" s="614"/>
      <c r="AA401" s="614"/>
      <c r="AB401" s="614"/>
      <c r="AC401" s="614"/>
    </row>
    <row r="402" spans="1:29" ht="12.75" customHeight="1">
      <c r="A402" s="319"/>
      <c r="B402" s="614"/>
      <c r="C402" s="319"/>
      <c r="D402" s="614"/>
      <c r="E402" s="614"/>
      <c r="F402" s="614"/>
      <c r="G402" s="614"/>
      <c r="H402" s="614"/>
      <c r="I402" s="614"/>
      <c r="J402" s="614"/>
      <c r="K402" s="614"/>
      <c r="L402" s="614"/>
      <c r="M402" s="614"/>
      <c r="N402" s="614"/>
      <c r="O402" s="614"/>
      <c r="P402" s="614"/>
      <c r="Q402" s="614"/>
      <c r="R402" s="614"/>
      <c r="S402" s="614"/>
      <c r="T402" s="614"/>
      <c r="U402" s="614"/>
      <c r="V402" s="614"/>
      <c r="W402" s="614"/>
      <c r="X402" s="614"/>
      <c r="Y402" s="614"/>
      <c r="Z402" s="614"/>
      <c r="AA402" s="614"/>
      <c r="AB402" s="614"/>
      <c r="AC402" s="614"/>
    </row>
    <row r="403" spans="1:29" ht="12.75" customHeight="1">
      <c r="A403" s="319"/>
      <c r="B403" s="614"/>
      <c r="C403" s="319"/>
      <c r="D403" s="614"/>
      <c r="E403" s="614"/>
      <c r="F403" s="614"/>
      <c r="G403" s="614"/>
      <c r="H403" s="614"/>
      <c r="I403" s="614"/>
      <c r="J403" s="614"/>
      <c r="K403" s="614"/>
      <c r="L403" s="614"/>
      <c r="M403" s="614"/>
      <c r="N403" s="614"/>
      <c r="O403" s="614"/>
      <c r="P403" s="614"/>
      <c r="Q403" s="614"/>
      <c r="R403" s="614"/>
      <c r="S403" s="614"/>
      <c r="T403" s="614"/>
      <c r="U403" s="614"/>
      <c r="V403" s="614"/>
      <c r="W403" s="614"/>
      <c r="X403" s="614"/>
      <c r="Y403" s="614"/>
      <c r="Z403" s="614"/>
      <c r="AA403" s="614"/>
      <c r="AB403" s="614"/>
      <c r="AC403" s="614"/>
    </row>
    <row r="404" spans="1:29" ht="12.75" customHeight="1">
      <c r="A404" s="319"/>
      <c r="B404" s="614"/>
      <c r="C404" s="319"/>
      <c r="D404" s="614"/>
      <c r="E404" s="614"/>
      <c r="F404" s="614"/>
      <c r="G404" s="614"/>
      <c r="H404" s="614"/>
      <c r="I404" s="614"/>
      <c r="J404" s="614"/>
      <c r="K404" s="614"/>
      <c r="L404" s="614"/>
      <c r="M404" s="614"/>
      <c r="N404" s="614"/>
      <c r="O404" s="614"/>
      <c r="P404" s="614"/>
      <c r="Q404" s="614"/>
      <c r="R404" s="614"/>
      <c r="S404" s="614"/>
      <c r="T404" s="614"/>
      <c r="U404" s="614"/>
      <c r="V404" s="614"/>
      <c r="W404" s="614"/>
      <c r="X404" s="614"/>
      <c r="Y404" s="614"/>
      <c r="Z404" s="614"/>
      <c r="AA404" s="614"/>
      <c r="AB404" s="614"/>
      <c r="AC404" s="614"/>
    </row>
    <row r="405" spans="1:29" ht="12.75" customHeight="1">
      <c r="A405" s="319"/>
      <c r="B405" s="614"/>
      <c r="C405" s="319"/>
      <c r="D405" s="614"/>
      <c r="E405" s="614"/>
      <c r="F405" s="614"/>
      <c r="G405" s="614"/>
      <c r="H405" s="614"/>
      <c r="I405" s="614"/>
      <c r="J405" s="614"/>
      <c r="K405" s="614"/>
      <c r="L405" s="614"/>
      <c r="M405" s="614"/>
      <c r="N405" s="614"/>
      <c r="O405" s="614"/>
      <c r="P405" s="614"/>
      <c r="Q405" s="614"/>
      <c r="R405" s="614"/>
      <c r="S405" s="614"/>
      <c r="T405" s="614"/>
      <c r="U405" s="614"/>
      <c r="V405" s="614"/>
      <c r="W405" s="614"/>
      <c r="X405" s="614"/>
      <c r="Y405" s="614"/>
      <c r="Z405" s="614"/>
      <c r="AA405" s="614"/>
      <c r="AB405" s="614"/>
      <c r="AC405" s="614"/>
    </row>
    <row r="406" spans="1:29" ht="12.75" customHeight="1">
      <c r="A406" s="319"/>
      <c r="B406" s="614"/>
      <c r="C406" s="319"/>
      <c r="D406" s="614"/>
      <c r="E406" s="614"/>
      <c r="F406" s="614"/>
      <c r="G406" s="614"/>
      <c r="H406" s="614"/>
      <c r="I406" s="614"/>
      <c r="J406" s="614"/>
      <c r="K406" s="614"/>
      <c r="L406" s="614"/>
      <c r="M406" s="614"/>
      <c r="N406" s="614"/>
      <c r="O406" s="614"/>
      <c r="P406" s="614"/>
      <c r="Q406" s="614"/>
      <c r="R406" s="614"/>
      <c r="S406" s="614"/>
      <c r="T406" s="614"/>
      <c r="U406" s="614"/>
      <c r="V406" s="614"/>
      <c r="W406" s="614"/>
      <c r="X406" s="614"/>
      <c r="Y406" s="614"/>
      <c r="Z406" s="614"/>
      <c r="AA406" s="614"/>
      <c r="AB406" s="614"/>
      <c r="AC406" s="614"/>
    </row>
    <row r="407" spans="1:29" ht="12.75" customHeight="1">
      <c r="A407" s="319"/>
      <c r="B407" s="614"/>
      <c r="C407" s="319"/>
      <c r="D407" s="614"/>
      <c r="E407" s="614"/>
      <c r="F407" s="614"/>
      <c r="G407" s="614"/>
      <c r="H407" s="614"/>
      <c r="I407" s="614"/>
      <c r="J407" s="614"/>
      <c r="K407" s="614"/>
      <c r="L407" s="614"/>
      <c r="M407" s="614"/>
      <c r="N407" s="614"/>
      <c r="O407" s="614"/>
      <c r="P407" s="614"/>
      <c r="Q407" s="614"/>
      <c r="R407" s="614"/>
      <c r="S407" s="614"/>
      <c r="T407" s="614"/>
      <c r="U407" s="614"/>
      <c r="V407" s="614"/>
      <c r="W407" s="614"/>
      <c r="X407" s="614"/>
      <c r="Y407" s="614"/>
      <c r="Z407" s="614"/>
      <c r="AA407" s="614"/>
      <c r="AB407" s="614"/>
      <c r="AC407" s="614"/>
    </row>
    <row r="408" spans="1:29" ht="12.75" customHeight="1">
      <c r="A408" s="319"/>
      <c r="B408" s="614"/>
      <c r="C408" s="319"/>
      <c r="D408" s="614"/>
      <c r="E408" s="614"/>
      <c r="F408" s="614"/>
      <c r="G408" s="614"/>
      <c r="H408" s="614"/>
      <c r="I408" s="614"/>
      <c r="J408" s="614"/>
      <c r="K408" s="614"/>
      <c r="L408" s="614"/>
      <c r="M408" s="614"/>
      <c r="N408" s="614"/>
      <c r="O408" s="614"/>
      <c r="P408" s="614"/>
      <c r="Q408" s="614"/>
      <c r="R408" s="614"/>
      <c r="S408" s="614"/>
      <c r="T408" s="614"/>
      <c r="U408" s="614"/>
      <c r="V408" s="614"/>
      <c r="W408" s="614"/>
      <c r="X408" s="614"/>
      <c r="Y408" s="614"/>
      <c r="Z408" s="614"/>
      <c r="AA408" s="614"/>
      <c r="AB408" s="614"/>
      <c r="AC408" s="614"/>
    </row>
    <row r="409" spans="1:29" ht="12.75" customHeight="1">
      <c r="A409" s="319"/>
      <c r="B409" s="614"/>
      <c r="C409" s="319"/>
      <c r="D409" s="614"/>
      <c r="E409" s="614"/>
      <c r="F409" s="614"/>
      <c r="G409" s="614"/>
      <c r="H409" s="614"/>
      <c r="I409" s="614"/>
      <c r="J409" s="614"/>
      <c r="K409" s="614"/>
      <c r="L409" s="614"/>
      <c r="M409" s="614"/>
      <c r="N409" s="614"/>
      <c r="O409" s="614"/>
      <c r="P409" s="614"/>
      <c r="Q409" s="614"/>
      <c r="R409" s="614"/>
      <c r="S409" s="614"/>
      <c r="T409" s="614"/>
      <c r="U409" s="614"/>
      <c r="V409" s="614"/>
      <c r="W409" s="614"/>
      <c r="X409" s="614"/>
      <c r="Y409" s="614"/>
      <c r="Z409" s="614"/>
      <c r="AA409" s="614"/>
      <c r="AB409" s="614"/>
      <c r="AC409" s="614"/>
    </row>
    <row r="410" spans="1:29" ht="12.75" customHeight="1">
      <c r="A410" s="319"/>
      <c r="B410" s="614"/>
      <c r="C410" s="319"/>
      <c r="D410" s="614"/>
      <c r="E410" s="614"/>
      <c r="F410" s="614"/>
      <c r="G410" s="614"/>
      <c r="H410" s="614"/>
      <c r="I410" s="614"/>
      <c r="J410" s="614"/>
      <c r="K410" s="614"/>
      <c r="L410" s="614"/>
      <c r="M410" s="614"/>
      <c r="N410" s="614"/>
      <c r="O410" s="614"/>
      <c r="P410" s="614"/>
      <c r="Q410" s="614"/>
      <c r="R410" s="614"/>
      <c r="S410" s="614"/>
      <c r="T410" s="614"/>
      <c r="U410" s="614"/>
      <c r="V410" s="614"/>
      <c r="W410" s="614"/>
      <c r="X410" s="614"/>
      <c r="Y410" s="614"/>
      <c r="Z410" s="614"/>
      <c r="AA410" s="614"/>
      <c r="AB410" s="614"/>
      <c r="AC410" s="614"/>
    </row>
    <row r="411" spans="1:29" ht="12.75" customHeight="1">
      <c r="A411" s="319"/>
      <c r="B411" s="614"/>
      <c r="C411" s="319"/>
      <c r="D411" s="614"/>
      <c r="E411" s="614"/>
      <c r="F411" s="614"/>
      <c r="G411" s="614"/>
      <c r="H411" s="614"/>
      <c r="I411" s="614"/>
      <c r="J411" s="614"/>
      <c r="K411" s="614"/>
      <c r="L411" s="614"/>
      <c r="M411" s="614"/>
      <c r="N411" s="614"/>
      <c r="O411" s="614"/>
      <c r="P411" s="614"/>
      <c r="Q411" s="614"/>
      <c r="R411" s="614"/>
      <c r="S411" s="614"/>
      <c r="T411" s="614"/>
      <c r="U411" s="614"/>
      <c r="V411" s="614"/>
      <c r="W411" s="614"/>
      <c r="X411" s="614"/>
      <c r="Y411" s="614"/>
      <c r="Z411" s="614"/>
      <c r="AA411" s="614"/>
      <c r="AB411" s="614"/>
      <c r="AC411" s="614"/>
    </row>
    <row r="412" spans="1:29" ht="12.75" customHeight="1">
      <c r="A412" s="319"/>
      <c r="B412" s="614"/>
      <c r="C412" s="319"/>
      <c r="D412" s="614"/>
      <c r="E412" s="614"/>
      <c r="F412" s="614"/>
      <c r="G412" s="614"/>
      <c r="H412" s="614"/>
      <c r="I412" s="614"/>
      <c r="J412" s="614"/>
      <c r="K412" s="614"/>
      <c r="L412" s="614"/>
      <c r="M412" s="614"/>
      <c r="N412" s="614"/>
      <c r="O412" s="614"/>
      <c r="P412" s="614"/>
      <c r="Q412" s="614"/>
      <c r="R412" s="614"/>
      <c r="S412" s="614"/>
      <c r="T412" s="614"/>
      <c r="U412" s="614"/>
      <c r="V412" s="614"/>
      <c r="W412" s="614"/>
      <c r="X412" s="614"/>
      <c r="Y412" s="614"/>
      <c r="Z412" s="614"/>
      <c r="AA412" s="614"/>
      <c r="AB412" s="614"/>
      <c r="AC412" s="614"/>
    </row>
    <row r="413" spans="1:29" ht="12.75" customHeight="1">
      <c r="A413" s="319"/>
      <c r="B413" s="614"/>
      <c r="C413" s="319"/>
      <c r="D413" s="614"/>
      <c r="E413" s="614"/>
      <c r="F413" s="614"/>
      <c r="G413" s="614"/>
      <c r="H413" s="614"/>
      <c r="I413" s="614"/>
      <c r="J413" s="614"/>
      <c r="K413" s="614"/>
      <c r="L413" s="614"/>
      <c r="M413" s="614"/>
      <c r="N413" s="614"/>
      <c r="O413" s="614"/>
      <c r="P413" s="614"/>
      <c r="Q413" s="614"/>
      <c r="R413" s="614"/>
      <c r="S413" s="614"/>
      <c r="T413" s="614"/>
      <c r="U413" s="614"/>
      <c r="V413" s="614"/>
      <c r="W413" s="614"/>
      <c r="X413" s="614"/>
      <c r="Y413" s="614"/>
      <c r="Z413" s="614"/>
      <c r="AA413" s="614"/>
      <c r="AB413" s="614"/>
      <c r="AC413" s="614"/>
    </row>
    <row r="414" spans="1:29" ht="12.75" customHeight="1">
      <c r="A414" s="319"/>
      <c r="B414" s="614"/>
      <c r="C414" s="319"/>
      <c r="D414" s="614"/>
      <c r="E414" s="614"/>
      <c r="F414" s="614"/>
      <c r="G414" s="614"/>
      <c r="H414" s="614"/>
      <c r="I414" s="614"/>
      <c r="J414" s="614"/>
      <c r="K414" s="614"/>
      <c r="L414" s="614"/>
      <c r="M414" s="614"/>
      <c r="N414" s="614"/>
      <c r="O414" s="614"/>
      <c r="P414" s="614"/>
      <c r="Q414" s="614"/>
      <c r="R414" s="614"/>
      <c r="S414" s="614"/>
      <c r="T414" s="614"/>
      <c r="U414" s="614"/>
      <c r="V414" s="614"/>
      <c r="W414" s="614"/>
      <c r="X414" s="614"/>
      <c r="Y414" s="614"/>
      <c r="Z414" s="614"/>
      <c r="AA414" s="614"/>
      <c r="AB414" s="614"/>
      <c r="AC414" s="614"/>
    </row>
    <row r="415" spans="1:29" ht="12.75" customHeight="1">
      <c r="A415" s="319"/>
      <c r="B415" s="614"/>
      <c r="C415" s="319"/>
      <c r="D415" s="614"/>
      <c r="E415" s="614"/>
      <c r="F415" s="614"/>
      <c r="G415" s="614"/>
      <c r="H415" s="614"/>
      <c r="I415" s="614"/>
      <c r="J415" s="614"/>
      <c r="K415" s="614"/>
      <c r="L415" s="614"/>
      <c r="M415" s="614"/>
      <c r="N415" s="614"/>
      <c r="O415" s="614"/>
      <c r="P415" s="614"/>
      <c r="Q415" s="614"/>
      <c r="R415" s="614"/>
      <c r="S415" s="614"/>
      <c r="T415" s="614"/>
      <c r="U415" s="614"/>
      <c r="V415" s="614"/>
      <c r="W415" s="614"/>
      <c r="X415" s="614"/>
      <c r="Y415" s="614"/>
      <c r="Z415" s="614"/>
      <c r="AA415" s="614"/>
      <c r="AB415" s="614"/>
      <c r="AC415" s="614"/>
    </row>
    <row r="416" spans="1:29" ht="12.75" customHeight="1">
      <c r="A416" s="319"/>
      <c r="B416" s="614"/>
      <c r="C416" s="319"/>
      <c r="D416" s="614"/>
      <c r="E416" s="614"/>
      <c r="F416" s="614"/>
      <c r="G416" s="614"/>
      <c r="H416" s="614"/>
      <c r="I416" s="614"/>
      <c r="J416" s="614"/>
      <c r="K416" s="614"/>
      <c r="L416" s="614"/>
      <c r="M416" s="614"/>
      <c r="N416" s="614"/>
      <c r="O416" s="614"/>
      <c r="P416" s="614"/>
      <c r="Q416" s="614"/>
      <c r="R416" s="614"/>
      <c r="S416" s="614"/>
      <c r="T416" s="614"/>
      <c r="U416" s="614"/>
      <c r="V416" s="614"/>
      <c r="W416" s="614"/>
      <c r="X416" s="614"/>
      <c r="Y416" s="614"/>
      <c r="Z416" s="614"/>
      <c r="AA416" s="614"/>
      <c r="AB416" s="614"/>
      <c r="AC416" s="614"/>
    </row>
    <row r="417" spans="1:29" ht="12.75" customHeight="1">
      <c r="A417" s="319"/>
      <c r="B417" s="614"/>
      <c r="C417" s="319"/>
      <c r="D417" s="614"/>
      <c r="E417" s="614"/>
      <c r="F417" s="614"/>
      <c r="G417" s="614"/>
      <c r="H417" s="614"/>
      <c r="I417" s="614"/>
      <c r="J417" s="614"/>
      <c r="K417" s="614"/>
      <c r="L417" s="614"/>
      <c r="M417" s="614"/>
      <c r="N417" s="614"/>
      <c r="O417" s="614"/>
      <c r="P417" s="614"/>
      <c r="Q417" s="614"/>
      <c r="R417" s="614"/>
      <c r="S417" s="614"/>
      <c r="T417" s="614"/>
      <c r="U417" s="614"/>
      <c r="V417" s="614"/>
      <c r="W417" s="614"/>
      <c r="X417" s="614"/>
      <c r="Y417" s="614"/>
      <c r="Z417" s="614"/>
      <c r="AA417" s="614"/>
      <c r="AB417" s="614"/>
      <c r="AC417" s="614"/>
    </row>
    <row r="418" spans="1:29" ht="12.75" customHeight="1">
      <c r="A418" s="319"/>
      <c r="B418" s="614"/>
      <c r="C418" s="319"/>
      <c r="D418" s="614"/>
      <c r="E418" s="614"/>
      <c r="F418" s="614"/>
      <c r="G418" s="614"/>
      <c r="H418" s="614"/>
      <c r="I418" s="614"/>
      <c r="J418" s="614"/>
      <c r="K418" s="614"/>
      <c r="L418" s="614"/>
      <c r="M418" s="614"/>
      <c r="N418" s="614"/>
      <c r="O418" s="614"/>
      <c r="P418" s="614"/>
      <c r="Q418" s="614"/>
      <c r="R418" s="614"/>
      <c r="S418" s="614"/>
      <c r="T418" s="614"/>
      <c r="U418" s="614"/>
      <c r="V418" s="614"/>
      <c r="W418" s="614"/>
      <c r="X418" s="614"/>
      <c r="Y418" s="614"/>
      <c r="Z418" s="614"/>
      <c r="AA418" s="614"/>
      <c r="AB418" s="614"/>
      <c r="AC418" s="614"/>
    </row>
    <row r="419" spans="1:29" ht="12.75" customHeight="1">
      <c r="A419" s="319"/>
      <c r="B419" s="614"/>
      <c r="C419" s="319"/>
      <c r="D419" s="614"/>
      <c r="E419" s="614"/>
      <c r="F419" s="614"/>
      <c r="G419" s="614"/>
      <c r="H419" s="614"/>
      <c r="I419" s="614"/>
      <c r="J419" s="614"/>
      <c r="K419" s="614"/>
      <c r="L419" s="614"/>
      <c r="M419" s="614"/>
      <c r="N419" s="614"/>
      <c r="O419" s="614"/>
      <c r="P419" s="614"/>
      <c r="Q419" s="614"/>
      <c r="R419" s="614"/>
      <c r="S419" s="614"/>
      <c r="T419" s="614"/>
      <c r="U419" s="614"/>
      <c r="V419" s="614"/>
      <c r="W419" s="614"/>
      <c r="X419" s="614"/>
      <c r="Y419" s="614"/>
      <c r="Z419" s="614"/>
      <c r="AA419" s="614"/>
      <c r="AB419" s="614"/>
      <c r="AC419" s="614"/>
    </row>
    <row r="420" spans="1:29" ht="12.75" customHeight="1">
      <c r="A420" s="319"/>
      <c r="B420" s="614"/>
      <c r="C420" s="319"/>
      <c r="D420" s="614"/>
      <c r="E420" s="614"/>
      <c r="F420" s="614"/>
      <c r="G420" s="614"/>
      <c r="H420" s="614"/>
      <c r="I420" s="614"/>
      <c r="J420" s="614"/>
      <c r="K420" s="614"/>
      <c r="L420" s="614"/>
      <c r="M420" s="614"/>
      <c r="N420" s="614"/>
      <c r="O420" s="614"/>
      <c r="P420" s="614"/>
      <c r="Q420" s="614"/>
      <c r="R420" s="614"/>
      <c r="S420" s="614"/>
      <c r="T420" s="614"/>
      <c r="U420" s="614"/>
      <c r="V420" s="614"/>
      <c r="W420" s="614"/>
      <c r="X420" s="614"/>
      <c r="Y420" s="614"/>
      <c r="Z420" s="614"/>
      <c r="AA420" s="614"/>
      <c r="AB420" s="614"/>
      <c r="AC420" s="614"/>
    </row>
    <row r="421" spans="1:29" ht="12.75" customHeight="1">
      <c r="A421" s="319"/>
      <c r="B421" s="614"/>
      <c r="C421" s="319"/>
      <c r="D421" s="614"/>
      <c r="E421" s="614"/>
      <c r="F421" s="614"/>
      <c r="G421" s="614"/>
      <c r="H421" s="614"/>
      <c r="I421" s="614"/>
      <c r="J421" s="614"/>
      <c r="K421" s="614"/>
      <c r="L421" s="614"/>
      <c r="M421" s="614"/>
      <c r="N421" s="614"/>
      <c r="O421" s="614"/>
      <c r="P421" s="614"/>
      <c r="Q421" s="614"/>
      <c r="R421" s="614"/>
      <c r="S421" s="614"/>
      <c r="T421" s="614"/>
      <c r="U421" s="614"/>
      <c r="V421" s="614"/>
      <c r="W421" s="614"/>
      <c r="X421" s="614"/>
      <c r="Y421" s="614"/>
      <c r="Z421" s="614"/>
      <c r="AA421" s="614"/>
      <c r="AB421" s="614"/>
      <c r="AC421" s="614"/>
    </row>
    <row r="422" spans="1:29" ht="12.75" customHeight="1">
      <c r="A422" s="319"/>
      <c r="B422" s="614"/>
      <c r="C422" s="319"/>
      <c r="D422" s="614"/>
      <c r="E422" s="614"/>
      <c r="F422" s="614"/>
      <c r="G422" s="614"/>
      <c r="H422" s="614"/>
      <c r="I422" s="614"/>
      <c r="J422" s="614"/>
      <c r="K422" s="614"/>
      <c r="L422" s="614"/>
      <c r="M422" s="614"/>
      <c r="N422" s="614"/>
      <c r="O422" s="614"/>
      <c r="P422" s="614"/>
      <c r="Q422" s="614"/>
      <c r="R422" s="614"/>
      <c r="S422" s="614"/>
      <c r="T422" s="614"/>
      <c r="U422" s="614"/>
      <c r="V422" s="614"/>
      <c r="W422" s="614"/>
      <c r="X422" s="614"/>
      <c r="Y422" s="614"/>
      <c r="Z422" s="614"/>
      <c r="AA422" s="614"/>
      <c r="AB422" s="614"/>
      <c r="AC422" s="614"/>
    </row>
    <row r="423" spans="1:29" ht="12.75" customHeight="1">
      <c r="A423" s="319"/>
      <c r="B423" s="614"/>
      <c r="C423" s="319"/>
      <c r="D423" s="614"/>
      <c r="E423" s="614"/>
      <c r="F423" s="614"/>
      <c r="G423" s="614"/>
      <c r="H423" s="614"/>
      <c r="I423" s="614"/>
      <c r="J423" s="614"/>
      <c r="K423" s="614"/>
      <c r="L423" s="614"/>
      <c r="M423" s="614"/>
      <c r="N423" s="614"/>
      <c r="O423" s="614"/>
      <c r="P423" s="614"/>
      <c r="Q423" s="614"/>
      <c r="R423" s="614"/>
      <c r="S423" s="614"/>
      <c r="T423" s="614"/>
      <c r="U423" s="614"/>
      <c r="V423" s="614"/>
      <c r="W423" s="614"/>
      <c r="X423" s="614"/>
      <c r="Y423" s="614"/>
      <c r="Z423" s="614"/>
      <c r="AA423" s="614"/>
      <c r="AB423" s="614"/>
      <c r="AC423" s="614"/>
    </row>
    <row r="424" spans="1:29" ht="12.75" customHeight="1">
      <c r="A424" s="319"/>
      <c r="B424" s="614"/>
      <c r="C424" s="319"/>
      <c r="D424" s="614"/>
      <c r="E424" s="614"/>
      <c r="F424" s="614"/>
      <c r="G424" s="614"/>
      <c r="H424" s="614"/>
      <c r="I424" s="614"/>
      <c r="J424" s="614"/>
      <c r="K424" s="614"/>
      <c r="L424" s="614"/>
      <c r="M424" s="614"/>
      <c r="N424" s="614"/>
      <c r="O424" s="614"/>
      <c r="P424" s="614"/>
      <c r="Q424" s="614"/>
      <c r="R424" s="614"/>
      <c r="S424" s="614"/>
      <c r="T424" s="614"/>
      <c r="U424" s="614"/>
      <c r="V424" s="614"/>
      <c r="W424" s="614"/>
      <c r="X424" s="614"/>
      <c r="Y424" s="614"/>
      <c r="Z424" s="614"/>
      <c r="AA424" s="614"/>
      <c r="AB424" s="614"/>
      <c r="AC424" s="614"/>
    </row>
    <row r="425" spans="1:29" ht="12.75" customHeight="1">
      <c r="A425" s="319"/>
      <c r="B425" s="614"/>
      <c r="C425" s="319"/>
      <c r="D425" s="614"/>
      <c r="E425" s="614"/>
      <c r="F425" s="614"/>
      <c r="G425" s="614"/>
      <c r="H425" s="614"/>
      <c r="I425" s="614"/>
      <c r="J425" s="614"/>
      <c r="K425" s="614"/>
      <c r="L425" s="614"/>
      <c r="M425" s="614"/>
      <c r="N425" s="614"/>
      <c r="O425" s="614"/>
      <c r="P425" s="614"/>
      <c r="Q425" s="614"/>
      <c r="R425" s="614"/>
      <c r="S425" s="614"/>
      <c r="T425" s="614"/>
      <c r="U425" s="614"/>
      <c r="V425" s="614"/>
      <c r="W425" s="614"/>
      <c r="X425" s="614"/>
      <c r="Y425" s="614"/>
      <c r="Z425" s="614"/>
      <c r="AA425" s="614"/>
      <c r="AB425" s="614"/>
      <c r="AC425" s="614"/>
    </row>
    <row r="426" spans="1:29" ht="12.75" customHeight="1">
      <c r="A426" s="319"/>
      <c r="B426" s="614"/>
      <c r="C426" s="319"/>
      <c r="D426" s="614"/>
      <c r="E426" s="614"/>
      <c r="F426" s="614"/>
      <c r="G426" s="614"/>
      <c r="H426" s="614"/>
      <c r="I426" s="614"/>
      <c r="J426" s="614"/>
      <c r="K426" s="614"/>
      <c r="L426" s="614"/>
      <c r="M426" s="614"/>
      <c r="N426" s="614"/>
      <c r="O426" s="614"/>
      <c r="P426" s="614"/>
      <c r="Q426" s="614"/>
      <c r="R426" s="614"/>
      <c r="S426" s="614"/>
      <c r="T426" s="614"/>
      <c r="U426" s="614"/>
      <c r="V426" s="614"/>
      <c r="W426" s="614"/>
      <c r="X426" s="614"/>
      <c r="Y426" s="614"/>
      <c r="Z426" s="614"/>
      <c r="AA426" s="614"/>
      <c r="AB426" s="614"/>
      <c r="AC426" s="614"/>
    </row>
    <row r="427" spans="1:29" ht="12.75" customHeight="1">
      <c r="A427" s="319"/>
      <c r="B427" s="614"/>
      <c r="C427" s="319"/>
      <c r="D427" s="614"/>
      <c r="E427" s="614"/>
      <c r="F427" s="614"/>
      <c r="G427" s="614"/>
      <c r="H427" s="614"/>
      <c r="I427" s="614"/>
      <c r="J427" s="614"/>
      <c r="K427" s="614"/>
      <c r="L427" s="614"/>
      <c r="M427" s="614"/>
      <c r="N427" s="614"/>
      <c r="O427" s="614"/>
      <c r="P427" s="614"/>
      <c r="Q427" s="614"/>
      <c r="R427" s="614"/>
      <c r="S427" s="614"/>
      <c r="T427" s="614"/>
      <c r="U427" s="614"/>
      <c r="V427" s="614"/>
      <c r="W427" s="614"/>
      <c r="X427" s="614"/>
      <c r="Y427" s="614"/>
      <c r="Z427" s="614"/>
      <c r="AA427" s="614"/>
      <c r="AB427" s="614"/>
      <c r="AC427" s="614"/>
    </row>
    <row r="428" spans="1:29" ht="12.75" customHeight="1">
      <c r="A428" s="319"/>
      <c r="B428" s="614"/>
      <c r="C428" s="319"/>
      <c r="D428" s="614"/>
      <c r="E428" s="614"/>
      <c r="F428" s="614"/>
      <c r="G428" s="614"/>
      <c r="H428" s="614"/>
      <c r="I428" s="614"/>
      <c r="J428" s="614"/>
      <c r="K428" s="614"/>
      <c r="L428" s="614"/>
      <c r="M428" s="614"/>
      <c r="N428" s="614"/>
      <c r="O428" s="614"/>
      <c r="P428" s="614"/>
      <c r="Q428" s="614"/>
      <c r="R428" s="614"/>
      <c r="S428" s="614"/>
      <c r="T428" s="614"/>
      <c r="U428" s="614"/>
      <c r="V428" s="614"/>
      <c r="W428" s="614"/>
      <c r="X428" s="614"/>
      <c r="Y428" s="614"/>
      <c r="Z428" s="614"/>
      <c r="AA428" s="614"/>
      <c r="AB428" s="614"/>
      <c r="AC428" s="614"/>
    </row>
    <row r="429" spans="1:29" ht="12.75" customHeight="1">
      <c r="A429" s="319"/>
      <c r="B429" s="614"/>
      <c r="C429" s="319"/>
      <c r="D429" s="614"/>
      <c r="E429" s="614"/>
      <c r="F429" s="614"/>
      <c r="G429" s="614"/>
      <c r="H429" s="614"/>
      <c r="I429" s="614"/>
      <c r="J429" s="614"/>
      <c r="K429" s="614"/>
      <c r="L429" s="614"/>
      <c r="M429" s="614"/>
      <c r="N429" s="614"/>
      <c r="O429" s="614"/>
      <c r="P429" s="614"/>
      <c r="Q429" s="614"/>
      <c r="R429" s="614"/>
      <c r="S429" s="614"/>
      <c r="T429" s="614"/>
      <c r="U429" s="614"/>
      <c r="V429" s="614"/>
      <c r="W429" s="614"/>
      <c r="X429" s="614"/>
      <c r="Y429" s="614"/>
      <c r="Z429" s="614"/>
      <c r="AA429" s="614"/>
      <c r="AB429" s="614"/>
      <c r="AC429" s="614"/>
    </row>
    <row r="430" spans="1:29" ht="12.75" customHeight="1">
      <c r="A430" s="319"/>
      <c r="B430" s="614"/>
      <c r="C430" s="319"/>
      <c r="D430" s="614"/>
      <c r="E430" s="614"/>
      <c r="F430" s="614"/>
      <c r="G430" s="614"/>
      <c r="H430" s="614"/>
      <c r="I430" s="614"/>
      <c r="J430" s="614"/>
      <c r="K430" s="614"/>
      <c r="L430" s="614"/>
      <c r="M430" s="614"/>
      <c r="N430" s="614"/>
      <c r="O430" s="614"/>
      <c r="P430" s="614"/>
      <c r="Q430" s="614"/>
      <c r="R430" s="614"/>
      <c r="S430" s="614"/>
      <c r="T430" s="614"/>
      <c r="U430" s="614"/>
      <c r="V430" s="614"/>
      <c r="W430" s="614"/>
      <c r="X430" s="614"/>
      <c r="Y430" s="614"/>
      <c r="Z430" s="614"/>
      <c r="AA430" s="614"/>
      <c r="AB430" s="614"/>
      <c r="AC430" s="614"/>
    </row>
    <row r="431" spans="1:29" ht="12.75" customHeight="1">
      <c r="A431" s="319"/>
      <c r="B431" s="614"/>
      <c r="C431" s="319"/>
      <c r="D431" s="614"/>
      <c r="E431" s="614"/>
      <c r="F431" s="614"/>
      <c r="G431" s="614"/>
      <c r="H431" s="614"/>
      <c r="I431" s="614"/>
      <c r="J431" s="614"/>
      <c r="K431" s="614"/>
      <c r="L431" s="614"/>
      <c r="M431" s="614"/>
      <c r="N431" s="614"/>
      <c r="O431" s="614"/>
      <c r="P431" s="614"/>
      <c r="Q431" s="614"/>
      <c r="R431" s="614"/>
      <c r="S431" s="614"/>
      <c r="T431" s="614"/>
      <c r="U431" s="614"/>
      <c r="V431" s="614"/>
      <c r="W431" s="614"/>
      <c r="X431" s="614"/>
      <c r="Y431" s="614"/>
      <c r="Z431" s="614"/>
      <c r="AA431" s="614"/>
      <c r="AB431" s="614"/>
      <c r="AC431" s="614"/>
    </row>
    <row r="432" spans="1:29" ht="12.75" customHeight="1">
      <c r="A432" s="319"/>
      <c r="B432" s="614"/>
      <c r="C432" s="319"/>
      <c r="D432" s="614"/>
      <c r="E432" s="614"/>
      <c r="F432" s="614"/>
      <c r="G432" s="614"/>
      <c r="H432" s="614"/>
      <c r="I432" s="614"/>
      <c r="J432" s="614"/>
      <c r="K432" s="614"/>
      <c r="L432" s="614"/>
      <c r="M432" s="614"/>
      <c r="N432" s="614"/>
      <c r="O432" s="614"/>
      <c r="P432" s="614"/>
      <c r="Q432" s="614"/>
      <c r="R432" s="614"/>
      <c r="S432" s="614"/>
      <c r="T432" s="614"/>
      <c r="U432" s="614"/>
      <c r="V432" s="614"/>
      <c r="W432" s="614"/>
      <c r="X432" s="614"/>
      <c r="Y432" s="614"/>
      <c r="Z432" s="614"/>
      <c r="AA432" s="614"/>
      <c r="AB432" s="614"/>
      <c r="AC432" s="614"/>
    </row>
    <row r="433" spans="1:29" ht="12.75" customHeight="1">
      <c r="A433" s="319"/>
      <c r="B433" s="614"/>
      <c r="C433" s="319"/>
      <c r="D433" s="614"/>
      <c r="E433" s="614"/>
      <c r="F433" s="614"/>
      <c r="G433" s="614"/>
      <c r="H433" s="614"/>
      <c r="I433" s="614"/>
      <c r="J433" s="614"/>
      <c r="K433" s="614"/>
      <c r="L433" s="614"/>
      <c r="M433" s="614"/>
      <c r="N433" s="614"/>
      <c r="O433" s="614"/>
      <c r="P433" s="614"/>
      <c r="Q433" s="614"/>
      <c r="R433" s="614"/>
      <c r="S433" s="614"/>
      <c r="T433" s="614"/>
      <c r="U433" s="614"/>
      <c r="V433" s="614"/>
      <c r="W433" s="614"/>
      <c r="X433" s="614"/>
      <c r="Y433" s="614"/>
      <c r="Z433" s="614"/>
      <c r="AA433" s="614"/>
      <c r="AB433" s="614"/>
      <c r="AC433" s="614"/>
    </row>
    <row r="434" spans="1:29" ht="12.75" customHeight="1">
      <c r="A434" s="319"/>
      <c r="B434" s="614"/>
      <c r="C434" s="319"/>
      <c r="D434" s="614"/>
      <c r="E434" s="614"/>
      <c r="F434" s="614"/>
      <c r="G434" s="614"/>
      <c r="H434" s="614"/>
      <c r="I434" s="614"/>
      <c r="J434" s="614"/>
      <c r="K434" s="614"/>
      <c r="L434" s="614"/>
      <c r="M434" s="614"/>
      <c r="N434" s="614"/>
      <c r="O434" s="614"/>
      <c r="P434" s="614"/>
      <c r="Q434" s="614"/>
      <c r="R434" s="614"/>
      <c r="S434" s="614"/>
      <c r="T434" s="614"/>
      <c r="U434" s="614"/>
      <c r="V434" s="614"/>
      <c r="W434" s="614"/>
      <c r="X434" s="614"/>
      <c r="Y434" s="614"/>
      <c r="Z434" s="614"/>
      <c r="AA434" s="614"/>
      <c r="AB434" s="614"/>
      <c r="AC434" s="614"/>
    </row>
    <row r="435" spans="1:29" ht="12.75" customHeight="1">
      <c r="A435" s="319"/>
      <c r="B435" s="614"/>
      <c r="C435" s="319"/>
      <c r="D435" s="614"/>
      <c r="E435" s="614"/>
      <c r="F435" s="614"/>
      <c r="G435" s="614"/>
      <c r="H435" s="614"/>
      <c r="I435" s="614"/>
      <c r="J435" s="614"/>
      <c r="K435" s="614"/>
      <c r="L435" s="614"/>
      <c r="M435" s="614"/>
      <c r="N435" s="614"/>
      <c r="O435" s="614"/>
      <c r="P435" s="614"/>
      <c r="Q435" s="614"/>
      <c r="R435" s="614"/>
      <c r="S435" s="614"/>
      <c r="T435" s="614"/>
      <c r="U435" s="614"/>
      <c r="V435" s="614"/>
      <c r="W435" s="614"/>
      <c r="X435" s="614"/>
      <c r="Y435" s="614"/>
      <c r="Z435" s="614"/>
      <c r="AA435" s="614"/>
      <c r="AB435" s="614"/>
      <c r="AC435" s="614"/>
    </row>
    <row r="436" spans="1:29" ht="12.75" customHeight="1">
      <c r="A436" s="319"/>
      <c r="B436" s="614"/>
      <c r="C436" s="319"/>
      <c r="D436" s="614"/>
      <c r="E436" s="614"/>
      <c r="F436" s="614"/>
      <c r="G436" s="614"/>
      <c r="H436" s="614"/>
      <c r="I436" s="614"/>
      <c r="J436" s="614"/>
      <c r="K436" s="614"/>
      <c r="L436" s="614"/>
      <c r="M436" s="614"/>
      <c r="N436" s="614"/>
      <c r="O436" s="614"/>
      <c r="P436" s="614"/>
      <c r="Q436" s="614"/>
      <c r="R436" s="614"/>
      <c r="S436" s="614"/>
      <c r="T436" s="614"/>
      <c r="U436" s="614"/>
      <c r="V436" s="614"/>
      <c r="W436" s="614"/>
      <c r="X436" s="614"/>
      <c r="Y436" s="614"/>
      <c r="Z436" s="614"/>
      <c r="AA436" s="614"/>
      <c r="AB436" s="614"/>
      <c r="AC436" s="614"/>
    </row>
    <row r="437" spans="1:29" ht="12.75" customHeight="1">
      <c r="A437" s="319"/>
      <c r="B437" s="614"/>
      <c r="C437" s="319"/>
      <c r="D437" s="614"/>
      <c r="E437" s="614"/>
      <c r="F437" s="614"/>
      <c r="G437" s="614"/>
      <c r="H437" s="614"/>
      <c r="I437" s="614"/>
      <c r="J437" s="614"/>
      <c r="K437" s="614"/>
      <c r="L437" s="614"/>
      <c r="M437" s="614"/>
      <c r="N437" s="614"/>
      <c r="O437" s="614"/>
      <c r="P437" s="614"/>
      <c r="Q437" s="614"/>
      <c r="R437" s="614"/>
      <c r="S437" s="614"/>
      <c r="T437" s="614"/>
      <c r="U437" s="614"/>
      <c r="V437" s="614"/>
      <c r="W437" s="614"/>
      <c r="X437" s="614"/>
      <c r="Y437" s="614"/>
      <c r="Z437" s="614"/>
      <c r="AA437" s="614"/>
      <c r="AB437" s="614"/>
      <c r="AC437" s="614"/>
    </row>
    <row r="438" spans="1:29" ht="12.75" customHeight="1">
      <c r="A438" s="319"/>
      <c r="B438" s="614"/>
      <c r="C438" s="319"/>
      <c r="D438" s="614"/>
      <c r="E438" s="614"/>
      <c r="F438" s="614"/>
      <c r="G438" s="614"/>
      <c r="H438" s="614"/>
      <c r="I438" s="614"/>
      <c r="J438" s="614"/>
      <c r="K438" s="614"/>
      <c r="L438" s="614"/>
      <c r="M438" s="614"/>
      <c r="N438" s="614"/>
      <c r="O438" s="614"/>
      <c r="P438" s="614"/>
      <c r="Q438" s="614"/>
      <c r="R438" s="614"/>
      <c r="S438" s="614"/>
      <c r="T438" s="614"/>
      <c r="U438" s="614"/>
      <c r="V438" s="614"/>
      <c r="W438" s="614"/>
      <c r="X438" s="614"/>
      <c r="Y438" s="614"/>
      <c r="Z438" s="614"/>
      <c r="AA438" s="614"/>
      <c r="AB438" s="614"/>
      <c r="AC438" s="614"/>
    </row>
    <row r="439" spans="1:29" ht="12.75" customHeight="1">
      <c r="A439" s="319"/>
      <c r="B439" s="614"/>
      <c r="C439" s="319"/>
      <c r="D439" s="614"/>
      <c r="E439" s="614"/>
      <c r="F439" s="614"/>
      <c r="G439" s="614"/>
      <c r="H439" s="614"/>
      <c r="I439" s="614"/>
      <c r="J439" s="614"/>
      <c r="K439" s="614"/>
      <c r="L439" s="614"/>
      <c r="M439" s="614"/>
      <c r="N439" s="614"/>
      <c r="O439" s="614"/>
      <c r="P439" s="614"/>
      <c r="Q439" s="614"/>
      <c r="R439" s="614"/>
      <c r="S439" s="614"/>
      <c r="T439" s="614"/>
      <c r="U439" s="614"/>
      <c r="V439" s="614"/>
      <c r="W439" s="614"/>
      <c r="X439" s="614"/>
      <c r="Y439" s="614"/>
      <c r="Z439" s="614"/>
      <c r="AA439" s="614"/>
      <c r="AB439" s="614"/>
      <c r="AC439" s="614"/>
    </row>
    <row r="440" spans="1:29" ht="12.75" customHeight="1">
      <c r="A440" s="319"/>
      <c r="B440" s="614"/>
      <c r="C440" s="319"/>
      <c r="D440" s="614"/>
      <c r="E440" s="614"/>
      <c r="F440" s="614"/>
      <c r="G440" s="614"/>
      <c r="H440" s="614"/>
      <c r="I440" s="614"/>
      <c r="J440" s="614"/>
      <c r="K440" s="614"/>
      <c r="L440" s="614"/>
      <c r="M440" s="614"/>
      <c r="N440" s="614"/>
      <c r="O440" s="614"/>
      <c r="P440" s="614"/>
      <c r="Q440" s="614"/>
      <c r="R440" s="614"/>
      <c r="S440" s="614"/>
      <c r="T440" s="614"/>
      <c r="U440" s="614"/>
      <c r="V440" s="614"/>
      <c r="W440" s="614"/>
      <c r="X440" s="614"/>
      <c r="Y440" s="614"/>
      <c r="Z440" s="614"/>
      <c r="AA440" s="614"/>
      <c r="AB440" s="614"/>
      <c r="AC440" s="614"/>
    </row>
    <row r="441" spans="1:29" ht="12.75" customHeight="1">
      <c r="A441" s="319"/>
      <c r="B441" s="614"/>
      <c r="C441" s="319"/>
      <c r="D441" s="614"/>
      <c r="E441" s="614"/>
      <c r="F441" s="614"/>
      <c r="G441" s="614"/>
      <c r="H441" s="614"/>
      <c r="I441" s="614"/>
      <c r="J441" s="614"/>
      <c r="K441" s="614"/>
      <c r="L441" s="614"/>
      <c r="M441" s="614"/>
      <c r="N441" s="614"/>
      <c r="O441" s="614"/>
      <c r="P441" s="614"/>
      <c r="Q441" s="614"/>
      <c r="R441" s="614"/>
      <c r="S441" s="614"/>
      <c r="T441" s="614"/>
      <c r="U441" s="614"/>
      <c r="V441" s="614"/>
      <c r="W441" s="614"/>
      <c r="X441" s="614"/>
      <c r="Y441" s="614"/>
      <c r="Z441" s="614"/>
      <c r="AA441" s="614"/>
      <c r="AB441" s="614"/>
      <c r="AC441" s="614"/>
    </row>
    <row r="442" spans="1:29" ht="12.75" customHeight="1">
      <c r="A442" s="319"/>
      <c r="B442" s="614"/>
      <c r="C442" s="319"/>
      <c r="D442" s="614"/>
      <c r="E442" s="614"/>
      <c r="F442" s="614"/>
      <c r="G442" s="614"/>
      <c r="H442" s="614"/>
      <c r="I442" s="614"/>
      <c r="J442" s="614"/>
      <c r="K442" s="614"/>
      <c r="L442" s="614"/>
      <c r="M442" s="614"/>
      <c r="N442" s="614"/>
      <c r="O442" s="614"/>
      <c r="P442" s="614"/>
      <c r="Q442" s="614"/>
      <c r="R442" s="614"/>
      <c r="S442" s="614"/>
      <c r="T442" s="614"/>
      <c r="U442" s="614"/>
      <c r="V442" s="614"/>
      <c r="W442" s="614"/>
      <c r="X442" s="614"/>
      <c r="Y442" s="614"/>
      <c r="Z442" s="614"/>
      <c r="AA442" s="614"/>
      <c r="AB442" s="614"/>
      <c r="AC442" s="614"/>
    </row>
    <row r="443" spans="1:29" ht="12.75" customHeight="1">
      <c r="A443" s="319"/>
      <c r="B443" s="614"/>
      <c r="C443" s="319"/>
      <c r="D443" s="614"/>
      <c r="E443" s="614"/>
      <c r="F443" s="614"/>
      <c r="G443" s="614"/>
      <c r="H443" s="614"/>
      <c r="I443" s="614"/>
      <c r="J443" s="614"/>
      <c r="K443" s="614"/>
      <c r="L443" s="614"/>
      <c r="M443" s="614"/>
      <c r="N443" s="614"/>
      <c r="O443" s="614"/>
      <c r="P443" s="614"/>
      <c r="Q443" s="614"/>
      <c r="R443" s="614"/>
      <c r="S443" s="614"/>
      <c r="T443" s="614"/>
      <c r="U443" s="614"/>
      <c r="V443" s="614"/>
      <c r="W443" s="614"/>
      <c r="X443" s="614"/>
      <c r="Y443" s="614"/>
      <c r="Z443" s="614"/>
      <c r="AA443" s="614"/>
      <c r="AB443" s="614"/>
      <c r="AC443" s="614"/>
    </row>
    <row r="444" spans="1:29" ht="12.75" customHeight="1">
      <c r="A444" s="319"/>
      <c r="B444" s="614"/>
      <c r="C444" s="319"/>
      <c r="D444" s="614"/>
      <c r="E444" s="614"/>
      <c r="F444" s="614"/>
      <c r="G444" s="614"/>
      <c r="H444" s="614"/>
      <c r="I444" s="614"/>
      <c r="J444" s="614"/>
      <c r="K444" s="614"/>
      <c r="L444" s="614"/>
      <c r="M444" s="614"/>
      <c r="N444" s="614"/>
      <c r="O444" s="614"/>
      <c r="P444" s="614"/>
      <c r="Q444" s="614"/>
      <c r="R444" s="614"/>
      <c r="S444" s="614"/>
      <c r="T444" s="614"/>
      <c r="U444" s="614"/>
      <c r="V444" s="614"/>
      <c r="W444" s="614"/>
      <c r="X444" s="614"/>
      <c r="Y444" s="614"/>
      <c r="Z444" s="614"/>
      <c r="AA444" s="614"/>
      <c r="AB444" s="614"/>
      <c r="AC444" s="614"/>
    </row>
    <row r="445" spans="1:29" ht="12.75" customHeight="1">
      <c r="A445" s="319"/>
      <c r="B445" s="614"/>
      <c r="C445" s="319"/>
      <c r="D445" s="614"/>
      <c r="E445" s="614"/>
      <c r="F445" s="614"/>
      <c r="G445" s="614"/>
      <c r="H445" s="614"/>
      <c r="I445" s="614"/>
      <c r="J445" s="614"/>
      <c r="K445" s="614"/>
      <c r="L445" s="614"/>
      <c r="M445" s="614"/>
      <c r="N445" s="614"/>
      <c r="O445" s="614"/>
      <c r="P445" s="614"/>
      <c r="Q445" s="614"/>
      <c r="R445" s="614"/>
      <c r="S445" s="614"/>
      <c r="T445" s="614"/>
      <c r="U445" s="614"/>
      <c r="V445" s="614"/>
      <c r="W445" s="614"/>
      <c r="X445" s="614"/>
      <c r="Y445" s="614"/>
      <c r="Z445" s="614"/>
      <c r="AA445" s="614"/>
      <c r="AB445" s="614"/>
      <c r="AC445" s="614"/>
    </row>
    <row r="446" spans="1:29" ht="12.75" customHeight="1">
      <c r="A446" s="319"/>
      <c r="B446" s="614"/>
      <c r="C446" s="319"/>
      <c r="D446" s="614"/>
      <c r="E446" s="614"/>
      <c r="F446" s="614"/>
      <c r="G446" s="614"/>
      <c r="H446" s="614"/>
      <c r="I446" s="614"/>
      <c r="J446" s="614"/>
      <c r="K446" s="614"/>
      <c r="L446" s="614"/>
      <c r="M446" s="614"/>
      <c r="N446" s="614"/>
      <c r="O446" s="614"/>
      <c r="P446" s="614"/>
      <c r="Q446" s="614"/>
      <c r="R446" s="614"/>
      <c r="S446" s="614"/>
      <c r="T446" s="614"/>
      <c r="U446" s="614"/>
      <c r="V446" s="614"/>
      <c r="W446" s="614"/>
      <c r="X446" s="614"/>
      <c r="Y446" s="614"/>
      <c r="Z446" s="614"/>
      <c r="AA446" s="614"/>
      <c r="AB446" s="614"/>
      <c r="AC446" s="614"/>
    </row>
    <row r="447" spans="1:29" ht="12.75" customHeight="1">
      <c r="A447" s="319"/>
      <c r="B447" s="614"/>
      <c r="C447" s="319"/>
      <c r="D447" s="614"/>
      <c r="E447" s="614"/>
      <c r="F447" s="614"/>
      <c r="G447" s="614"/>
      <c r="H447" s="614"/>
      <c r="I447" s="614"/>
      <c r="J447" s="614"/>
      <c r="K447" s="614"/>
      <c r="L447" s="614"/>
      <c r="M447" s="614"/>
      <c r="N447" s="614"/>
      <c r="O447" s="614"/>
      <c r="P447" s="614"/>
      <c r="Q447" s="614"/>
      <c r="R447" s="614"/>
      <c r="S447" s="614"/>
      <c r="T447" s="614"/>
      <c r="U447" s="614"/>
      <c r="V447" s="614"/>
      <c r="W447" s="614"/>
      <c r="X447" s="614"/>
      <c r="Y447" s="614"/>
      <c r="Z447" s="614"/>
      <c r="AA447" s="614"/>
      <c r="AB447" s="614"/>
      <c r="AC447" s="614"/>
    </row>
    <row r="448" spans="1:29" ht="12.75" customHeight="1">
      <c r="A448" s="319"/>
      <c r="B448" s="614"/>
      <c r="C448" s="319"/>
      <c r="D448" s="614"/>
      <c r="E448" s="614"/>
      <c r="F448" s="614"/>
      <c r="G448" s="614"/>
      <c r="H448" s="614"/>
      <c r="I448" s="614"/>
      <c r="J448" s="614"/>
      <c r="K448" s="614"/>
      <c r="L448" s="614"/>
      <c r="M448" s="614"/>
      <c r="N448" s="614"/>
      <c r="O448" s="614"/>
      <c r="P448" s="614"/>
      <c r="Q448" s="614"/>
      <c r="R448" s="614"/>
      <c r="S448" s="614"/>
      <c r="T448" s="614"/>
      <c r="U448" s="614"/>
      <c r="V448" s="614"/>
      <c r="W448" s="614"/>
      <c r="X448" s="614"/>
      <c r="Y448" s="614"/>
      <c r="Z448" s="614"/>
      <c r="AA448" s="614"/>
      <c r="AB448" s="614"/>
      <c r="AC448" s="614"/>
    </row>
    <row r="449" spans="1:29" ht="12.75" customHeight="1">
      <c r="A449" s="319"/>
      <c r="B449" s="614"/>
      <c r="C449" s="319"/>
      <c r="D449" s="614"/>
      <c r="E449" s="614"/>
      <c r="F449" s="614"/>
      <c r="G449" s="614"/>
      <c r="H449" s="614"/>
      <c r="I449" s="614"/>
      <c r="J449" s="614"/>
      <c r="K449" s="614"/>
      <c r="L449" s="614"/>
      <c r="M449" s="614"/>
      <c r="N449" s="614"/>
      <c r="O449" s="614"/>
      <c r="P449" s="614"/>
      <c r="Q449" s="614"/>
      <c r="R449" s="614"/>
      <c r="S449" s="614"/>
      <c r="T449" s="614"/>
      <c r="U449" s="614"/>
      <c r="V449" s="614"/>
      <c r="W449" s="614"/>
      <c r="X449" s="614"/>
      <c r="Y449" s="614"/>
      <c r="Z449" s="614"/>
      <c r="AA449" s="614"/>
      <c r="AB449" s="614"/>
      <c r="AC449" s="614"/>
    </row>
    <row r="450" spans="1:29" ht="12.75" customHeight="1">
      <c r="A450" s="319"/>
      <c r="B450" s="614"/>
      <c r="C450" s="319"/>
      <c r="D450" s="614"/>
      <c r="E450" s="614"/>
      <c r="F450" s="614"/>
      <c r="G450" s="614"/>
      <c r="H450" s="614"/>
      <c r="I450" s="614"/>
      <c r="J450" s="614"/>
      <c r="K450" s="614"/>
      <c r="L450" s="614"/>
      <c r="M450" s="614"/>
      <c r="N450" s="614"/>
      <c r="O450" s="614"/>
      <c r="P450" s="614"/>
      <c r="Q450" s="614"/>
      <c r="R450" s="614"/>
      <c r="S450" s="614"/>
      <c r="T450" s="614"/>
      <c r="U450" s="614"/>
      <c r="V450" s="614"/>
      <c r="W450" s="614"/>
      <c r="X450" s="614"/>
      <c r="Y450" s="614"/>
      <c r="Z450" s="614"/>
      <c r="AA450" s="614"/>
      <c r="AB450" s="614"/>
      <c r="AC450" s="614"/>
    </row>
    <row r="451" spans="1:29" ht="12.75" customHeight="1">
      <c r="A451" s="319"/>
      <c r="B451" s="614"/>
      <c r="C451" s="319"/>
      <c r="D451" s="614"/>
      <c r="E451" s="614"/>
      <c r="F451" s="614"/>
      <c r="G451" s="614"/>
      <c r="H451" s="614"/>
      <c r="I451" s="614"/>
      <c r="J451" s="614"/>
      <c r="K451" s="614"/>
      <c r="L451" s="614"/>
      <c r="M451" s="614"/>
      <c r="N451" s="614"/>
      <c r="O451" s="614"/>
      <c r="P451" s="614"/>
      <c r="Q451" s="614"/>
      <c r="R451" s="614"/>
      <c r="S451" s="614"/>
      <c r="T451" s="614"/>
      <c r="U451" s="614"/>
      <c r="V451" s="614"/>
      <c r="W451" s="614"/>
      <c r="X451" s="614"/>
      <c r="Y451" s="614"/>
      <c r="Z451" s="614"/>
      <c r="AA451" s="614"/>
      <c r="AB451" s="614"/>
      <c r="AC451" s="614"/>
    </row>
    <row r="452" spans="1:29" ht="12.75" customHeight="1">
      <c r="A452" s="319"/>
      <c r="B452" s="614"/>
      <c r="C452" s="319"/>
      <c r="D452" s="614"/>
      <c r="E452" s="614"/>
      <c r="F452" s="614"/>
      <c r="G452" s="614"/>
      <c r="H452" s="614"/>
      <c r="I452" s="614"/>
      <c r="J452" s="614"/>
      <c r="K452" s="614"/>
      <c r="L452" s="614"/>
      <c r="M452" s="614"/>
      <c r="N452" s="614"/>
      <c r="O452" s="614"/>
      <c r="P452" s="614"/>
      <c r="Q452" s="614"/>
      <c r="R452" s="614"/>
      <c r="S452" s="614"/>
      <c r="T452" s="614"/>
      <c r="U452" s="614"/>
      <c r="V452" s="614"/>
      <c r="W452" s="614"/>
      <c r="X452" s="614"/>
      <c r="Y452" s="614"/>
      <c r="Z452" s="614"/>
      <c r="AA452" s="614"/>
      <c r="AB452" s="614"/>
      <c r="AC452" s="614"/>
    </row>
    <row r="453" spans="1:29" ht="12.75" customHeight="1">
      <c r="A453" s="319"/>
      <c r="B453" s="614"/>
      <c r="C453" s="319"/>
      <c r="D453" s="614"/>
      <c r="E453" s="614"/>
      <c r="F453" s="614"/>
      <c r="G453" s="614"/>
      <c r="H453" s="614"/>
      <c r="I453" s="614"/>
      <c r="J453" s="614"/>
      <c r="K453" s="614"/>
      <c r="L453" s="614"/>
      <c r="M453" s="614"/>
      <c r="N453" s="614"/>
      <c r="O453" s="614"/>
      <c r="P453" s="614"/>
      <c r="Q453" s="614"/>
      <c r="R453" s="614"/>
      <c r="S453" s="614"/>
      <c r="T453" s="614"/>
      <c r="U453" s="614"/>
      <c r="V453" s="614"/>
      <c r="W453" s="614"/>
      <c r="X453" s="614"/>
      <c r="Y453" s="614"/>
      <c r="Z453" s="614"/>
      <c r="AA453" s="614"/>
      <c r="AB453" s="614"/>
      <c r="AC453" s="614"/>
    </row>
    <row r="454" spans="1:29" ht="12.75" customHeight="1">
      <c r="A454" s="319"/>
      <c r="B454" s="614"/>
      <c r="C454" s="319"/>
      <c r="D454" s="614"/>
      <c r="E454" s="614"/>
      <c r="F454" s="614"/>
      <c r="G454" s="614"/>
      <c r="H454" s="614"/>
      <c r="I454" s="614"/>
      <c r="J454" s="614"/>
      <c r="K454" s="614"/>
      <c r="L454" s="614"/>
      <c r="M454" s="614"/>
      <c r="N454" s="614"/>
      <c r="O454" s="614"/>
      <c r="P454" s="614"/>
      <c r="Q454" s="614"/>
      <c r="R454" s="614"/>
      <c r="S454" s="614"/>
      <c r="T454" s="614"/>
      <c r="U454" s="614"/>
      <c r="V454" s="614"/>
      <c r="W454" s="614"/>
      <c r="X454" s="614"/>
      <c r="Y454" s="614"/>
      <c r="Z454" s="614"/>
      <c r="AA454" s="614"/>
      <c r="AB454" s="614"/>
      <c r="AC454" s="614"/>
    </row>
    <row r="455" spans="1:29" ht="12.75" customHeight="1">
      <c r="A455" s="319"/>
      <c r="B455" s="614"/>
      <c r="C455" s="319"/>
      <c r="D455" s="614"/>
      <c r="E455" s="614"/>
      <c r="F455" s="614"/>
      <c r="G455" s="614"/>
      <c r="H455" s="614"/>
      <c r="I455" s="614"/>
      <c r="J455" s="614"/>
      <c r="K455" s="614"/>
      <c r="L455" s="614"/>
      <c r="M455" s="614"/>
      <c r="N455" s="614"/>
      <c r="O455" s="614"/>
      <c r="P455" s="614"/>
      <c r="Q455" s="614"/>
      <c r="R455" s="614"/>
      <c r="S455" s="614"/>
      <c r="T455" s="614"/>
      <c r="U455" s="614"/>
      <c r="V455" s="614"/>
      <c r="W455" s="614"/>
      <c r="X455" s="614"/>
      <c r="Y455" s="614"/>
      <c r="Z455" s="614"/>
      <c r="AA455" s="614"/>
      <c r="AB455" s="614"/>
      <c r="AC455" s="614"/>
    </row>
    <row r="456" spans="1:29" ht="12.75" customHeight="1">
      <c r="A456" s="319"/>
      <c r="B456" s="614"/>
      <c r="C456" s="319"/>
      <c r="D456" s="614"/>
      <c r="E456" s="614"/>
      <c r="F456" s="614"/>
      <c r="G456" s="614"/>
      <c r="H456" s="614"/>
      <c r="I456" s="614"/>
      <c r="J456" s="614"/>
      <c r="K456" s="614"/>
      <c r="L456" s="614"/>
      <c r="M456" s="614"/>
      <c r="N456" s="614"/>
      <c r="O456" s="614"/>
      <c r="P456" s="614"/>
      <c r="Q456" s="614"/>
      <c r="R456" s="614"/>
      <c r="S456" s="614"/>
      <c r="T456" s="614"/>
      <c r="U456" s="614"/>
      <c r="V456" s="614"/>
      <c r="W456" s="614"/>
      <c r="X456" s="614"/>
      <c r="Y456" s="614"/>
      <c r="Z456" s="614"/>
      <c r="AA456" s="614"/>
      <c r="AB456" s="614"/>
      <c r="AC456" s="614"/>
    </row>
    <row r="457" spans="1:29" ht="12.75" customHeight="1">
      <c r="A457" s="319"/>
      <c r="B457" s="614"/>
      <c r="C457" s="319"/>
      <c r="D457" s="614"/>
      <c r="E457" s="614"/>
      <c r="F457" s="614"/>
      <c r="G457" s="614"/>
      <c r="H457" s="614"/>
      <c r="I457" s="614"/>
      <c r="J457" s="614"/>
      <c r="K457" s="614"/>
      <c r="L457" s="614"/>
      <c r="M457" s="614"/>
      <c r="N457" s="614"/>
      <c r="O457" s="614"/>
      <c r="P457" s="614"/>
      <c r="Q457" s="614"/>
      <c r="R457" s="614"/>
      <c r="S457" s="614"/>
      <c r="T457" s="614"/>
      <c r="U457" s="614"/>
      <c r="V457" s="614"/>
      <c r="W457" s="614"/>
      <c r="X457" s="614"/>
      <c r="Y457" s="614"/>
      <c r="Z457" s="614"/>
      <c r="AA457" s="614"/>
      <c r="AB457" s="614"/>
      <c r="AC457" s="614"/>
    </row>
    <row r="458" spans="1:29" ht="12.75" customHeight="1">
      <c r="A458" s="319"/>
      <c r="B458" s="614"/>
      <c r="C458" s="319"/>
      <c r="D458" s="614"/>
      <c r="E458" s="614"/>
      <c r="F458" s="614"/>
      <c r="G458" s="614"/>
      <c r="H458" s="614"/>
      <c r="I458" s="614"/>
      <c r="J458" s="614"/>
      <c r="K458" s="614"/>
      <c r="L458" s="614"/>
      <c r="M458" s="614"/>
      <c r="N458" s="614"/>
      <c r="O458" s="614"/>
      <c r="P458" s="614"/>
      <c r="Q458" s="614"/>
      <c r="R458" s="614"/>
      <c r="S458" s="614"/>
      <c r="T458" s="614"/>
      <c r="U458" s="614"/>
      <c r="V458" s="614"/>
      <c r="W458" s="614"/>
      <c r="X458" s="614"/>
      <c r="Y458" s="614"/>
      <c r="Z458" s="614"/>
      <c r="AA458" s="614"/>
      <c r="AB458" s="614"/>
      <c r="AC458" s="614"/>
    </row>
    <row r="459" spans="1:29" ht="12.75" customHeight="1">
      <c r="A459" s="319"/>
      <c r="B459" s="614"/>
      <c r="C459" s="319"/>
      <c r="D459" s="614"/>
      <c r="E459" s="614"/>
      <c r="F459" s="614"/>
      <c r="G459" s="614"/>
      <c r="H459" s="614"/>
      <c r="I459" s="614"/>
      <c r="J459" s="614"/>
      <c r="K459" s="614"/>
      <c r="L459" s="614"/>
      <c r="M459" s="614"/>
      <c r="N459" s="614"/>
      <c r="O459" s="614"/>
      <c r="P459" s="614"/>
      <c r="Q459" s="614"/>
      <c r="R459" s="614"/>
      <c r="S459" s="614"/>
      <c r="T459" s="614"/>
      <c r="U459" s="614"/>
      <c r="V459" s="614"/>
      <c r="W459" s="614"/>
      <c r="X459" s="614"/>
      <c r="Y459" s="614"/>
      <c r="Z459" s="614"/>
      <c r="AA459" s="614"/>
      <c r="AB459" s="614"/>
      <c r="AC459" s="614"/>
    </row>
    <row r="460" spans="1:29" ht="12.75" customHeight="1">
      <c r="A460" s="319"/>
      <c r="B460" s="614"/>
      <c r="C460" s="319"/>
      <c r="D460" s="614"/>
      <c r="E460" s="614"/>
      <c r="F460" s="614"/>
      <c r="G460" s="614"/>
      <c r="H460" s="614"/>
      <c r="I460" s="614"/>
      <c r="J460" s="614"/>
      <c r="K460" s="614"/>
      <c r="L460" s="614"/>
      <c r="M460" s="614"/>
      <c r="N460" s="614"/>
      <c r="O460" s="614"/>
      <c r="P460" s="614"/>
      <c r="Q460" s="614"/>
      <c r="R460" s="614"/>
      <c r="S460" s="614"/>
      <c r="T460" s="614"/>
      <c r="U460" s="614"/>
      <c r="V460" s="614"/>
      <c r="W460" s="614"/>
      <c r="X460" s="614"/>
      <c r="Y460" s="614"/>
      <c r="Z460" s="614"/>
      <c r="AA460" s="614"/>
      <c r="AB460" s="614"/>
      <c r="AC460" s="614"/>
    </row>
    <row r="461" spans="1:29" ht="12.75" customHeight="1">
      <c r="A461" s="319"/>
      <c r="B461" s="614"/>
      <c r="C461" s="319"/>
      <c r="D461" s="614"/>
      <c r="E461" s="614"/>
      <c r="F461" s="614"/>
      <c r="G461" s="614"/>
      <c r="H461" s="614"/>
      <c r="I461" s="614"/>
      <c r="J461" s="614"/>
      <c r="K461" s="614"/>
      <c r="L461" s="614"/>
      <c r="M461" s="614"/>
      <c r="N461" s="614"/>
      <c r="O461" s="614"/>
      <c r="P461" s="614"/>
      <c r="Q461" s="614"/>
      <c r="R461" s="614"/>
      <c r="S461" s="614"/>
      <c r="T461" s="614"/>
      <c r="U461" s="614"/>
      <c r="V461" s="614"/>
      <c r="W461" s="614"/>
      <c r="X461" s="614"/>
      <c r="Y461" s="614"/>
      <c r="Z461" s="614"/>
      <c r="AA461" s="614"/>
      <c r="AB461" s="614"/>
      <c r="AC461" s="614"/>
    </row>
    <row r="462" spans="1:29" ht="12.75" customHeight="1">
      <c r="A462" s="319"/>
      <c r="B462" s="614"/>
      <c r="C462" s="319"/>
      <c r="D462" s="614"/>
      <c r="E462" s="614"/>
      <c r="F462" s="614"/>
      <c r="G462" s="614"/>
      <c r="H462" s="614"/>
      <c r="I462" s="614"/>
      <c r="J462" s="614"/>
      <c r="K462" s="614"/>
      <c r="L462" s="614"/>
      <c r="M462" s="614"/>
      <c r="N462" s="614"/>
      <c r="O462" s="614"/>
      <c r="P462" s="614"/>
      <c r="Q462" s="614"/>
      <c r="R462" s="614"/>
      <c r="S462" s="614"/>
      <c r="T462" s="614"/>
      <c r="U462" s="614"/>
      <c r="V462" s="614"/>
      <c r="W462" s="614"/>
      <c r="X462" s="614"/>
      <c r="Y462" s="614"/>
      <c r="Z462" s="614"/>
      <c r="AA462" s="614"/>
      <c r="AB462" s="614"/>
      <c r="AC462" s="614"/>
    </row>
    <row r="463" spans="1:29" ht="12.75" customHeight="1">
      <c r="A463" s="319"/>
      <c r="B463" s="614"/>
      <c r="C463" s="319"/>
      <c r="D463" s="614"/>
      <c r="E463" s="614"/>
      <c r="F463" s="614"/>
      <c r="G463" s="614"/>
      <c r="H463" s="614"/>
      <c r="I463" s="614"/>
      <c r="J463" s="614"/>
      <c r="K463" s="614"/>
      <c r="L463" s="614"/>
      <c r="M463" s="614"/>
      <c r="N463" s="614"/>
      <c r="O463" s="614"/>
      <c r="P463" s="614"/>
      <c r="Q463" s="614"/>
      <c r="R463" s="614"/>
      <c r="S463" s="614"/>
      <c r="T463" s="614"/>
      <c r="U463" s="614"/>
      <c r="V463" s="614"/>
      <c r="W463" s="614"/>
      <c r="X463" s="614"/>
      <c r="Y463" s="614"/>
      <c r="Z463" s="614"/>
      <c r="AA463" s="614"/>
      <c r="AB463" s="614"/>
      <c r="AC463" s="614"/>
    </row>
    <row r="464" spans="1:29" ht="12.75" customHeight="1">
      <c r="A464" s="319"/>
      <c r="B464" s="614"/>
      <c r="C464" s="319"/>
      <c r="D464" s="614"/>
      <c r="E464" s="614"/>
      <c r="F464" s="614"/>
      <c r="G464" s="614"/>
      <c r="H464" s="614"/>
      <c r="I464" s="614"/>
      <c r="J464" s="614"/>
      <c r="K464" s="614"/>
      <c r="L464" s="614"/>
      <c r="M464" s="614"/>
      <c r="N464" s="614"/>
      <c r="O464" s="614"/>
      <c r="P464" s="614"/>
      <c r="Q464" s="614"/>
      <c r="R464" s="614"/>
      <c r="S464" s="614"/>
      <c r="T464" s="614"/>
      <c r="U464" s="614"/>
      <c r="V464" s="614"/>
      <c r="W464" s="614"/>
      <c r="X464" s="614"/>
      <c r="Y464" s="614"/>
      <c r="Z464" s="614"/>
      <c r="AA464" s="614"/>
      <c r="AB464" s="614"/>
      <c r="AC464" s="614"/>
    </row>
    <row r="465" spans="1:29" ht="12.75" customHeight="1">
      <c r="A465" s="319"/>
      <c r="B465" s="614"/>
      <c r="C465" s="319"/>
      <c r="D465" s="614"/>
      <c r="E465" s="614"/>
      <c r="F465" s="614"/>
      <c r="G465" s="614"/>
      <c r="H465" s="614"/>
      <c r="I465" s="614"/>
      <c r="J465" s="614"/>
      <c r="K465" s="614"/>
      <c r="L465" s="614"/>
      <c r="M465" s="614"/>
      <c r="N465" s="614"/>
      <c r="O465" s="614"/>
      <c r="P465" s="614"/>
      <c r="Q465" s="614"/>
      <c r="R465" s="614"/>
      <c r="S465" s="614"/>
      <c r="T465" s="614"/>
      <c r="U465" s="614"/>
      <c r="V465" s="614"/>
      <c r="W465" s="614"/>
      <c r="X465" s="614"/>
      <c r="Y465" s="614"/>
      <c r="Z465" s="614"/>
      <c r="AA465" s="614"/>
      <c r="AB465" s="614"/>
      <c r="AC465" s="614"/>
    </row>
    <row r="466" spans="1:29" ht="12.75" customHeight="1">
      <c r="A466" s="319"/>
      <c r="B466" s="614"/>
      <c r="C466" s="319"/>
      <c r="D466" s="614"/>
      <c r="E466" s="614"/>
      <c r="F466" s="614"/>
      <c r="G466" s="614"/>
      <c r="H466" s="614"/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4"/>
      <c r="X466" s="614"/>
      <c r="Y466" s="614"/>
      <c r="Z466" s="614"/>
      <c r="AA466" s="614"/>
      <c r="AB466" s="614"/>
      <c r="AC466" s="614"/>
    </row>
    <row r="467" spans="1:29" ht="12.75" customHeight="1">
      <c r="A467" s="319"/>
      <c r="B467" s="614"/>
      <c r="C467" s="319"/>
      <c r="D467" s="614"/>
      <c r="E467" s="614"/>
      <c r="F467" s="614"/>
      <c r="G467" s="614"/>
      <c r="H467" s="614"/>
      <c r="I467" s="614"/>
      <c r="J467" s="614"/>
      <c r="K467" s="614"/>
      <c r="L467" s="614"/>
      <c r="M467" s="614"/>
      <c r="N467" s="614"/>
      <c r="O467" s="614"/>
      <c r="P467" s="614"/>
      <c r="Q467" s="614"/>
      <c r="R467" s="614"/>
      <c r="S467" s="614"/>
      <c r="T467" s="614"/>
      <c r="U467" s="614"/>
      <c r="V467" s="614"/>
      <c r="W467" s="614"/>
      <c r="X467" s="614"/>
      <c r="Y467" s="614"/>
      <c r="Z467" s="614"/>
      <c r="AA467" s="614"/>
      <c r="AB467" s="614"/>
      <c r="AC467" s="614"/>
    </row>
    <row r="468" spans="1:29" ht="12.75" customHeight="1">
      <c r="A468" s="319"/>
      <c r="B468" s="614"/>
      <c r="C468" s="319"/>
      <c r="D468" s="614"/>
      <c r="E468" s="614"/>
      <c r="F468" s="614"/>
      <c r="G468" s="614"/>
      <c r="H468" s="614"/>
      <c r="I468" s="614"/>
      <c r="J468" s="614"/>
      <c r="K468" s="614"/>
      <c r="L468" s="614"/>
      <c r="M468" s="614"/>
      <c r="N468" s="614"/>
      <c r="O468" s="614"/>
      <c r="P468" s="614"/>
      <c r="Q468" s="614"/>
      <c r="R468" s="614"/>
      <c r="S468" s="614"/>
      <c r="T468" s="614"/>
      <c r="U468" s="614"/>
      <c r="V468" s="614"/>
      <c r="W468" s="614"/>
      <c r="X468" s="614"/>
      <c r="Y468" s="614"/>
      <c r="Z468" s="614"/>
      <c r="AA468" s="614"/>
      <c r="AB468" s="614"/>
      <c r="AC468" s="614"/>
    </row>
    <row r="469" spans="1:29" ht="12.75" customHeight="1">
      <c r="A469" s="319"/>
      <c r="B469" s="614"/>
      <c r="C469" s="319"/>
      <c r="D469" s="614"/>
      <c r="E469" s="614"/>
      <c r="F469" s="614"/>
      <c r="G469" s="614"/>
      <c r="H469" s="614"/>
      <c r="I469" s="614"/>
      <c r="J469" s="614"/>
      <c r="K469" s="614"/>
      <c r="L469" s="614"/>
      <c r="M469" s="614"/>
      <c r="N469" s="614"/>
      <c r="O469" s="614"/>
      <c r="P469" s="614"/>
      <c r="Q469" s="614"/>
      <c r="R469" s="614"/>
      <c r="S469" s="614"/>
      <c r="T469" s="614"/>
      <c r="U469" s="614"/>
      <c r="V469" s="614"/>
      <c r="W469" s="614"/>
      <c r="X469" s="614"/>
      <c r="Y469" s="614"/>
      <c r="Z469" s="614"/>
      <c r="AA469" s="614"/>
      <c r="AB469" s="614"/>
      <c r="AC469" s="614"/>
    </row>
    <row r="470" spans="1:29" ht="12.75" customHeight="1">
      <c r="A470" s="319"/>
      <c r="B470" s="614"/>
      <c r="C470" s="319"/>
      <c r="D470" s="614"/>
      <c r="E470" s="614"/>
      <c r="F470" s="614"/>
      <c r="G470" s="614"/>
      <c r="H470" s="614"/>
      <c r="I470" s="614"/>
      <c r="J470" s="614"/>
      <c r="K470" s="614"/>
      <c r="L470" s="614"/>
      <c r="M470" s="614"/>
      <c r="N470" s="614"/>
      <c r="O470" s="614"/>
      <c r="P470" s="614"/>
      <c r="Q470" s="614"/>
      <c r="R470" s="614"/>
      <c r="S470" s="614"/>
      <c r="T470" s="614"/>
      <c r="U470" s="614"/>
      <c r="V470" s="614"/>
      <c r="W470" s="614"/>
      <c r="X470" s="614"/>
      <c r="Y470" s="614"/>
      <c r="Z470" s="614"/>
      <c r="AA470" s="614"/>
      <c r="AB470" s="614"/>
      <c r="AC470" s="614"/>
    </row>
    <row r="471" spans="1:29" ht="12.75" customHeight="1">
      <c r="A471" s="319"/>
      <c r="B471" s="614"/>
      <c r="C471" s="319"/>
      <c r="D471" s="614"/>
      <c r="E471" s="614"/>
      <c r="F471" s="614"/>
      <c r="G471" s="614"/>
      <c r="H471" s="614"/>
      <c r="I471" s="614"/>
      <c r="J471" s="614"/>
      <c r="K471" s="614"/>
      <c r="L471" s="614"/>
      <c r="M471" s="614"/>
      <c r="N471" s="614"/>
      <c r="O471" s="614"/>
      <c r="P471" s="614"/>
      <c r="Q471" s="614"/>
      <c r="R471" s="614"/>
      <c r="S471" s="614"/>
      <c r="T471" s="614"/>
      <c r="U471" s="614"/>
      <c r="V471" s="614"/>
      <c r="W471" s="614"/>
      <c r="X471" s="614"/>
      <c r="Y471" s="614"/>
      <c r="Z471" s="614"/>
      <c r="AA471" s="614"/>
      <c r="AB471" s="614"/>
      <c r="AC471" s="614"/>
    </row>
    <row r="472" spans="1:29" ht="12.75" customHeight="1">
      <c r="A472" s="319"/>
      <c r="B472" s="614"/>
      <c r="C472" s="319"/>
      <c r="D472" s="614"/>
      <c r="E472" s="614"/>
      <c r="F472" s="614"/>
      <c r="G472" s="614"/>
      <c r="H472" s="614"/>
      <c r="I472" s="614"/>
      <c r="J472" s="614"/>
      <c r="K472" s="614"/>
      <c r="L472" s="614"/>
      <c r="M472" s="614"/>
      <c r="N472" s="614"/>
      <c r="O472" s="614"/>
      <c r="P472" s="614"/>
      <c r="Q472" s="614"/>
      <c r="R472" s="614"/>
      <c r="S472" s="614"/>
      <c r="T472" s="614"/>
      <c r="U472" s="614"/>
      <c r="V472" s="614"/>
      <c r="W472" s="614"/>
      <c r="X472" s="614"/>
      <c r="Y472" s="614"/>
      <c r="Z472" s="614"/>
      <c r="AA472" s="614"/>
      <c r="AB472" s="614"/>
      <c r="AC472" s="614"/>
    </row>
    <row r="473" spans="1:29" ht="12.75" customHeight="1">
      <c r="A473" s="319"/>
      <c r="B473" s="614"/>
      <c r="C473" s="319"/>
      <c r="D473" s="614"/>
      <c r="E473" s="614"/>
      <c r="F473" s="614"/>
      <c r="G473" s="614"/>
      <c r="H473" s="614"/>
      <c r="I473" s="614"/>
      <c r="J473" s="614"/>
      <c r="K473" s="614"/>
      <c r="L473" s="614"/>
      <c r="M473" s="614"/>
      <c r="N473" s="614"/>
      <c r="O473" s="614"/>
      <c r="P473" s="614"/>
      <c r="Q473" s="614"/>
      <c r="R473" s="614"/>
      <c r="S473" s="614"/>
      <c r="T473" s="614"/>
      <c r="U473" s="614"/>
      <c r="V473" s="614"/>
      <c r="W473" s="614"/>
      <c r="X473" s="614"/>
      <c r="Y473" s="614"/>
      <c r="Z473" s="614"/>
      <c r="AA473" s="614"/>
      <c r="AB473" s="614"/>
      <c r="AC473" s="614"/>
    </row>
    <row r="474" spans="1:29" ht="12.75" customHeight="1">
      <c r="A474" s="319"/>
      <c r="B474" s="614"/>
      <c r="C474" s="319"/>
      <c r="D474" s="614"/>
      <c r="E474" s="614"/>
      <c r="F474" s="614"/>
      <c r="G474" s="614"/>
      <c r="H474" s="614"/>
      <c r="I474" s="614"/>
      <c r="J474" s="614"/>
      <c r="K474" s="614"/>
      <c r="L474" s="614"/>
      <c r="M474" s="614"/>
      <c r="N474" s="614"/>
      <c r="O474" s="614"/>
      <c r="P474" s="614"/>
      <c r="Q474" s="614"/>
      <c r="R474" s="614"/>
      <c r="S474" s="614"/>
      <c r="T474" s="614"/>
      <c r="U474" s="614"/>
      <c r="V474" s="614"/>
      <c r="W474" s="614"/>
      <c r="X474" s="614"/>
      <c r="Y474" s="614"/>
      <c r="Z474" s="614"/>
      <c r="AA474" s="614"/>
      <c r="AB474" s="614"/>
      <c r="AC474" s="614"/>
    </row>
    <row r="475" spans="1:29" ht="12.75" customHeight="1">
      <c r="A475" s="319"/>
      <c r="B475" s="614"/>
      <c r="C475" s="319"/>
      <c r="D475" s="614"/>
      <c r="E475" s="614"/>
      <c r="F475" s="614"/>
      <c r="G475" s="614"/>
      <c r="H475" s="614"/>
      <c r="I475" s="614"/>
      <c r="J475" s="614"/>
      <c r="K475" s="614"/>
      <c r="L475" s="614"/>
      <c r="M475" s="614"/>
      <c r="N475" s="614"/>
      <c r="O475" s="614"/>
      <c r="P475" s="614"/>
      <c r="Q475" s="614"/>
      <c r="R475" s="614"/>
      <c r="S475" s="614"/>
      <c r="T475" s="614"/>
      <c r="U475" s="614"/>
      <c r="V475" s="614"/>
      <c r="W475" s="614"/>
      <c r="X475" s="614"/>
      <c r="Y475" s="614"/>
      <c r="Z475" s="614"/>
      <c r="AA475" s="614"/>
      <c r="AB475" s="614"/>
      <c r="AC475" s="614"/>
    </row>
    <row r="476" spans="1:29" ht="12.75" customHeight="1">
      <c r="A476" s="319"/>
      <c r="B476" s="614"/>
      <c r="C476" s="319"/>
      <c r="D476" s="614"/>
      <c r="E476" s="614"/>
      <c r="F476" s="614"/>
      <c r="G476" s="614"/>
      <c r="H476" s="614"/>
      <c r="I476" s="614"/>
      <c r="J476" s="614"/>
      <c r="K476" s="614"/>
      <c r="L476" s="614"/>
      <c r="M476" s="614"/>
      <c r="N476" s="614"/>
      <c r="O476" s="614"/>
      <c r="P476" s="614"/>
      <c r="Q476" s="614"/>
      <c r="R476" s="614"/>
      <c r="S476" s="614"/>
      <c r="T476" s="614"/>
      <c r="U476" s="614"/>
      <c r="V476" s="614"/>
      <c r="W476" s="614"/>
      <c r="X476" s="614"/>
      <c r="Y476" s="614"/>
      <c r="Z476" s="614"/>
      <c r="AA476" s="614"/>
      <c r="AB476" s="614"/>
      <c r="AC476" s="614"/>
    </row>
    <row r="477" spans="1:29" ht="12.75" customHeight="1">
      <c r="A477" s="319"/>
      <c r="B477" s="614"/>
      <c r="C477" s="319"/>
      <c r="D477" s="614"/>
      <c r="E477" s="614"/>
      <c r="F477" s="614"/>
      <c r="G477" s="614"/>
      <c r="H477" s="614"/>
      <c r="I477" s="614"/>
      <c r="J477" s="614"/>
      <c r="K477" s="614"/>
      <c r="L477" s="614"/>
      <c r="M477" s="614"/>
      <c r="N477" s="614"/>
      <c r="O477" s="614"/>
      <c r="P477" s="614"/>
      <c r="Q477" s="614"/>
      <c r="R477" s="614"/>
      <c r="S477" s="614"/>
      <c r="T477" s="614"/>
      <c r="U477" s="614"/>
      <c r="V477" s="614"/>
      <c r="W477" s="614"/>
      <c r="X477" s="614"/>
      <c r="Y477" s="614"/>
      <c r="Z477" s="614"/>
      <c r="AA477" s="614"/>
      <c r="AB477" s="614"/>
      <c r="AC477" s="614"/>
    </row>
    <row r="478" spans="1:29" ht="12.75" customHeight="1">
      <c r="A478" s="319"/>
      <c r="B478" s="614"/>
      <c r="C478" s="319"/>
      <c r="D478" s="614"/>
      <c r="E478" s="614"/>
      <c r="F478" s="614"/>
      <c r="G478" s="614"/>
      <c r="H478" s="614"/>
      <c r="I478" s="614"/>
      <c r="J478" s="614"/>
      <c r="K478" s="614"/>
      <c r="L478" s="614"/>
      <c r="M478" s="614"/>
      <c r="N478" s="614"/>
      <c r="O478" s="614"/>
      <c r="P478" s="614"/>
      <c r="Q478" s="614"/>
      <c r="R478" s="614"/>
      <c r="S478" s="614"/>
      <c r="T478" s="614"/>
      <c r="U478" s="614"/>
      <c r="V478" s="614"/>
      <c r="W478" s="614"/>
      <c r="X478" s="614"/>
      <c r="Y478" s="614"/>
      <c r="Z478" s="614"/>
      <c r="AA478" s="614"/>
      <c r="AB478" s="614"/>
      <c r="AC478" s="614"/>
    </row>
    <row r="479" spans="1:29" ht="12.75" customHeight="1">
      <c r="A479" s="319"/>
      <c r="B479" s="614"/>
      <c r="C479" s="319"/>
      <c r="D479" s="614"/>
      <c r="E479" s="614"/>
      <c r="F479" s="614"/>
      <c r="G479" s="614"/>
      <c r="H479" s="614"/>
      <c r="I479" s="614"/>
      <c r="J479" s="614"/>
      <c r="K479" s="614"/>
      <c r="L479" s="614"/>
      <c r="M479" s="614"/>
      <c r="N479" s="614"/>
      <c r="O479" s="614"/>
      <c r="P479" s="614"/>
      <c r="Q479" s="614"/>
      <c r="R479" s="614"/>
      <c r="S479" s="614"/>
      <c r="T479" s="614"/>
      <c r="U479" s="614"/>
      <c r="V479" s="614"/>
      <c r="W479" s="614"/>
      <c r="X479" s="614"/>
      <c r="Y479" s="614"/>
      <c r="Z479" s="614"/>
      <c r="AA479" s="614"/>
      <c r="AB479" s="614"/>
      <c r="AC479" s="614"/>
    </row>
    <row r="480" spans="1:29" ht="12.75" customHeight="1">
      <c r="A480" s="319"/>
      <c r="B480" s="614"/>
      <c r="C480" s="319"/>
      <c r="D480" s="614"/>
      <c r="E480" s="614"/>
      <c r="F480" s="614"/>
      <c r="G480" s="614"/>
      <c r="H480" s="614"/>
      <c r="I480" s="614"/>
      <c r="J480" s="614"/>
      <c r="K480" s="614"/>
      <c r="L480" s="614"/>
      <c r="M480" s="614"/>
      <c r="N480" s="614"/>
      <c r="O480" s="614"/>
      <c r="P480" s="614"/>
      <c r="Q480" s="614"/>
      <c r="R480" s="614"/>
      <c r="S480" s="614"/>
      <c r="T480" s="614"/>
      <c r="U480" s="614"/>
      <c r="V480" s="614"/>
      <c r="W480" s="614"/>
      <c r="X480" s="614"/>
      <c r="Y480" s="614"/>
      <c r="Z480" s="614"/>
      <c r="AA480" s="614"/>
      <c r="AB480" s="614"/>
      <c r="AC480" s="614"/>
    </row>
    <row r="481" spans="1:29" ht="12.75" customHeight="1">
      <c r="A481" s="319"/>
      <c r="B481" s="614"/>
      <c r="C481" s="319"/>
      <c r="D481" s="614"/>
      <c r="E481" s="614"/>
      <c r="F481" s="614"/>
      <c r="G481" s="614"/>
      <c r="H481" s="614"/>
      <c r="I481" s="614"/>
      <c r="J481" s="614"/>
      <c r="K481" s="614"/>
      <c r="L481" s="614"/>
      <c r="M481" s="614"/>
      <c r="N481" s="614"/>
      <c r="O481" s="614"/>
      <c r="P481" s="614"/>
      <c r="Q481" s="614"/>
      <c r="R481" s="614"/>
      <c r="S481" s="614"/>
      <c r="T481" s="614"/>
      <c r="U481" s="614"/>
      <c r="V481" s="614"/>
      <c r="W481" s="614"/>
      <c r="X481" s="614"/>
      <c r="Y481" s="614"/>
      <c r="Z481" s="614"/>
      <c r="AA481" s="614"/>
      <c r="AB481" s="614"/>
      <c r="AC481" s="614"/>
    </row>
    <row r="482" spans="1:29" ht="12.75" customHeight="1">
      <c r="A482" s="319"/>
      <c r="B482" s="614"/>
      <c r="C482" s="319"/>
      <c r="D482" s="614"/>
      <c r="E482" s="614"/>
      <c r="F482" s="614"/>
      <c r="G482" s="614"/>
      <c r="H482" s="614"/>
      <c r="I482" s="614"/>
      <c r="J482" s="614"/>
      <c r="K482" s="614"/>
      <c r="L482" s="614"/>
      <c r="M482" s="614"/>
      <c r="N482" s="614"/>
      <c r="O482" s="614"/>
      <c r="P482" s="614"/>
      <c r="Q482" s="614"/>
      <c r="R482" s="614"/>
      <c r="S482" s="614"/>
      <c r="T482" s="614"/>
      <c r="U482" s="614"/>
      <c r="V482" s="614"/>
      <c r="W482" s="614"/>
      <c r="X482" s="614"/>
      <c r="Y482" s="614"/>
      <c r="Z482" s="614"/>
      <c r="AA482" s="614"/>
      <c r="AB482" s="614"/>
      <c r="AC482" s="614"/>
    </row>
    <row r="483" spans="1:29" ht="12.75" customHeight="1">
      <c r="A483" s="319"/>
      <c r="B483" s="614"/>
      <c r="C483" s="319"/>
      <c r="D483" s="614"/>
      <c r="E483" s="614"/>
      <c r="F483" s="614"/>
      <c r="G483" s="614"/>
      <c r="H483" s="614"/>
      <c r="I483" s="614"/>
      <c r="J483" s="614"/>
      <c r="K483" s="614"/>
      <c r="L483" s="614"/>
      <c r="M483" s="614"/>
      <c r="N483" s="614"/>
      <c r="O483" s="614"/>
      <c r="P483" s="614"/>
      <c r="Q483" s="614"/>
      <c r="R483" s="614"/>
      <c r="S483" s="614"/>
      <c r="T483" s="614"/>
      <c r="U483" s="614"/>
      <c r="V483" s="614"/>
      <c r="W483" s="614"/>
      <c r="X483" s="614"/>
      <c r="Y483" s="614"/>
      <c r="Z483" s="614"/>
      <c r="AA483" s="614"/>
      <c r="AB483" s="614"/>
      <c r="AC483" s="614"/>
    </row>
    <row r="484" spans="1:29" ht="12.75" customHeight="1">
      <c r="A484" s="319"/>
      <c r="B484" s="614"/>
      <c r="C484" s="319"/>
      <c r="D484" s="614"/>
      <c r="E484" s="614"/>
      <c r="F484" s="614"/>
      <c r="G484" s="614"/>
      <c r="H484" s="614"/>
      <c r="I484" s="614"/>
      <c r="J484" s="614"/>
      <c r="K484" s="614"/>
      <c r="L484" s="614"/>
      <c r="M484" s="614"/>
      <c r="N484" s="614"/>
      <c r="O484" s="614"/>
      <c r="P484" s="614"/>
      <c r="Q484" s="614"/>
      <c r="R484" s="614"/>
      <c r="S484" s="614"/>
      <c r="T484" s="614"/>
      <c r="U484" s="614"/>
      <c r="V484" s="614"/>
      <c r="W484" s="614"/>
      <c r="X484" s="614"/>
      <c r="Y484" s="614"/>
      <c r="Z484" s="614"/>
      <c r="AA484" s="614"/>
      <c r="AB484" s="614"/>
      <c r="AC484" s="614"/>
    </row>
    <row r="485" spans="1:29" ht="12.75" customHeight="1">
      <c r="A485" s="319"/>
      <c r="B485" s="614"/>
      <c r="C485" s="319"/>
      <c r="D485" s="614"/>
      <c r="E485" s="614"/>
      <c r="F485" s="614"/>
      <c r="G485" s="614"/>
      <c r="H485" s="614"/>
      <c r="I485" s="614"/>
      <c r="J485" s="614"/>
      <c r="K485" s="614"/>
      <c r="L485" s="614"/>
      <c r="M485" s="614"/>
      <c r="N485" s="614"/>
      <c r="O485" s="614"/>
      <c r="P485" s="614"/>
      <c r="Q485" s="614"/>
      <c r="R485" s="614"/>
      <c r="S485" s="614"/>
      <c r="T485" s="614"/>
      <c r="U485" s="614"/>
      <c r="V485" s="614"/>
      <c r="W485" s="614"/>
      <c r="X485" s="614"/>
      <c r="Y485" s="614"/>
      <c r="Z485" s="614"/>
      <c r="AA485" s="614"/>
      <c r="AB485" s="614"/>
      <c r="AC485" s="614"/>
    </row>
    <row r="486" spans="1:29" ht="12.75" customHeight="1">
      <c r="A486" s="319"/>
      <c r="B486" s="614"/>
      <c r="C486" s="319"/>
      <c r="D486" s="614"/>
      <c r="E486" s="614"/>
      <c r="F486" s="614"/>
      <c r="G486" s="614"/>
      <c r="H486" s="614"/>
      <c r="I486" s="614"/>
      <c r="J486" s="614"/>
      <c r="K486" s="614"/>
      <c r="L486" s="614"/>
      <c r="M486" s="614"/>
      <c r="N486" s="614"/>
      <c r="O486" s="614"/>
      <c r="P486" s="614"/>
      <c r="Q486" s="614"/>
      <c r="R486" s="614"/>
      <c r="S486" s="614"/>
      <c r="T486" s="614"/>
      <c r="U486" s="614"/>
      <c r="V486" s="614"/>
      <c r="W486" s="614"/>
      <c r="X486" s="614"/>
      <c r="Y486" s="614"/>
      <c r="Z486" s="614"/>
      <c r="AA486" s="614"/>
      <c r="AB486" s="614"/>
      <c r="AC486" s="614"/>
    </row>
    <row r="487" spans="1:29" ht="12.75" customHeight="1">
      <c r="A487" s="319"/>
      <c r="B487" s="614"/>
      <c r="C487" s="319"/>
      <c r="D487" s="614"/>
      <c r="E487" s="614"/>
      <c r="F487" s="614"/>
      <c r="G487" s="614"/>
      <c r="H487" s="614"/>
      <c r="I487" s="614"/>
      <c r="J487" s="614"/>
      <c r="K487" s="614"/>
      <c r="L487" s="614"/>
      <c r="M487" s="614"/>
      <c r="N487" s="614"/>
      <c r="O487" s="614"/>
      <c r="P487" s="614"/>
      <c r="Q487" s="614"/>
      <c r="R487" s="614"/>
      <c r="S487" s="614"/>
      <c r="T487" s="614"/>
      <c r="U487" s="614"/>
      <c r="V487" s="614"/>
      <c r="W487" s="614"/>
      <c r="X487" s="614"/>
      <c r="Y487" s="614"/>
      <c r="Z487" s="614"/>
      <c r="AA487" s="614"/>
      <c r="AB487" s="614"/>
      <c r="AC487" s="614"/>
    </row>
    <row r="488" spans="1:29" ht="12.75" customHeight="1">
      <c r="A488" s="319"/>
      <c r="B488" s="614"/>
      <c r="C488" s="319"/>
      <c r="D488" s="614"/>
      <c r="E488" s="614"/>
      <c r="F488" s="614"/>
      <c r="G488" s="614"/>
      <c r="H488" s="614"/>
      <c r="I488" s="614"/>
      <c r="J488" s="614"/>
      <c r="K488" s="614"/>
      <c r="L488" s="614"/>
      <c r="M488" s="614"/>
      <c r="N488" s="614"/>
      <c r="O488" s="614"/>
      <c r="P488" s="614"/>
      <c r="Q488" s="614"/>
      <c r="R488" s="614"/>
      <c r="S488" s="614"/>
      <c r="T488" s="614"/>
      <c r="U488" s="614"/>
      <c r="V488" s="614"/>
      <c r="W488" s="614"/>
      <c r="X488" s="614"/>
      <c r="Y488" s="614"/>
      <c r="Z488" s="614"/>
      <c r="AA488" s="614"/>
      <c r="AB488" s="614"/>
      <c r="AC488" s="614"/>
    </row>
    <row r="489" spans="1:29" ht="12.75" customHeight="1">
      <c r="A489" s="319"/>
      <c r="B489" s="614"/>
      <c r="C489" s="319"/>
      <c r="D489" s="614"/>
      <c r="E489" s="614"/>
      <c r="F489" s="614"/>
      <c r="G489" s="614"/>
      <c r="H489" s="614"/>
      <c r="I489" s="614"/>
      <c r="J489" s="614"/>
      <c r="K489" s="614"/>
      <c r="L489" s="614"/>
      <c r="M489" s="614"/>
      <c r="N489" s="614"/>
      <c r="O489" s="614"/>
      <c r="P489" s="614"/>
      <c r="Q489" s="614"/>
      <c r="R489" s="614"/>
      <c r="S489" s="614"/>
      <c r="T489" s="614"/>
      <c r="U489" s="614"/>
      <c r="V489" s="614"/>
      <c r="W489" s="614"/>
      <c r="X489" s="614"/>
      <c r="Y489" s="614"/>
      <c r="Z489" s="614"/>
      <c r="AA489" s="614"/>
      <c r="AB489" s="614"/>
      <c r="AC489" s="614"/>
    </row>
    <row r="490" spans="1:29" ht="12.75" customHeight="1">
      <c r="A490" s="319"/>
      <c r="B490" s="614"/>
      <c r="C490" s="319"/>
      <c r="D490" s="614"/>
      <c r="E490" s="614"/>
      <c r="F490" s="614"/>
      <c r="G490" s="614"/>
      <c r="H490" s="614"/>
      <c r="I490" s="614"/>
      <c r="J490" s="614"/>
      <c r="K490" s="614"/>
      <c r="L490" s="614"/>
      <c r="M490" s="614"/>
      <c r="N490" s="614"/>
      <c r="O490" s="614"/>
      <c r="P490" s="614"/>
      <c r="Q490" s="614"/>
      <c r="R490" s="614"/>
      <c r="S490" s="614"/>
      <c r="T490" s="614"/>
      <c r="U490" s="614"/>
      <c r="V490" s="614"/>
      <c r="W490" s="614"/>
      <c r="X490" s="614"/>
      <c r="Y490" s="614"/>
      <c r="Z490" s="614"/>
      <c r="AA490" s="614"/>
      <c r="AB490" s="614"/>
      <c r="AC490" s="614"/>
    </row>
    <row r="491" spans="1:29" ht="12.75" customHeight="1">
      <c r="A491" s="319"/>
      <c r="B491" s="614"/>
      <c r="C491" s="319"/>
      <c r="D491" s="614"/>
      <c r="E491" s="614"/>
      <c r="F491" s="614"/>
      <c r="G491" s="614"/>
      <c r="H491" s="614"/>
      <c r="I491" s="614"/>
      <c r="J491" s="614"/>
      <c r="K491" s="614"/>
      <c r="L491" s="614"/>
      <c r="M491" s="614"/>
      <c r="N491" s="614"/>
      <c r="O491" s="614"/>
      <c r="P491" s="614"/>
      <c r="Q491" s="614"/>
      <c r="R491" s="614"/>
      <c r="S491" s="614"/>
      <c r="T491" s="614"/>
      <c r="U491" s="614"/>
      <c r="V491" s="614"/>
      <c r="W491" s="614"/>
      <c r="X491" s="614"/>
      <c r="Y491" s="614"/>
      <c r="Z491" s="614"/>
      <c r="AA491" s="614"/>
      <c r="AB491" s="614"/>
      <c r="AC491" s="614"/>
    </row>
    <row r="492" spans="1:29" ht="12.75" customHeight="1">
      <c r="A492" s="319"/>
      <c r="B492" s="614"/>
      <c r="C492" s="319"/>
      <c r="D492" s="614"/>
      <c r="E492" s="614"/>
      <c r="F492" s="614"/>
      <c r="G492" s="614"/>
      <c r="H492" s="614"/>
      <c r="I492" s="614"/>
      <c r="J492" s="614"/>
      <c r="K492" s="614"/>
      <c r="L492" s="614"/>
      <c r="M492" s="614"/>
      <c r="N492" s="614"/>
      <c r="O492" s="614"/>
      <c r="P492" s="614"/>
      <c r="Q492" s="614"/>
      <c r="R492" s="614"/>
      <c r="S492" s="614"/>
      <c r="T492" s="614"/>
      <c r="U492" s="614"/>
      <c r="V492" s="614"/>
      <c r="W492" s="614"/>
      <c r="X492" s="614"/>
      <c r="Y492" s="614"/>
      <c r="Z492" s="614"/>
      <c r="AA492" s="614"/>
      <c r="AB492" s="614"/>
      <c r="AC492" s="614"/>
    </row>
    <row r="493" spans="1:29" ht="12.75" customHeight="1">
      <c r="A493" s="319"/>
      <c r="B493" s="614"/>
      <c r="C493" s="319"/>
      <c r="D493" s="614"/>
      <c r="E493" s="614"/>
      <c r="F493" s="614"/>
      <c r="G493" s="614"/>
      <c r="H493" s="614"/>
      <c r="I493" s="614"/>
      <c r="J493" s="614"/>
      <c r="K493" s="614"/>
      <c r="L493" s="614"/>
      <c r="M493" s="614"/>
      <c r="N493" s="614"/>
      <c r="O493" s="614"/>
      <c r="P493" s="614"/>
      <c r="Q493" s="614"/>
      <c r="R493" s="614"/>
      <c r="S493" s="614"/>
      <c r="T493" s="614"/>
      <c r="U493" s="614"/>
      <c r="V493" s="614"/>
      <c r="W493" s="614"/>
      <c r="X493" s="614"/>
      <c r="Y493" s="614"/>
      <c r="Z493" s="614"/>
      <c r="AA493" s="614"/>
      <c r="AB493" s="614"/>
      <c r="AC493" s="614"/>
    </row>
    <row r="494" spans="1:29" ht="12.75" customHeight="1">
      <c r="A494" s="319"/>
      <c r="B494" s="614"/>
      <c r="C494" s="319"/>
      <c r="D494" s="614"/>
      <c r="E494" s="614"/>
      <c r="F494" s="614"/>
      <c r="G494" s="614"/>
      <c r="H494" s="614"/>
      <c r="I494" s="614"/>
      <c r="J494" s="614"/>
      <c r="K494" s="614"/>
      <c r="L494" s="614"/>
      <c r="M494" s="614"/>
      <c r="N494" s="614"/>
      <c r="O494" s="614"/>
      <c r="P494" s="614"/>
      <c r="Q494" s="614"/>
      <c r="R494" s="614"/>
      <c r="S494" s="614"/>
      <c r="T494" s="614"/>
      <c r="U494" s="614"/>
      <c r="V494" s="614"/>
      <c r="W494" s="614"/>
      <c r="X494" s="614"/>
      <c r="Y494" s="614"/>
      <c r="Z494" s="614"/>
      <c r="AA494" s="614"/>
      <c r="AB494" s="614"/>
      <c r="AC494" s="614"/>
    </row>
    <row r="495" spans="1:29" ht="12.75" customHeight="1">
      <c r="A495" s="319"/>
      <c r="B495" s="614"/>
      <c r="C495" s="319"/>
      <c r="D495" s="614"/>
      <c r="E495" s="614"/>
      <c r="F495" s="614"/>
      <c r="G495" s="614"/>
      <c r="H495" s="614"/>
      <c r="I495" s="614"/>
      <c r="J495" s="614"/>
      <c r="K495" s="614"/>
      <c r="L495" s="614"/>
      <c r="M495" s="614"/>
      <c r="N495" s="614"/>
      <c r="O495" s="614"/>
      <c r="P495" s="614"/>
      <c r="Q495" s="614"/>
      <c r="R495" s="614"/>
      <c r="S495" s="614"/>
      <c r="T495" s="614"/>
      <c r="U495" s="614"/>
      <c r="V495" s="614"/>
      <c r="W495" s="614"/>
      <c r="X495" s="614"/>
      <c r="Y495" s="614"/>
      <c r="Z495" s="614"/>
      <c r="AA495" s="614"/>
      <c r="AB495" s="614"/>
      <c r="AC495" s="614"/>
    </row>
    <row r="496" spans="1:29" ht="12.75" customHeight="1">
      <c r="A496" s="319"/>
      <c r="B496" s="614"/>
      <c r="C496" s="319"/>
      <c r="D496" s="614"/>
      <c r="E496" s="614"/>
      <c r="F496" s="614"/>
      <c r="G496" s="614"/>
      <c r="H496" s="614"/>
      <c r="I496" s="614"/>
      <c r="J496" s="614"/>
      <c r="K496" s="614"/>
      <c r="L496" s="614"/>
      <c r="M496" s="614"/>
      <c r="N496" s="614"/>
      <c r="O496" s="614"/>
      <c r="P496" s="614"/>
      <c r="Q496" s="614"/>
      <c r="R496" s="614"/>
      <c r="S496" s="614"/>
      <c r="T496" s="614"/>
      <c r="U496" s="614"/>
      <c r="V496" s="614"/>
      <c r="W496" s="614"/>
      <c r="X496" s="614"/>
      <c r="Y496" s="614"/>
      <c r="Z496" s="614"/>
      <c r="AA496" s="614"/>
      <c r="AB496" s="614"/>
      <c r="AC496" s="614"/>
    </row>
    <row r="497" spans="1:29" ht="12.75" customHeight="1">
      <c r="A497" s="319"/>
      <c r="B497" s="614"/>
      <c r="C497" s="319"/>
      <c r="D497" s="614"/>
      <c r="E497" s="614"/>
      <c r="F497" s="614"/>
      <c r="G497" s="614"/>
      <c r="H497" s="614"/>
      <c r="I497" s="614"/>
      <c r="J497" s="614"/>
      <c r="K497" s="614"/>
      <c r="L497" s="614"/>
      <c r="M497" s="614"/>
      <c r="N497" s="614"/>
      <c r="O497" s="614"/>
      <c r="P497" s="614"/>
      <c r="Q497" s="614"/>
      <c r="R497" s="614"/>
      <c r="S497" s="614"/>
      <c r="T497" s="614"/>
      <c r="U497" s="614"/>
      <c r="V497" s="614"/>
      <c r="W497" s="614"/>
      <c r="X497" s="614"/>
      <c r="Y497" s="614"/>
      <c r="Z497" s="614"/>
      <c r="AA497" s="614"/>
      <c r="AB497" s="614"/>
      <c r="AC497" s="614"/>
    </row>
    <row r="498" spans="1:29" ht="12.75" customHeight="1">
      <c r="A498" s="319"/>
      <c r="B498" s="614"/>
      <c r="C498" s="319"/>
      <c r="D498" s="614"/>
      <c r="E498" s="614"/>
      <c r="F498" s="614"/>
      <c r="G498" s="614"/>
      <c r="H498" s="614"/>
      <c r="I498" s="614"/>
      <c r="J498" s="614"/>
      <c r="K498" s="614"/>
      <c r="L498" s="614"/>
      <c r="M498" s="614"/>
      <c r="N498" s="614"/>
      <c r="O498" s="614"/>
      <c r="P498" s="614"/>
      <c r="Q498" s="614"/>
      <c r="R498" s="614"/>
      <c r="S498" s="614"/>
      <c r="T498" s="614"/>
      <c r="U498" s="614"/>
      <c r="V498" s="614"/>
      <c r="W498" s="614"/>
      <c r="X498" s="614"/>
      <c r="Y498" s="614"/>
      <c r="Z498" s="614"/>
      <c r="AA498" s="614"/>
      <c r="AB498" s="614"/>
      <c r="AC498" s="614"/>
    </row>
    <row r="499" spans="1:29" ht="12.75" customHeight="1">
      <c r="A499" s="319"/>
      <c r="B499" s="614"/>
      <c r="C499" s="319"/>
      <c r="D499" s="614"/>
      <c r="E499" s="614"/>
      <c r="F499" s="614"/>
      <c r="G499" s="614"/>
      <c r="H499" s="614"/>
      <c r="I499" s="614"/>
      <c r="J499" s="614"/>
      <c r="K499" s="614"/>
      <c r="L499" s="614"/>
      <c r="M499" s="614"/>
      <c r="N499" s="614"/>
      <c r="O499" s="614"/>
      <c r="P499" s="614"/>
      <c r="Q499" s="614"/>
      <c r="R499" s="614"/>
      <c r="S499" s="614"/>
      <c r="T499" s="614"/>
      <c r="U499" s="614"/>
      <c r="V499" s="614"/>
      <c r="W499" s="614"/>
      <c r="X499" s="614"/>
      <c r="Y499" s="614"/>
      <c r="Z499" s="614"/>
      <c r="AA499" s="614"/>
      <c r="AB499" s="614"/>
      <c r="AC499" s="614"/>
    </row>
    <row r="500" spans="1:29" ht="12.75" customHeight="1">
      <c r="A500" s="319"/>
      <c r="B500" s="614"/>
      <c r="C500" s="319"/>
      <c r="D500" s="614"/>
      <c r="E500" s="614"/>
      <c r="F500" s="614"/>
      <c r="G500" s="614"/>
      <c r="H500" s="614"/>
      <c r="I500" s="614"/>
      <c r="J500" s="614"/>
      <c r="K500" s="614"/>
      <c r="L500" s="614"/>
      <c r="M500" s="614"/>
      <c r="N500" s="614"/>
      <c r="O500" s="614"/>
      <c r="P500" s="614"/>
      <c r="Q500" s="614"/>
      <c r="R500" s="614"/>
      <c r="S500" s="614"/>
      <c r="T500" s="614"/>
      <c r="U500" s="614"/>
      <c r="V500" s="614"/>
      <c r="W500" s="614"/>
      <c r="X500" s="614"/>
      <c r="Y500" s="614"/>
      <c r="Z500" s="614"/>
      <c r="AA500" s="614"/>
      <c r="AB500" s="614"/>
      <c r="AC500" s="614"/>
    </row>
    <row r="501" spans="1:29" ht="12.75" customHeight="1">
      <c r="A501" s="319"/>
      <c r="B501" s="614"/>
      <c r="C501" s="319"/>
      <c r="D501" s="614"/>
      <c r="E501" s="614"/>
      <c r="F501" s="614"/>
      <c r="G501" s="614"/>
      <c r="H501" s="614"/>
      <c r="I501" s="614"/>
      <c r="J501" s="614"/>
      <c r="K501" s="614"/>
      <c r="L501" s="614"/>
      <c r="M501" s="614"/>
      <c r="N501" s="614"/>
      <c r="O501" s="614"/>
      <c r="P501" s="614"/>
      <c r="Q501" s="614"/>
      <c r="R501" s="614"/>
      <c r="S501" s="614"/>
      <c r="T501" s="614"/>
      <c r="U501" s="614"/>
      <c r="V501" s="614"/>
      <c r="W501" s="614"/>
      <c r="X501" s="614"/>
      <c r="Y501" s="614"/>
      <c r="Z501" s="614"/>
      <c r="AA501" s="614"/>
      <c r="AB501" s="614"/>
      <c r="AC501" s="614"/>
    </row>
    <row r="502" spans="1:29" ht="12.75" customHeight="1">
      <c r="A502" s="319"/>
      <c r="B502" s="614"/>
      <c r="C502" s="319"/>
      <c r="D502" s="614"/>
      <c r="E502" s="614"/>
      <c r="F502" s="614"/>
      <c r="G502" s="614"/>
      <c r="H502" s="614"/>
      <c r="I502" s="614"/>
      <c r="J502" s="614"/>
      <c r="K502" s="614"/>
      <c r="L502" s="614"/>
      <c r="M502" s="614"/>
      <c r="N502" s="614"/>
      <c r="O502" s="614"/>
      <c r="P502" s="614"/>
      <c r="Q502" s="614"/>
      <c r="R502" s="614"/>
      <c r="S502" s="614"/>
      <c r="T502" s="614"/>
      <c r="U502" s="614"/>
      <c r="V502" s="614"/>
      <c r="W502" s="614"/>
      <c r="X502" s="614"/>
      <c r="Y502" s="614"/>
      <c r="Z502" s="614"/>
      <c r="AA502" s="614"/>
      <c r="AB502" s="614"/>
      <c r="AC502" s="614"/>
    </row>
    <row r="503" spans="1:29" ht="12.75" customHeight="1">
      <c r="A503" s="319"/>
      <c r="B503" s="614"/>
      <c r="C503" s="319"/>
      <c r="D503" s="614"/>
      <c r="E503" s="614"/>
      <c r="F503" s="614"/>
      <c r="G503" s="614"/>
      <c r="H503" s="614"/>
      <c r="I503" s="614"/>
      <c r="J503" s="614"/>
      <c r="K503" s="614"/>
      <c r="L503" s="614"/>
      <c r="M503" s="614"/>
      <c r="N503" s="614"/>
      <c r="O503" s="614"/>
      <c r="P503" s="614"/>
      <c r="Q503" s="614"/>
      <c r="R503" s="614"/>
      <c r="S503" s="614"/>
      <c r="T503" s="614"/>
      <c r="U503" s="614"/>
      <c r="V503" s="614"/>
      <c r="W503" s="614"/>
      <c r="X503" s="614"/>
      <c r="Y503" s="614"/>
      <c r="Z503" s="614"/>
      <c r="AA503" s="614"/>
      <c r="AB503" s="614"/>
      <c r="AC503" s="614"/>
    </row>
    <row r="504" spans="1:29" ht="12.75" customHeight="1">
      <c r="A504" s="319"/>
      <c r="B504" s="614"/>
      <c r="C504" s="319"/>
      <c r="D504" s="614"/>
      <c r="E504" s="614"/>
      <c r="F504" s="614"/>
      <c r="G504" s="614"/>
      <c r="H504" s="614"/>
      <c r="I504" s="614"/>
      <c r="J504" s="614"/>
      <c r="K504" s="614"/>
      <c r="L504" s="614"/>
      <c r="M504" s="614"/>
      <c r="N504" s="614"/>
      <c r="O504" s="614"/>
      <c r="P504" s="614"/>
      <c r="Q504" s="614"/>
      <c r="R504" s="614"/>
      <c r="S504" s="614"/>
      <c r="T504" s="614"/>
      <c r="U504" s="614"/>
      <c r="V504" s="614"/>
      <c r="W504" s="614"/>
      <c r="X504" s="614"/>
      <c r="Y504" s="614"/>
      <c r="Z504" s="614"/>
      <c r="AA504" s="614"/>
      <c r="AB504" s="614"/>
      <c r="AC504" s="614"/>
    </row>
    <row r="505" spans="1:29" ht="12.75" customHeight="1">
      <c r="A505" s="319"/>
      <c r="B505" s="614"/>
      <c r="C505" s="319"/>
      <c r="D505" s="614"/>
      <c r="E505" s="614"/>
      <c r="F505" s="614"/>
      <c r="G505" s="614"/>
      <c r="H505" s="614"/>
      <c r="I505" s="614"/>
      <c r="J505" s="614"/>
      <c r="K505" s="614"/>
      <c r="L505" s="614"/>
      <c r="M505" s="614"/>
      <c r="N505" s="614"/>
      <c r="O505" s="614"/>
      <c r="P505" s="614"/>
      <c r="Q505" s="614"/>
      <c r="R505" s="614"/>
      <c r="S505" s="614"/>
      <c r="T505" s="614"/>
      <c r="U505" s="614"/>
      <c r="V505" s="614"/>
      <c r="W505" s="614"/>
      <c r="X505" s="614"/>
      <c r="Y505" s="614"/>
      <c r="Z505" s="614"/>
      <c r="AA505" s="614"/>
      <c r="AB505" s="614"/>
      <c r="AC505" s="614"/>
    </row>
    <row r="506" spans="1:29" ht="12.75" customHeight="1">
      <c r="A506" s="319"/>
      <c r="B506" s="614"/>
      <c r="C506" s="319"/>
      <c r="D506" s="614"/>
      <c r="E506" s="614"/>
      <c r="F506" s="614"/>
      <c r="G506" s="614"/>
      <c r="H506" s="614"/>
      <c r="I506" s="614"/>
      <c r="J506" s="614"/>
      <c r="K506" s="614"/>
      <c r="L506" s="614"/>
      <c r="M506" s="614"/>
      <c r="N506" s="614"/>
      <c r="O506" s="614"/>
      <c r="P506" s="614"/>
      <c r="Q506" s="614"/>
      <c r="R506" s="614"/>
      <c r="S506" s="614"/>
      <c r="T506" s="614"/>
      <c r="U506" s="614"/>
      <c r="V506" s="614"/>
      <c r="W506" s="614"/>
      <c r="X506" s="614"/>
      <c r="Y506" s="614"/>
      <c r="Z506" s="614"/>
      <c r="AA506" s="614"/>
      <c r="AB506" s="614"/>
      <c r="AC506" s="614"/>
    </row>
    <row r="507" spans="1:29" ht="12.75" customHeight="1">
      <c r="A507" s="319"/>
      <c r="B507" s="614"/>
      <c r="C507" s="319"/>
      <c r="D507" s="614"/>
      <c r="E507" s="614"/>
      <c r="F507" s="614"/>
      <c r="G507" s="614"/>
      <c r="H507" s="614"/>
      <c r="I507" s="614"/>
      <c r="J507" s="614"/>
      <c r="K507" s="614"/>
      <c r="L507" s="614"/>
      <c r="M507" s="614"/>
      <c r="N507" s="614"/>
      <c r="O507" s="614"/>
      <c r="P507" s="614"/>
      <c r="Q507" s="614"/>
      <c r="R507" s="614"/>
      <c r="S507" s="614"/>
      <c r="T507" s="614"/>
      <c r="U507" s="614"/>
      <c r="V507" s="614"/>
      <c r="W507" s="614"/>
      <c r="X507" s="614"/>
      <c r="Y507" s="614"/>
      <c r="Z507" s="614"/>
      <c r="AA507" s="614"/>
      <c r="AB507" s="614"/>
      <c r="AC507" s="614"/>
    </row>
    <row r="508" spans="1:29" ht="12.75" customHeight="1">
      <c r="A508" s="319"/>
      <c r="B508" s="614"/>
      <c r="C508" s="319"/>
      <c r="D508" s="614"/>
      <c r="E508" s="614"/>
      <c r="F508" s="614"/>
      <c r="G508" s="614"/>
      <c r="H508" s="614"/>
      <c r="I508" s="614"/>
      <c r="J508" s="614"/>
      <c r="K508" s="614"/>
      <c r="L508" s="614"/>
      <c r="M508" s="614"/>
      <c r="N508" s="614"/>
      <c r="O508" s="614"/>
      <c r="P508" s="614"/>
      <c r="Q508" s="614"/>
      <c r="R508" s="614"/>
      <c r="S508" s="614"/>
      <c r="T508" s="614"/>
      <c r="U508" s="614"/>
      <c r="V508" s="614"/>
      <c r="W508" s="614"/>
      <c r="X508" s="614"/>
      <c r="Y508" s="614"/>
      <c r="Z508" s="614"/>
      <c r="AA508" s="614"/>
      <c r="AB508" s="614"/>
      <c r="AC508" s="614"/>
    </row>
    <row r="509" spans="1:29" ht="12.75" customHeight="1">
      <c r="A509" s="319"/>
      <c r="B509" s="614"/>
      <c r="C509" s="319"/>
      <c r="D509" s="614"/>
      <c r="E509" s="614"/>
      <c r="F509" s="614"/>
      <c r="G509" s="614"/>
      <c r="H509" s="614"/>
      <c r="I509" s="614"/>
      <c r="J509" s="614"/>
      <c r="K509" s="614"/>
      <c r="L509" s="614"/>
      <c r="M509" s="614"/>
      <c r="N509" s="614"/>
      <c r="O509" s="614"/>
      <c r="P509" s="614"/>
      <c r="Q509" s="614"/>
      <c r="R509" s="614"/>
      <c r="S509" s="614"/>
      <c r="T509" s="614"/>
      <c r="U509" s="614"/>
      <c r="V509" s="614"/>
      <c r="W509" s="614"/>
      <c r="X509" s="614"/>
      <c r="Y509" s="614"/>
      <c r="Z509" s="614"/>
      <c r="AA509" s="614"/>
      <c r="AB509" s="614"/>
      <c r="AC509" s="614"/>
    </row>
    <row r="510" spans="1:29" ht="12.75" customHeight="1">
      <c r="A510" s="319"/>
      <c r="B510" s="614"/>
      <c r="C510" s="319"/>
      <c r="D510" s="614"/>
      <c r="E510" s="614"/>
      <c r="F510" s="614"/>
      <c r="G510" s="614"/>
      <c r="H510" s="614"/>
      <c r="I510" s="614"/>
      <c r="J510" s="614"/>
      <c r="K510" s="614"/>
      <c r="L510" s="614"/>
      <c r="M510" s="614"/>
      <c r="N510" s="614"/>
      <c r="O510" s="614"/>
      <c r="P510" s="614"/>
      <c r="Q510" s="614"/>
      <c r="R510" s="614"/>
      <c r="S510" s="614"/>
      <c r="T510" s="614"/>
      <c r="U510" s="614"/>
      <c r="V510" s="614"/>
      <c r="W510" s="614"/>
      <c r="X510" s="614"/>
      <c r="Y510" s="614"/>
      <c r="Z510" s="614"/>
      <c r="AA510" s="614"/>
      <c r="AB510" s="614"/>
      <c r="AC510" s="614"/>
    </row>
    <row r="511" spans="1:29" ht="12.75" customHeight="1">
      <c r="A511" s="319"/>
      <c r="B511" s="614"/>
      <c r="C511" s="319"/>
      <c r="D511" s="614"/>
      <c r="E511" s="614"/>
      <c r="F511" s="614"/>
      <c r="G511" s="614"/>
      <c r="H511" s="614"/>
      <c r="I511" s="614"/>
      <c r="J511" s="614"/>
      <c r="K511" s="614"/>
      <c r="L511" s="614"/>
      <c r="M511" s="614"/>
      <c r="N511" s="614"/>
      <c r="O511" s="614"/>
      <c r="P511" s="614"/>
      <c r="Q511" s="614"/>
      <c r="R511" s="614"/>
      <c r="S511" s="614"/>
      <c r="T511" s="614"/>
      <c r="U511" s="614"/>
      <c r="V511" s="614"/>
      <c r="W511" s="614"/>
      <c r="X511" s="614"/>
      <c r="Y511" s="614"/>
      <c r="Z511" s="614"/>
      <c r="AA511" s="614"/>
      <c r="AB511" s="614"/>
      <c r="AC511" s="614"/>
    </row>
    <row r="512" spans="1:29" ht="12.75" customHeight="1">
      <c r="A512" s="319"/>
      <c r="B512" s="614"/>
      <c r="C512" s="319"/>
      <c r="D512" s="614"/>
      <c r="E512" s="614"/>
      <c r="F512" s="614"/>
      <c r="G512" s="614"/>
      <c r="H512" s="614"/>
      <c r="I512" s="614"/>
      <c r="J512" s="614"/>
      <c r="K512" s="614"/>
      <c r="L512" s="614"/>
      <c r="M512" s="614"/>
      <c r="N512" s="614"/>
      <c r="O512" s="614"/>
      <c r="P512" s="614"/>
      <c r="Q512" s="614"/>
      <c r="R512" s="614"/>
      <c r="S512" s="614"/>
      <c r="T512" s="614"/>
      <c r="U512" s="614"/>
      <c r="V512" s="614"/>
      <c r="W512" s="614"/>
      <c r="X512" s="614"/>
      <c r="Y512" s="614"/>
      <c r="Z512" s="614"/>
      <c r="AA512" s="614"/>
      <c r="AB512" s="614"/>
      <c r="AC512" s="614"/>
    </row>
    <row r="513" spans="1:29" ht="12.75" customHeight="1">
      <c r="A513" s="319"/>
      <c r="B513" s="614"/>
      <c r="C513" s="319"/>
      <c r="D513" s="614"/>
      <c r="E513" s="614"/>
      <c r="F513" s="614"/>
      <c r="G513" s="614"/>
      <c r="H513" s="614"/>
      <c r="I513" s="614"/>
      <c r="J513" s="614"/>
      <c r="K513" s="614"/>
      <c r="L513" s="614"/>
      <c r="M513" s="614"/>
      <c r="N513" s="614"/>
      <c r="O513" s="614"/>
      <c r="P513" s="614"/>
      <c r="Q513" s="614"/>
      <c r="R513" s="614"/>
      <c r="S513" s="614"/>
      <c r="T513" s="614"/>
      <c r="U513" s="614"/>
      <c r="V513" s="614"/>
      <c r="W513" s="614"/>
      <c r="X513" s="614"/>
      <c r="Y513" s="614"/>
      <c r="Z513" s="614"/>
      <c r="AA513" s="614"/>
      <c r="AB513" s="614"/>
      <c r="AC513" s="614"/>
    </row>
    <row r="514" spans="1:29" ht="12.75" customHeight="1">
      <c r="A514" s="319"/>
      <c r="B514" s="614"/>
      <c r="C514" s="319"/>
      <c r="D514" s="614"/>
      <c r="E514" s="614"/>
      <c r="F514" s="614"/>
      <c r="G514" s="614"/>
      <c r="H514" s="614"/>
      <c r="I514" s="614"/>
      <c r="J514" s="614"/>
      <c r="K514" s="614"/>
      <c r="L514" s="614"/>
      <c r="M514" s="614"/>
      <c r="N514" s="614"/>
      <c r="O514" s="614"/>
      <c r="P514" s="614"/>
      <c r="Q514" s="614"/>
      <c r="R514" s="614"/>
      <c r="S514" s="614"/>
      <c r="T514" s="614"/>
      <c r="U514" s="614"/>
      <c r="V514" s="614"/>
      <c r="W514" s="614"/>
      <c r="X514" s="614"/>
      <c r="Y514" s="614"/>
      <c r="Z514" s="614"/>
      <c r="AA514" s="614"/>
      <c r="AB514" s="614"/>
      <c r="AC514" s="614"/>
    </row>
    <row r="515" spans="1:29" ht="12.75" customHeight="1">
      <c r="A515" s="319"/>
      <c r="B515" s="614"/>
      <c r="C515" s="319"/>
      <c r="D515" s="614"/>
      <c r="E515" s="614"/>
      <c r="F515" s="614"/>
      <c r="G515" s="614"/>
      <c r="H515" s="614"/>
      <c r="I515" s="614"/>
      <c r="J515" s="614"/>
      <c r="K515" s="614"/>
      <c r="L515" s="614"/>
      <c r="M515" s="614"/>
      <c r="N515" s="614"/>
      <c r="O515" s="614"/>
      <c r="P515" s="614"/>
      <c r="Q515" s="614"/>
      <c r="R515" s="614"/>
      <c r="S515" s="614"/>
      <c r="T515" s="614"/>
      <c r="U515" s="614"/>
      <c r="V515" s="614"/>
      <c r="W515" s="614"/>
      <c r="X515" s="614"/>
      <c r="Y515" s="614"/>
      <c r="Z515" s="614"/>
      <c r="AA515" s="614"/>
      <c r="AB515" s="614"/>
      <c r="AC515" s="614"/>
    </row>
    <row r="516" spans="1:29" ht="12.75" customHeight="1">
      <c r="A516" s="319"/>
      <c r="B516" s="614"/>
      <c r="C516" s="319"/>
      <c r="D516" s="614"/>
      <c r="E516" s="614"/>
      <c r="F516" s="614"/>
      <c r="G516" s="614"/>
      <c r="H516" s="614"/>
      <c r="I516" s="614"/>
      <c r="J516" s="614"/>
      <c r="K516" s="614"/>
      <c r="L516" s="614"/>
      <c r="M516" s="614"/>
      <c r="N516" s="614"/>
      <c r="O516" s="614"/>
      <c r="P516" s="614"/>
      <c r="Q516" s="614"/>
      <c r="R516" s="614"/>
      <c r="S516" s="614"/>
      <c r="T516" s="614"/>
      <c r="U516" s="614"/>
      <c r="V516" s="614"/>
      <c r="W516" s="614"/>
      <c r="X516" s="614"/>
      <c r="Y516" s="614"/>
      <c r="Z516" s="614"/>
      <c r="AA516" s="614"/>
      <c r="AB516" s="614"/>
      <c r="AC516" s="614"/>
    </row>
    <row r="517" spans="1:29" ht="12.75" customHeight="1">
      <c r="A517" s="319"/>
      <c r="B517" s="614"/>
      <c r="C517" s="319"/>
      <c r="D517" s="614"/>
      <c r="E517" s="614"/>
      <c r="F517" s="614"/>
      <c r="G517" s="614"/>
      <c r="H517" s="614"/>
      <c r="I517" s="614"/>
      <c r="J517" s="614"/>
      <c r="K517" s="614"/>
      <c r="L517" s="614"/>
      <c r="M517" s="614"/>
      <c r="N517" s="614"/>
      <c r="O517" s="614"/>
      <c r="P517" s="614"/>
      <c r="Q517" s="614"/>
      <c r="R517" s="614"/>
      <c r="S517" s="614"/>
      <c r="T517" s="614"/>
      <c r="U517" s="614"/>
      <c r="V517" s="614"/>
      <c r="W517" s="614"/>
      <c r="X517" s="614"/>
      <c r="Y517" s="614"/>
      <c r="Z517" s="614"/>
      <c r="AA517" s="614"/>
      <c r="AB517" s="614"/>
      <c r="AC517" s="614"/>
    </row>
    <row r="518" spans="1:29" ht="12.75" customHeight="1">
      <c r="A518" s="319"/>
      <c r="B518" s="614"/>
      <c r="C518" s="319"/>
      <c r="D518" s="614"/>
      <c r="E518" s="614"/>
      <c r="F518" s="614"/>
      <c r="G518" s="614"/>
      <c r="H518" s="614"/>
      <c r="I518" s="614"/>
      <c r="J518" s="614"/>
      <c r="K518" s="614"/>
      <c r="L518" s="614"/>
      <c r="M518" s="614"/>
      <c r="N518" s="614"/>
      <c r="O518" s="614"/>
      <c r="P518" s="614"/>
      <c r="Q518" s="614"/>
      <c r="R518" s="614"/>
      <c r="S518" s="614"/>
      <c r="T518" s="614"/>
      <c r="U518" s="614"/>
      <c r="V518" s="614"/>
      <c r="W518" s="614"/>
      <c r="X518" s="614"/>
      <c r="Y518" s="614"/>
      <c r="Z518" s="614"/>
      <c r="AA518" s="614"/>
      <c r="AB518" s="614"/>
      <c r="AC518" s="614"/>
    </row>
    <row r="519" spans="1:29" ht="12.75" customHeight="1">
      <c r="A519" s="319"/>
      <c r="B519" s="614"/>
      <c r="C519" s="319"/>
      <c r="D519" s="614"/>
      <c r="E519" s="614"/>
      <c r="F519" s="614"/>
      <c r="G519" s="614"/>
      <c r="H519" s="614"/>
      <c r="I519" s="614"/>
      <c r="J519" s="614"/>
      <c r="K519" s="614"/>
      <c r="L519" s="614"/>
      <c r="M519" s="614"/>
      <c r="N519" s="614"/>
      <c r="O519" s="614"/>
      <c r="P519" s="614"/>
      <c r="Q519" s="614"/>
      <c r="R519" s="614"/>
      <c r="S519" s="614"/>
      <c r="T519" s="614"/>
      <c r="U519" s="614"/>
      <c r="V519" s="614"/>
      <c r="W519" s="614"/>
      <c r="X519" s="614"/>
      <c r="Y519" s="614"/>
      <c r="Z519" s="614"/>
      <c r="AA519" s="614"/>
      <c r="AB519" s="614"/>
      <c r="AC519" s="614"/>
    </row>
    <row r="520" spans="1:29" ht="12.75" customHeight="1">
      <c r="A520" s="319"/>
      <c r="B520" s="614"/>
      <c r="C520" s="319"/>
      <c r="D520" s="614"/>
      <c r="E520" s="614"/>
      <c r="F520" s="614"/>
      <c r="G520" s="614"/>
      <c r="H520" s="614"/>
      <c r="I520" s="614"/>
      <c r="J520" s="614"/>
      <c r="K520" s="614"/>
      <c r="L520" s="614"/>
      <c r="M520" s="614"/>
      <c r="N520" s="614"/>
      <c r="O520" s="614"/>
      <c r="P520" s="614"/>
      <c r="Q520" s="614"/>
      <c r="R520" s="614"/>
      <c r="S520" s="614"/>
      <c r="T520" s="614"/>
      <c r="U520" s="614"/>
      <c r="V520" s="614"/>
      <c r="W520" s="614"/>
      <c r="X520" s="614"/>
      <c r="Y520" s="614"/>
      <c r="Z520" s="614"/>
      <c r="AA520" s="614"/>
      <c r="AB520" s="614"/>
      <c r="AC520" s="614"/>
    </row>
    <row r="521" spans="1:29" ht="12.75" customHeight="1">
      <c r="A521" s="319"/>
      <c r="B521" s="614"/>
      <c r="C521" s="319"/>
      <c r="D521" s="614"/>
      <c r="E521" s="614"/>
      <c r="F521" s="614"/>
      <c r="G521" s="614"/>
      <c r="H521" s="614"/>
      <c r="I521" s="614"/>
      <c r="J521" s="614"/>
      <c r="K521" s="614"/>
      <c r="L521" s="614"/>
      <c r="M521" s="614"/>
      <c r="N521" s="614"/>
      <c r="O521" s="614"/>
      <c r="P521" s="614"/>
      <c r="Q521" s="614"/>
      <c r="R521" s="614"/>
      <c r="S521" s="614"/>
      <c r="T521" s="614"/>
      <c r="U521" s="614"/>
      <c r="V521" s="614"/>
      <c r="W521" s="614"/>
      <c r="X521" s="614"/>
      <c r="Y521" s="614"/>
      <c r="Z521" s="614"/>
      <c r="AA521" s="614"/>
      <c r="AB521" s="614"/>
      <c r="AC521" s="614"/>
    </row>
    <row r="522" spans="1:29" ht="12.75" customHeight="1">
      <c r="A522" s="319"/>
      <c r="B522" s="614"/>
      <c r="C522" s="319"/>
      <c r="D522" s="614"/>
      <c r="E522" s="614"/>
      <c r="F522" s="614"/>
      <c r="G522" s="614"/>
      <c r="H522" s="614"/>
      <c r="I522" s="614"/>
      <c r="J522" s="614"/>
      <c r="K522" s="614"/>
      <c r="L522" s="614"/>
      <c r="M522" s="614"/>
      <c r="N522" s="614"/>
      <c r="O522" s="614"/>
      <c r="P522" s="614"/>
      <c r="Q522" s="614"/>
      <c r="R522" s="614"/>
      <c r="S522" s="614"/>
      <c r="T522" s="614"/>
      <c r="U522" s="614"/>
      <c r="V522" s="614"/>
      <c r="W522" s="614"/>
      <c r="X522" s="614"/>
      <c r="Y522" s="614"/>
      <c r="Z522" s="614"/>
      <c r="AA522" s="614"/>
      <c r="AB522" s="614"/>
      <c r="AC522" s="614"/>
    </row>
    <row r="523" spans="1:29" ht="12.75" customHeight="1">
      <c r="A523" s="319"/>
      <c r="B523" s="614"/>
      <c r="C523" s="319"/>
      <c r="D523" s="614"/>
      <c r="E523" s="614"/>
      <c r="F523" s="614"/>
      <c r="G523" s="614"/>
      <c r="H523" s="614"/>
      <c r="I523" s="614"/>
      <c r="J523" s="614"/>
      <c r="K523" s="614"/>
      <c r="L523" s="614"/>
      <c r="M523" s="614"/>
      <c r="N523" s="614"/>
      <c r="O523" s="614"/>
      <c r="P523" s="614"/>
      <c r="Q523" s="614"/>
      <c r="R523" s="614"/>
      <c r="S523" s="614"/>
      <c r="T523" s="614"/>
      <c r="U523" s="614"/>
      <c r="V523" s="614"/>
      <c r="W523" s="614"/>
      <c r="X523" s="614"/>
      <c r="Y523" s="614"/>
      <c r="Z523" s="614"/>
      <c r="AA523" s="614"/>
      <c r="AB523" s="614"/>
      <c r="AC523" s="614"/>
    </row>
    <row r="524" spans="1:29" ht="12.75" customHeight="1">
      <c r="A524" s="319"/>
      <c r="B524" s="614"/>
      <c r="C524" s="319"/>
      <c r="D524" s="614"/>
      <c r="E524" s="614"/>
      <c r="F524" s="614"/>
      <c r="G524" s="614"/>
      <c r="H524" s="614"/>
      <c r="I524" s="614"/>
      <c r="J524" s="614"/>
      <c r="K524" s="614"/>
      <c r="L524" s="614"/>
      <c r="M524" s="614"/>
      <c r="N524" s="614"/>
      <c r="O524" s="614"/>
      <c r="P524" s="614"/>
      <c r="Q524" s="614"/>
      <c r="R524" s="614"/>
      <c r="S524" s="614"/>
      <c r="T524" s="614"/>
      <c r="U524" s="614"/>
      <c r="V524" s="614"/>
      <c r="W524" s="614"/>
      <c r="X524" s="614"/>
      <c r="Y524" s="614"/>
      <c r="Z524" s="614"/>
      <c r="AA524" s="614"/>
      <c r="AB524" s="614"/>
      <c r="AC524" s="614"/>
    </row>
    <row r="525" spans="1:29" ht="12.75" customHeight="1">
      <c r="A525" s="319"/>
      <c r="B525" s="614"/>
      <c r="C525" s="319"/>
      <c r="D525" s="614"/>
      <c r="E525" s="614"/>
      <c r="F525" s="614"/>
      <c r="G525" s="614"/>
      <c r="H525" s="614"/>
      <c r="I525" s="614"/>
      <c r="J525" s="614"/>
      <c r="K525" s="614"/>
      <c r="L525" s="614"/>
      <c r="M525" s="614"/>
      <c r="N525" s="614"/>
      <c r="O525" s="614"/>
      <c r="P525" s="614"/>
      <c r="Q525" s="614"/>
      <c r="R525" s="614"/>
      <c r="S525" s="614"/>
      <c r="T525" s="614"/>
      <c r="U525" s="614"/>
      <c r="V525" s="614"/>
      <c r="W525" s="614"/>
      <c r="X525" s="614"/>
      <c r="Y525" s="614"/>
      <c r="Z525" s="614"/>
      <c r="AA525" s="614"/>
      <c r="AB525" s="614"/>
      <c r="AC525" s="614"/>
    </row>
    <row r="526" spans="1:29" ht="12.75" customHeight="1">
      <c r="A526" s="319"/>
      <c r="B526" s="614"/>
      <c r="C526" s="319"/>
      <c r="D526" s="614"/>
      <c r="E526" s="614"/>
      <c r="F526" s="614"/>
      <c r="G526" s="614"/>
      <c r="H526" s="614"/>
      <c r="I526" s="614"/>
      <c r="J526" s="614"/>
      <c r="K526" s="614"/>
      <c r="L526" s="614"/>
      <c r="M526" s="614"/>
      <c r="N526" s="614"/>
      <c r="O526" s="614"/>
      <c r="P526" s="614"/>
      <c r="Q526" s="614"/>
      <c r="R526" s="614"/>
      <c r="S526" s="614"/>
      <c r="T526" s="614"/>
      <c r="U526" s="614"/>
      <c r="V526" s="614"/>
      <c r="W526" s="614"/>
      <c r="X526" s="614"/>
      <c r="Y526" s="614"/>
      <c r="Z526" s="614"/>
      <c r="AA526" s="614"/>
      <c r="AB526" s="614"/>
      <c r="AC526" s="614"/>
    </row>
    <row r="527" spans="1:29" ht="12.75" customHeight="1">
      <c r="A527" s="319"/>
      <c r="B527" s="614"/>
      <c r="C527" s="319"/>
      <c r="D527" s="614"/>
      <c r="E527" s="614"/>
      <c r="F527" s="614"/>
      <c r="G527" s="614"/>
      <c r="H527" s="614"/>
      <c r="I527" s="614"/>
      <c r="J527" s="614"/>
      <c r="K527" s="614"/>
      <c r="L527" s="614"/>
      <c r="M527" s="614"/>
      <c r="N527" s="614"/>
      <c r="O527" s="614"/>
      <c r="P527" s="614"/>
      <c r="Q527" s="614"/>
      <c r="R527" s="614"/>
      <c r="S527" s="614"/>
      <c r="T527" s="614"/>
      <c r="U527" s="614"/>
      <c r="V527" s="614"/>
      <c r="W527" s="614"/>
      <c r="X527" s="614"/>
      <c r="Y527" s="614"/>
      <c r="Z527" s="614"/>
      <c r="AA527" s="614"/>
      <c r="AB527" s="614"/>
      <c r="AC527" s="614"/>
    </row>
    <row r="528" spans="1:29" ht="12.75" customHeight="1">
      <c r="A528" s="319"/>
      <c r="B528" s="614"/>
      <c r="C528" s="319"/>
      <c r="D528" s="614"/>
      <c r="E528" s="614"/>
      <c r="F528" s="614"/>
      <c r="G528" s="614"/>
      <c r="H528" s="614"/>
      <c r="I528" s="614"/>
      <c r="J528" s="614"/>
      <c r="K528" s="614"/>
      <c r="L528" s="614"/>
      <c r="M528" s="614"/>
      <c r="N528" s="614"/>
      <c r="O528" s="614"/>
      <c r="P528" s="614"/>
      <c r="Q528" s="614"/>
      <c r="R528" s="614"/>
      <c r="S528" s="614"/>
      <c r="T528" s="614"/>
      <c r="U528" s="614"/>
      <c r="V528" s="614"/>
      <c r="W528" s="614"/>
      <c r="X528" s="614"/>
      <c r="Y528" s="614"/>
      <c r="Z528" s="614"/>
      <c r="AA528" s="614"/>
      <c r="AB528" s="614"/>
      <c r="AC528" s="614"/>
    </row>
    <row r="529" spans="1:29" ht="12.75" customHeight="1">
      <c r="A529" s="319"/>
      <c r="B529" s="614"/>
      <c r="C529" s="319"/>
      <c r="D529" s="614"/>
      <c r="E529" s="614"/>
      <c r="F529" s="614"/>
      <c r="G529" s="614"/>
      <c r="H529" s="614"/>
      <c r="I529" s="614"/>
      <c r="J529" s="614"/>
      <c r="K529" s="614"/>
      <c r="L529" s="614"/>
      <c r="M529" s="614"/>
      <c r="N529" s="614"/>
      <c r="O529" s="614"/>
      <c r="P529" s="614"/>
      <c r="Q529" s="614"/>
      <c r="R529" s="614"/>
      <c r="S529" s="614"/>
      <c r="T529" s="614"/>
      <c r="U529" s="614"/>
      <c r="V529" s="614"/>
      <c r="W529" s="614"/>
      <c r="X529" s="614"/>
      <c r="Y529" s="614"/>
      <c r="Z529" s="614"/>
      <c r="AA529" s="614"/>
      <c r="AB529" s="614"/>
      <c r="AC529" s="614"/>
    </row>
    <row r="530" spans="1:29" ht="12.75" customHeight="1">
      <c r="A530" s="319"/>
      <c r="B530" s="614"/>
      <c r="C530" s="319"/>
      <c r="D530" s="614"/>
      <c r="E530" s="614"/>
      <c r="F530" s="614"/>
      <c r="G530" s="614"/>
      <c r="H530" s="614"/>
      <c r="I530" s="614"/>
      <c r="J530" s="614"/>
      <c r="K530" s="614"/>
      <c r="L530" s="614"/>
      <c r="M530" s="614"/>
      <c r="N530" s="614"/>
      <c r="O530" s="614"/>
      <c r="P530" s="614"/>
      <c r="Q530" s="614"/>
      <c r="R530" s="614"/>
      <c r="S530" s="614"/>
      <c r="T530" s="614"/>
      <c r="U530" s="614"/>
      <c r="V530" s="614"/>
      <c r="W530" s="614"/>
      <c r="X530" s="614"/>
      <c r="Y530" s="614"/>
      <c r="Z530" s="614"/>
      <c r="AA530" s="614"/>
      <c r="AB530" s="614"/>
      <c r="AC530" s="614"/>
    </row>
    <row r="531" spans="1:29" ht="12.75" customHeight="1">
      <c r="A531" s="319"/>
      <c r="B531" s="614"/>
      <c r="C531" s="319"/>
      <c r="D531" s="614"/>
      <c r="E531" s="614"/>
      <c r="F531" s="614"/>
      <c r="G531" s="614"/>
      <c r="H531" s="614"/>
      <c r="I531" s="614"/>
      <c r="J531" s="614"/>
      <c r="K531" s="614"/>
      <c r="L531" s="614"/>
      <c r="M531" s="614"/>
      <c r="N531" s="614"/>
      <c r="O531" s="614"/>
      <c r="P531" s="614"/>
      <c r="Q531" s="614"/>
      <c r="R531" s="614"/>
      <c r="S531" s="614"/>
      <c r="T531" s="614"/>
      <c r="U531" s="614"/>
      <c r="V531" s="614"/>
      <c r="W531" s="614"/>
      <c r="X531" s="614"/>
      <c r="Y531" s="614"/>
      <c r="Z531" s="614"/>
      <c r="AA531" s="614"/>
      <c r="AB531" s="614"/>
      <c r="AC531" s="614"/>
    </row>
    <row r="532" spans="1:29" ht="12.75" customHeight="1">
      <c r="A532" s="319"/>
      <c r="B532" s="614"/>
      <c r="C532" s="319"/>
      <c r="D532" s="614"/>
      <c r="E532" s="614"/>
      <c r="F532" s="614"/>
      <c r="G532" s="614"/>
      <c r="H532" s="614"/>
      <c r="I532" s="614"/>
      <c r="J532" s="614"/>
      <c r="K532" s="614"/>
      <c r="L532" s="614"/>
      <c r="M532" s="614"/>
      <c r="N532" s="614"/>
      <c r="O532" s="614"/>
      <c r="P532" s="614"/>
      <c r="Q532" s="614"/>
      <c r="R532" s="614"/>
      <c r="S532" s="614"/>
      <c r="T532" s="614"/>
      <c r="U532" s="614"/>
      <c r="V532" s="614"/>
      <c r="W532" s="614"/>
      <c r="X532" s="614"/>
      <c r="Y532" s="614"/>
      <c r="Z532" s="614"/>
      <c r="AA532" s="614"/>
      <c r="AB532" s="614"/>
      <c r="AC532" s="614"/>
    </row>
    <row r="533" spans="1:29" ht="12.75" customHeight="1">
      <c r="A533" s="319"/>
      <c r="B533" s="614"/>
      <c r="C533" s="319"/>
      <c r="D533" s="614"/>
      <c r="E533" s="614"/>
      <c r="F533" s="614"/>
      <c r="G533" s="614"/>
      <c r="H533" s="614"/>
      <c r="I533" s="614"/>
      <c r="J533" s="614"/>
      <c r="K533" s="614"/>
      <c r="L533" s="614"/>
      <c r="M533" s="614"/>
      <c r="N533" s="614"/>
      <c r="O533" s="614"/>
      <c r="P533" s="614"/>
      <c r="Q533" s="614"/>
      <c r="R533" s="614"/>
      <c r="S533" s="614"/>
      <c r="T533" s="614"/>
      <c r="U533" s="614"/>
      <c r="V533" s="614"/>
      <c r="W533" s="614"/>
      <c r="X533" s="614"/>
      <c r="Y533" s="614"/>
      <c r="Z533" s="614"/>
      <c r="AA533" s="614"/>
      <c r="AB533" s="614"/>
      <c r="AC533" s="614"/>
    </row>
    <row r="534" spans="1:29" ht="12.75" customHeight="1">
      <c r="A534" s="319"/>
      <c r="B534" s="614"/>
      <c r="C534" s="319"/>
      <c r="D534" s="614"/>
      <c r="E534" s="614"/>
      <c r="F534" s="614"/>
      <c r="G534" s="614"/>
      <c r="H534" s="614"/>
      <c r="I534" s="614"/>
      <c r="J534" s="614"/>
      <c r="K534" s="614"/>
      <c r="L534" s="614"/>
      <c r="M534" s="614"/>
      <c r="N534" s="614"/>
      <c r="O534" s="614"/>
      <c r="P534" s="614"/>
      <c r="Q534" s="614"/>
      <c r="R534" s="614"/>
      <c r="S534" s="614"/>
      <c r="T534" s="614"/>
      <c r="U534" s="614"/>
      <c r="V534" s="614"/>
      <c r="W534" s="614"/>
      <c r="X534" s="614"/>
      <c r="Y534" s="614"/>
      <c r="Z534" s="614"/>
      <c r="AA534" s="614"/>
      <c r="AB534" s="614"/>
      <c r="AC534" s="614"/>
    </row>
    <row r="535" spans="1:29" ht="12.75" customHeight="1">
      <c r="A535" s="319"/>
      <c r="B535" s="614"/>
      <c r="C535" s="319"/>
      <c r="D535" s="614"/>
      <c r="E535" s="614"/>
      <c r="F535" s="614"/>
      <c r="G535" s="614"/>
      <c r="H535" s="614"/>
      <c r="I535" s="614"/>
      <c r="J535" s="614"/>
      <c r="K535" s="614"/>
      <c r="L535" s="614"/>
      <c r="M535" s="614"/>
      <c r="N535" s="614"/>
      <c r="O535" s="614"/>
      <c r="P535" s="614"/>
      <c r="Q535" s="614"/>
      <c r="R535" s="614"/>
      <c r="S535" s="614"/>
      <c r="T535" s="614"/>
      <c r="U535" s="614"/>
      <c r="V535" s="614"/>
      <c r="W535" s="614"/>
      <c r="X535" s="614"/>
      <c r="Y535" s="614"/>
      <c r="Z535" s="614"/>
      <c r="AA535" s="614"/>
      <c r="AB535" s="614"/>
      <c r="AC535" s="614"/>
    </row>
    <row r="536" spans="1:29" ht="12.75" customHeight="1">
      <c r="A536" s="319"/>
      <c r="B536" s="614"/>
      <c r="C536" s="319"/>
      <c r="D536" s="614"/>
      <c r="E536" s="614"/>
      <c r="F536" s="614"/>
      <c r="G536" s="614"/>
      <c r="H536" s="614"/>
      <c r="I536" s="614"/>
      <c r="J536" s="614"/>
      <c r="K536" s="614"/>
      <c r="L536" s="614"/>
      <c r="M536" s="614"/>
      <c r="N536" s="614"/>
      <c r="O536" s="614"/>
      <c r="P536" s="614"/>
      <c r="Q536" s="614"/>
      <c r="R536" s="614"/>
      <c r="S536" s="614"/>
      <c r="T536" s="614"/>
      <c r="U536" s="614"/>
      <c r="V536" s="614"/>
      <c r="W536" s="614"/>
      <c r="X536" s="614"/>
      <c r="Y536" s="614"/>
      <c r="Z536" s="614"/>
      <c r="AA536" s="614"/>
      <c r="AB536" s="614"/>
      <c r="AC536" s="614"/>
    </row>
    <row r="537" spans="1:29" ht="12.75" customHeight="1">
      <c r="A537" s="319"/>
      <c r="B537" s="614"/>
      <c r="C537" s="319"/>
      <c r="D537" s="614"/>
      <c r="E537" s="614"/>
      <c r="F537" s="614"/>
      <c r="G537" s="614"/>
      <c r="H537" s="614"/>
      <c r="I537" s="614"/>
      <c r="J537" s="614"/>
      <c r="K537" s="614"/>
      <c r="L537" s="614"/>
      <c r="M537" s="614"/>
      <c r="N537" s="614"/>
      <c r="O537" s="614"/>
      <c r="P537" s="614"/>
      <c r="Q537" s="614"/>
      <c r="R537" s="614"/>
      <c r="S537" s="614"/>
      <c r="T537" s="614"/>
      <c r="U537" s="614"/>
      <c r="V537" s="614"/>
      <c r="W537" s="614"/>
      <c r="X537" s="614"/>
      <c r="Y537" s="614"/>
      <c r="Z537" s="614"/>
      <c r="AA537" s="614"/>
      <c r="AB537" s="614"/>
      <c r="AC537" s="614"/>
    </row>
    <row r="538" spans="1:29" ht="12.75" customHeight="1">
      <c r="A538" s="319"/>
      <c r="B538" s="614"/>
      <c r="C538" s="319"/>
      <c r="D538" s="614"/>
      <c r="E538" s="614"/>
      <c r="F538" s="614"/>
      <c r="G538" s="614"/>
      <c r="H538" s="614"/>
      <c r="I538" s="614"/>
      <c r="J538" s="614"/>
      <c r="K538" s="614"/>
      <c r="L538" s="614"/>
      <c r="M538" s="614"/>
      <c r="N538" s="614"/>
      <c r="O538" s="614"/>
      <c r="P538" s="614"/>
      <c r="Q538" s="614"/>
      <c r="R538" s="614"/>
      <c r="S538" s="614"/>
      <c r="T538" s="614"/>
      <c r="U538" s="614"/>
      <c r="V538" s="614"/>
      <c r="W538" s="614"/>
      <c r="X538" s="614"/>
      <c r="Y538" s="614"/>
      <c r="Z538" s="614"/>
      <c r="AA538" s="614"/>
      <c r="AB538" s="614"/>
      <c r="AC538" s="614"/>
    </row>
    <row r="539" spans="1:29" ht="12.75" customHeight="1">
      <c r="A539" s="319"/>
      <c r="B539" s="614"/>
      <c r="C539" s="319"/>
      <c r="D539" s="614"/>
      <c r="E539" s="614"/>
      <c r="F539" s="614"/>
      <c r="G539" s="614"/>
      <c r="H539" s="614"/>
      <c r="I539" s="614"/>
      <c r="J539" s="614"/>
      <c r="K539" s="614"/>
      <c r="L539" s="614"/>
      <c r="M539" s="614"/>
      <c r="N539" s="614"/>
      <c r="O539" s="614"/>
      <c r="P539" s="614"/>
      <c r="Q539" s="614"/>
      <c r="R539" s="614"/>
      <c r="S539" s="614"/>
      <c r="T539" s="614"/>
      <c r="U539" s="614"/>
      <c r="V539" s="614"/>
      <c r="W539" s="614"/>
      <c r="X539" s="614"/>
      <c r="Y539" s="614"/>
      <c r="Z539" s="614"/>
      <c r="AA539" s="614"/>
      <c r="AB539" s="614"/>
      <c r="AC539" s="614"/>
    </row>
    <row r="540" spans="1:29" ht="12.75" customHeight="1">
      <c r="A540" s="319"/>
      <c r="B540" s="614"/>
      <c r="C540" s="319"/>
      <c r="D540" s="614"/>
      <c r="E540" s="614"/>
      <c r="F540" s="614"/>
      <c r="G540" s="614"/>
      <c r="H540" s="614"/>
      <c r="I540" s="614"/>
      <c r="J540" s="614"/>
      <c r="K540" s="614"/>
      <c r="L540" s="614"/>
      <c r="M540" s="614"/>
      <c r="N540" s="614"/>
      <c r="O540" s="614"/>
      <c r="P540" s="614"/>
      <c r="Q540" s="614"/>
      <c r="R540" s="614"/>
      <c r="S540" s="614"/>
      <c r="T540" s="614"/>
      <c r="U540" s="614"/>
      <c r="V540" s="614"/>
      <c r="W540" s="614"/>
      <c r="X540" s="614"/>
      <c r="Y540" s="614"/>
      <c r="Z540" s="614"/>
      <c r="AA540" s="614"/>
      <c r="AB540" s="614"/>
      <c r="AC540" s="614"/>
    </row>
    <row r="541" spans="1:29" ht="12.75" customHeight="1">
      <c r="A541" s="319"/>
      <c r="B541" s="614"/>
      <c r="C541" s="319"/>
      <c r="D541" s="614"/>
      <c r="E541" s="614"/>
      <c r="F541" s="614"/>
      <c r="G541" s="614"/>
      <c r="H541" s="614"/>
      <c r="I541" s="614"/>
      <c r="J541" s="614"/>
      <c r="K541" s="614"/>
      <c r="L541" s="614"/>
      <c r="M541" s="614"/>
      <c r="N541" s="614"/>
      <c r="O541" s="614"/>
      <c r="P541" s="614"/>
      <c r="Q541" s="614"/>
      <c r="R541" s="614"/>
      <c r="S541" s="614"/>
      <c r="T541" s="614"/>
      <c r="U541" s="614"/>
      <c r="V541" s="614"/>
      <c r="W541" s="614"/>
      <c r="X541" s="614"/>
      <c r="Y541" s="614"/>
      <c r="Z541" s="614"/>
      <c r="AA541" s="614"/>
      <c r="AB541" s="614"/>
      <c r="AC541" s="614"/>
    </row>
    <row r="542" spans="1:29" ht="12.75" customHeight="1">
      <c r="A542" s="319"/>
      <c r="B542" s="614"/>
      <c r="C542" s="319"/>
      <c r="D542" s="614"/>
      <c r="E542" s="614"/>
      <c r="F542" s="614"/>
      <c r="G542" s="614"/>
      <c r="H542" s="614"/>
      <c r="I542" s="614"/>
      <c r="J542" s="614"/>
      <c r="K542" s="614"/>
      <c r="L542" s="614"/>
      <c r="M542" s="614"/>
      <c r="N542" s="614"/>
      <c r="O542" s="614"/>
      <c r="P542" s="614"/>
      <c r="Q542" s="614"/>
      <c r="R542" s="614"/>
      <c r="S542" s="614"/>
      <c r="T542" s="614"/>
      <c r="U542" s="614"/>
      <c r="V542" s="614"/>
      <c r="W542" s="614"/>
      <c r="X542" s="614"/>
      <c r="Y542" s="614"/>
      <c r="Z542" s="614"/>
      <c r="AA542" s="614"/>
      <c r="AB542" s="614"/>
      <c r="AC542" s="614"/>
    </row>
    <row r="543" spans="1:29" ht="12.75" customHeight="1">
      <c r="A543" s="319"/>
      <c r="B543" s="614"/>
      <c r="C543" s="319"/>
      <c r="D543" s="614"/>
      <c r="E543" s="614"/>
      <c r="F543" s="614"/>
      <c r="G543" s="614"/>
      <c r="H543" s="614"/>
      <c r="I543" s="614"/>
      <c r="J543" s="614"/>
      <c r="K543" s="614"/>
      <c r="L543" s="614"/>
      <c r="M543" s="614"/>
      <c r="N543" s="614"/>
      <c r="O543" s="614"/>
      <c r="P543" s="614"/>
      <c r="Q543" s="614"/>
      <c r="R543" s="614"/>
      <c r="S543" s="614"/>
      <c r="T543" s="614"/>
      <c r="U543" s="614"/>
      <c r="V543" s="614"/>
      <c r="W543" s="614"/>
      <c r="X543" s="614"/>
      <c r="Y543" s="614"/>
      <c r="Z543" s="614"/>
      <c r="AA543" s="614"/>
      <c r="AB543" s="614"/>
      <c r="AC543" s="614"/>
    </row>
    <row r="544" spans="1:29" ht="12.75" customHeight="1">
      <c r="A544" s="319"/>
      <c r="B544" s="614"/>
      <c r="C544" s="319"/>
      <c r="D544" s="614"/>
      <c r="E544" s="614"/>
      <c r="F544" s="614"/>
      <c r="G544" s="614"/>
      <c r="H544" s="614"/>
      <c r="I544" s="614"/>
      <c r="J544" s="614"/>
      <c r="K544" s="614"/>
      <c r="L544" s="614"/>
      <c r="M544" s="614"/>
      <c r="N544" s="614"/>
      <c r="O544" s="614"/>
      <c r="P544" s="614"/>
      <c r="Q544" s="614"/>
      <c r="R544" s="614"/>
      <c r="S544" s="614"/>
      <c r="T544" s="614"/>
      <c r="U544" s="614"/>
      <c r="V544" s="614"/>
      <c r="W544" s="614"/>
      <c r="X544" s="614"/>
      <c r="Y544" s="614"/>
      <c r="Z544" s="614"/>
      <c r="AA544" s="614"/>
      <c r="AB544" s="614"/>
      <c r="AC544" s="614"/>
    </row>
    <row r="545" spans="1:29" ht="12.75" customHeight="1">
      <c r="A545" s="319"/>
      <c r="B545" s="614"/>
      <c r="C545" s="319"/>
      <c r="D545" s="614"/>
      <c r="E545" s="614"/>
      <c r="F545" s="614"/>
      <c r="G545" s="614"/>
      <c r="H545" s="614"/>
      <c r="I545" s="614"/>
      <c r="J545" s="614"/>
      <c r="K545" s="614"/>
      <c r="L545" s="614"/>
      <c r="M545" s="614"/>
      <c r="N545" s="614"/>
      <c r="O545" s="614"/>
      <c r="P545" s="614"/>
      <c r="Q545" s="614"/>
      <c r="R545" s="614"/>
      <c r="S545" s="614"/>
      <c r="T545" s="614"/>
      <c r="U545" s="614"/>
      <c r="V545" s="614"/>
      <c r="W545" s="614"/>
      <c r="X545" s="614"/>
      <c r="Y545" s="614"/>
      <c r="Z545" s="614"/>
      <c r="AA545" s="614"/>
      <c r="AB545" s="614"/>
      <c r="AC545" s="614"/>
    </row>
    <row r="546" spans="1:29" ht="12.75" customHeight="1">
      <c r="A546" s="319"/>
      <c r="B546" s="614"/>
      <c r="C546" s="319"/>
      <c r="D546" s="614"/>
      <c r="E546" s="614"/>
      <c r="F546" s="614"/>
      <c r="G546" s="614"/>
      <c r="H546" s="614"/>
      <c r="I546" s="614"/>
      <c r="J546" s="614"/>
      <c r="K546" s="614"/>
      <c r="L546" s="614"/>
      <c r="M546" s="614"/>
      <c r="N546" s="614"/>
      <c r="O546" s="614"/>
      <c r="P546" s="614"/>
      <c r="Q546" s="614"/>
      <c r="R546" s="614"/>
      <c r="S546" s="614"/>
      <c r="T546" s="614"/>
      <c r="U546" s="614"/>
      <c r="V546" s="614"/>
      <c r="W546" s="614"/>
      <c r="X546" s="614"/>
      <c r="Y546" s="614"/>
      <c r="Z546" s="614"/>
      <c r="AA546" s="614"/>
      <c r="AB546" s="614"/>
      <c r="AC546" s="614"/>
    </row>
    <row r="547" spans="1:29" ht="12.75" customHeight="1">
      <c r="A547" s="319"/>
      <c r="B547" s="614"/>
      <c r="C547" s="319"/>
      <c r="D547" s="614"/>
      <c r="E547" s="614"/>
      <c r="F547" s="614"/>
      <c r="G547" s="614"/>
      <c r="H547" s="614"/>
      <c r="I547" s="614"/>
      <c r="J547" s="614"/>
      <c r="K547" s="614"/>
      <c r="L547" s="614"/>
      <c r="M547" s="614"/>
      <c r="N547" s="614"/>
      <c r="O547" s="614"/>
      <c r="P547" s="614"/>
      <c r="Q547" s="614"/>
      <c r="R547" s="614"/>
      <c r="S547" s="614"/>
      <c r="T547" s="614"/>
      <c r="U547" s="614"/>
      <c r="V547" s="614"/>
      <c r="W547" s="614"/>
      <c r="X547" s="614"/>
      <c r="Y547" s="614"/>
      <c r="Z547" s="614"/>
      <c r="AA547" s="614"/>
      <c r="AB547" s="614"/>
      <c r="AC547" s="614"/>
    </row>
    <row r="548" spans="1:29" ht="12.75" customHeight="1">
      <c r="A548" s="319"/>
      <c r="B548" s="614"/>
      <c r="C548" s="319"/>
      <c r="D548" s="614"/>
      <c r="E548" s="614"/>
      <c r="F548" s="614"/>
      <c r="G548" s="614"/>
      <c r="H548" s="614"/>
      <c r="I548" s="614"/>
      <c r="J548" s="614"/>
      <c r="K548" s="614"/>
      <c r="L548" s="614"/>
      <c r="M548" s="614"/>
      <c r="N548" s="614"/>
      <c r="O548" s="614"/>
      <c r="P548" s="614"/>
      <c r="Q548" s="614"/>
      <c r="R548" s="614"/>
      <c r="S548" s="614"/>
      <c r="T548" s="614"/>
      <c r="U548" s="614"/>
      <c r="V548" s="614"/>
      <c r="W548" s="614"/>
      <c r="X548" s="614"/>
      <c r="Y548" s="614"/>
      <c r="Z548" s="614"/>
      <c r="AA548" s="614"/>
      <c r="AB548" s="614"/>
      <c r="AC548" s="614"/>
    </row>
    <row r="549" spans="1:29" ht="12.75" customHeight="1">
      <c r="A549" s="319"/>
      <c r="B549" s="614"/>
      <c r="C549" s="319"/>
      <c r="D549" s="614"/>
      <c r="E549" s="614"/>
      <c r="F549" s="614"/>
      <c r="G549" s="614"/>
      <c r="H549" s="614"/>
      <c r="I549" s="614"/>
      <c r="J549" s="614"/>
      <c r="K549" s="614"/>
      <c r="L549" s="614"/>
      <c r="M549" s="614"/>
      <c r="N549" s="614"/>
      <c r="O549" s="614"/>
      <c r="P549" s="614"/>
      <c r="Q549" s="614"/>
      <c r="R549" s="614"/>
      <c r="S549" s="614"/>
      <c r="T549" s="614"/>
      <c r="U549" s="614"/>
      <c r="V549" s="614"/>
      <c r="W549" s="614"/>
      <c r="X549" s="614"/>
      <c r="Y549" s="614"/>
      <c r="Z549" s="614"/>
      <c r="AA549" s="614"/>
      <c r="AB549" s="614"/>
      <c r="AC549" s="614"/>
    </row>
    <row r="550" spans="1:29" ht="12.75" customHeight="1">
      <c r="A550" s="319"/>
      <c r="B550" s="614"/>
      <c r="C550" s="319"/>
      <c r="D550" s="614"/>
      <c r="E550" s="614"/>
      <c r="F550" s="614"/>
      <c r="G550" s="614"/>
      <c r="H550" s="614"/>
      <c r="I550" s="614"/>
      <c r="J550" s="614"/>
      <c r="K550" s="614"/>
      <c r="L550" s="614"/>
      <c r="M550" s="614"/>
      <c r="N550" s="614"/>
      <c r="O550" s="614"/>
      <c r="P550" s="614"/>
      <c r="Q550" s="614"/>
      <c r="R550" s="614"/>
      <c r="S550" s="614"/>
      <c r="T550" s="614"/>
      <c r="U550" s="614"/>
      <c r="V550" s="614"/>
      <c r="W550" s="614"/>
      <c r="X550" s="614"/>
      <c r="Y550" s="614"/>
      <c r="Z550" s="614"/>
      <c r="AA550" s="614"/>
      <c r="AB550" s="614"/>
      <c r="AC550" s="614"/>
    </row>
    <row r="551" spans="1:29" ht="12.75" customHeight="1">
      <c r="A551" s="319"/>
      <c r="B551" s="614"/>
      <c r="C551" s="319"/>
      <c r="D551" s="614"/>
      <c r="E551" s="614"/>
      <c r="F551" s="614"/>
      <c r="G551" s="614"/>
      <c r="H551" s="614"/>
      <c r="I551" s="614"/>
      <c r="J551" s="614"/>
      <c r="K551" s="614"/>
      <c r="L551" s="614"/>
      <c r="M551" s="614"/>
      <c r="N551" s="614"/>
      <c r="O551" s="614"/>
      <c r="P551" s="614"/>
      <c r="Q551" s="614"/>
      <c r="R551" s="614"/>
      <c r="S551" s="614"/>
      <c r="T551" s="614"/>
      <c r="U551" s="614"/>
      <c r="V551" s="614"/>
      <c r="W551" s="614"/>
      <c r="X551" s="614"/>
      <c r="Y551" s="614"/>
      <c r="Z551" s="614"/>
      <c r="AA551" s="614"/>
      <c r="AB551" s="614"/>
      <c r="AC551" s="614"/>
    </row>
    <row r="552" spans="1:29" ht="12.75" customHeight="1">
      <c r="A552" s="319"/>
      <c r="B552" s="614"/>
      <c r="C552" s="319"/>
      <c r="D552" s="614"/>
      <c r="E552" s="614"/>
      <c r="F552" s="614"/>
      <c r="G552" s="614"/>
      <c r="H552" s="614"/>
      <c r="I552" s="614"/>
      <c r="J552" s="614"/>
      <c r="K552" s="614"/>
      <c r="L552" s="614"/>
      <c r="M552" s="614"/>
      <c r="N552" s="614"/>
      <c r="O552" s="614"/>
      <c r="P552" s="614"/>
      <c r="Q552" s="614"/>
      <c r="R552" s="614"/>
      <c r="S552" s="614"/>
      <c r="T552" s="614"/>
      <c r="U552" s="614"/>
      <c r="V552" s="614"/>
      <c r="W552" s="614"/>
      <c r="X552" s="614"/>
      <c r="Y552" s="614"/>
      <c r="Z552" s="614"/>
      <c r="AA552" s="614"/>
      <c r="AB552" s="614"/>
      <c r="AC552" s="614"/>
    </row>
    <row r="553" spans="1:29" ht="12.75" customHeight="1">
      <c r="A553" s="319"/>
      <c r="B553" s="614"/>
      <c r="C553" s="319"/>
      <c r="D553" s="614"/>
      <c r="E553" s="614"/>
      <c r="F553" s="614"/>
      <c r="G553" s="614"/>
      <c r="H553" s="614"/>
      <c r="I553" s="614"/>
      <c r="J553" s="614"/>
      <c r="K553" s="614"/>
      <c r="L553" s="614"/>
      <c r="M553" s="614"/>
      <c r="N553" s="614"/>
      <c r="O553" s="614"/>
      <c r="P553" s="614"/>
      <c r="Q553" s="614"/>
      <c r="R553" s="614"/>
      <c r="S553" s="614"/>
      <c r="T553" s="614"/>
      <c r="U553" s="614"/>
      <c r="V553" s="614"/>
      <c r="W553" s="614"/>
      <c r="X553" s="614"/>
      <c r="Y553" s="614"/>
      <c r="Z553" s="614"/>
      <c r="AA553" s="614"/>
      <c r="AB553" s="614"/>
      <c r="AC553" s="614"/>
    </row>
    <row r="554" spans="1:29" ht="12.75" customHeight="1">
      <c r="A554" s="319"/>
      <c r="B554" s="614"/>
      <c r="C554" s="319"/>
      <c r="D554" s="614"/>
      <c r="E554" s="614"/>
      <c r="F554" s="614"/>
      <c r="G554" s="614"/>
      <c r="H554" s="614"/>
      <c r="I554" s="614"/>
      <c r="J554" s="614"/>
      <c r="K554" s="614"/>
      <c r="L554" s="614"/>
      <c r="M554" s="614"/>
      <c r="N554" s="614"/>
      <c r="O554" s="614"/>
      <c r="P554" s="614"/>
      <c r="Q554" s="614"/>
      <c r="R554" s="614"/>
      <c r="S554" s="614"/>
      <c r="T554" s="614"/>
      <c r="U554" s="614"/>
      <c r="V554" s="614"/>
      <c r="W554" s="614"/>
      <c r="X554" s="614"/>
      <c r="Y554" s="614"/>
      <c r="Z554" s="614"/>
      <c r="AA554" s="614"/>
      <c r="AB554" s="614"/>
      <c r="AC554" s="614"/>
    </row>
    <row r="555" spans="1:29" ht="12.75" customHeight="1">
      <c r="A555" s="319"/>
      <c r="B555" s="614"/>
      <c r="C555" s="319"/>
      <c r="D555" s="614"/>
      <c r="E555" s="614"/>
      <c r="F555" s="614"/>
      <c r="G555" s="614"/>
      <c r="H555" s="614"/>
      <c r="I555" s="614"/>
      <c r="J555" s="614"/>
      <c r="K555" s="614"/>
      <c r="L555" s="614"/>
      <c r="M555" s="614"/>
      <c r="N555" s="614"/>
      <c r="O555" s="614"/>
      <c r="P555" s="614"/>
      <c r="Q555" s="614"/>
      <c r="R555" s="614"/>
      <c r="S555" s="614"/>
      <c r="T555" s="614"/>
      <c r="U555" s="614"/>
      <c r="V555" s="614"/>
      <c r="W555" s="614"/>
      <c r="X555" s="614"/>
      <c r="Y555" s="614"/>
      <c r="Z555" s="614"/>
      <c r="AA555" s="614"/>
      <c r="AB555" s="614"/>
      <c r="AC555" s="614"/>
    </row>
    <row r="556" spans="1:29" ht="12.75" customHeight="1">
      <c r="A556" s="319"/>
      <c r="B556" s="614"/>
      <c r="C556" s="319"/>
      <c r="D556" s="614"/>
      <c r="E556" s="614"/>
      <c r="F556" s="614"/>
      <c r="G556" s="614"/>
      <c r="H556" s="614"/>
      <c r="I556" s="614"/>
      <c r="J556" s="614"/>
      <c r="K556" s="614"/>
      <c r="L556" s="614"/>
      <c r="M556" s="614"/>
      <c r="N556" s="614"/>
      <c r="O556" s="614"/>
      <c r="P556" s="614"/>
      <c r="Q556" s="614"/>
      <c r="R556" s="614"/>
      <c r="S556" s="614"/>
      <c r="T556" s="614"/>
      <c r="U556" s="614"/>
      <c r="V556" s="614"/>
      <c r="W556" s="614"/>
      <c r="X556" s="614"/>
      <c r="Y556" s="614"/>
      <c r="Z556" s="614"/>
      <c r="AA556" s="614"/>
      <c r="AB556" s="614"/>
      <c r="AC556" s="614"/>
    </row>
    <row r="557" spans="1:29" ht="12.75" customHeight="1">
      <c r="A557" s="319"/>
      <c r="B557" s="614"/>
      <c r="C557" s="319"/>
      <c r="D557" s="614"/>
      <c r="E557" s="614"/>
      <c r="F557" s="614"/>
      <c r="G557" s="614"/>
      <c r="H557" s="614"/>
      <c r="I557" s="614"/>
      <c r="J557" s="614"/>
      <c r="K557" s="614"/>
      <c r="L557" s="614"/>
      <c r="M557" s="614"/>
      <c r="N557" s="614"/>
      <c r="O557" s="614"/>
      <c r="P557" s="614"/>
      <c r="Q557" s="614"/>
      <c r="R557" s="614"/>
      <c r="S557" s="614"/>
      <c r="T557" s="614"/>
      <c r="U557" s="614"/>
      <c r="V557" s="614"/>
      <c r="W557" s="614"/>
      <c r="X557" s="614"/>
      <c r="Y557" s="614"/>
      <c r="Z557" s="614"/>
      <c r="AA557" s="614"/>
      <c r="AB557" s="614"/>
      <c r="AC557" s="614"/>
    </row>
    <row r="558" spans="1:29" ht="12.75" customHeight="1">
      <c r="A558" s="319"/>
      <c r="B558" s="614"/>
      <c r="C558" s="319"/>
      <c r="D558" s="614"/>
      <c r="E558" s="614"/>
      <c r="F558" s="614"/>
      <c r="G558" s="614"/>
      <c r="H558" s="614"/>
      <c r="I558" s="614"/>
      <c r="J558" s="614"/>
      <c r="K558" s="614"/>
      <c r="L558" s="614"/>
      <c r="M558" s="614"/>
      <c r="N558" s="614"/>
      <c r="O558" s="614"/>
      <c r="P558" s="614"/>
      <c r="Q558" s="614"/>
      <c r="R558" s="614"/>
      <c r="S558" s="614"/>
      <c r="T558" s="614"/>
      <c r="U558" s="614"/>
      <c r="V558" s="614"/>
      <c r="W558" s="614"/>
      <c r="X558" s="614"/>
      <c r="Y558" s="614"/>
      <c r="Z558" s="614"/>
      <c r="AA558" s="614"/>
      <c r="AB558" s="614"/>
      <c r="AC558" s="614"/>
    </row>
    <row r="559" spans="1:29" ht="12.75" customHeight="1">
      <c r="A559" s="319"/>
      <c r="B559" s="614"/>
      <c r="C559" s="319"/>
      <c r="D559" s="614"/>
      <c r="E559" s="614"/>
      <c r="F559" s="614"/>
      <c r="G559" s="614"/>
      <c r="H559" s="614"/>
      <c r="I559" s="614"/>
      <c r="J559" s="614"/>
      <c r="K559" s="614"/>
      <c r="L559" s="614"/>
      <c r="M559" s="614"/>
      <c r="N559" s="614"/>
      <c r="O559" s="614"/>
      <c r="P559" s="614"/>
      <c r="Q559" s="614"/>
      <c r="R559" s="614"/>
      <c r="S559" s="614"/>
      <c r="T559" s="614"/>
      <c r="U559" s="614"/>
      <c r="V559" s="614"/>
      <c r="W559" s="614"/>
      <c r="X559" s="614"/>
      <c r="Y559" s="614"/>
      <c r="Z559" s="614"/>
      <c r="AA559" s="614"/>
      <c r="AB559" s="614"/>
      <c r="AC559" s="614"/>
    </row>
    <row r="560" spans="1:29" ht="12.75" customHeight="1">
      <c r="A560" s="319"/>
      <c r="B560" s="614"/>
      <c r="C560" s="319"/>
      <c r="D560" s="614"/>
      <c r="E560" s="614"/>
      <c r="F560" s="614"/>
      <c r="G560" s="614"/>
      <c r="H560" s="614"/>
      <c r="I560" s="614"/>
      <c r="J560" s="614"/>
      <c r="K560" s="614"/>
      <c r="L560" s="614"/>
      <c r="M560" s="614"/>
      <c r="N560" s="614"/>
      <c r="O560" s="614"/>
      <c r="P560" s="614"/>
      <c r="Q560" s="614"/>
      <c r="R560" s="614"/>
      <c r="S560" s="614"/>
      <c r="T560" s="614"/>
      <c r="U560" s="614"/>
      <c r="V560" s="614"/>
      <c r="W560" s="614"/>
      <c r="X560" s="614"/>
      <c r="Y560" s="614"/>
      <c r="Z560" s="614"/>
      <c r="AA560" s="614"/>
      <c r="AB560" s="614"/>
      <c r="AC560" s="614"/>
    </row>
    <row r="561" spans="1:29" ht="12.75" customHeight="1">
      <c r="A561" s="319"/>
      <c r="B561" s="614"/>
      <c r="C561" s="319"/>
      <c r="D561" s="614"/>
      <c r="E561" s="614"/>
      <c r="F561" s="614"/>
      <c r="G561" s="614"/>
      <c r="H561" s="614"/>
      <c r="I561" s="614"/>
      <c r="J561" s="614"/>
      <c r="K561" s="614"/>
      <c r="L561" s="614"/>
      <c r="M561" s="614"/>
      <c r="N561" s="614"/>
      <c r="O561" s="614"/>
      <c r="P561" s="614"/>
      <c r="Q561" s="614"/>
      <c r="R561" s="614"/>
      <c r="S561" s="614"/>
      <c r="T561" s="614"/>
      <c r="U561" s="614"/>
      <c r="V561" s="614"/>
      <c r="W561" s="614"/>
      <c r="X561" s="614"/>
      <c r="Y561" s="614"/>
      <c r="Z561" s="614"/>
      <c r="AA561" s="614"/>
      <c r="AB561" s="614"/>
      <c r="AC561" s="614"/>
    </row>
    <row r="562" spans="1:29" ht="12.75" customHeight="1">
      <c r="A562" s="319"/>
      <c r="B562" s="614"/>
      <c r="C562" s="319"/>
      <c r="D562" s="614"/>
      <c r="E562" s="614"/>
      <c r="F562" s="614"/>
      <c r="G562" s="614"/>
      <c r="H562" s="614"/>
      <c r="I562" s="614"/>
      <c r="J562" s="614"/>
      <c r="K562" s="614"/>
      <c r="L562" s="614"/>
      <c r="M562" s="614"/>
      <c r="N562" s="614"/>
      <c r="O562" s="614"/>
      <c r="P562" s="614"/>
      <c r="Q562" s="614"/>
      <c r="R562" s="614"/>
      <c r="S562" s="614"/>
      <c r="T562" s="614"/>
      <c r="U562" s="614"/>
      <c r="V562" s="614"/>
      <c r="W562" s="614"/>
      <c r="X562" s="614"/>
      <c r="Y562" s="614"/>
      <c r="Z562" s="614"/>
      <c r="AA562" s="614"/>
      <c r="AB562" s="614"/>
      <c r="AC562" s="614"/>
    </row>
    <row r="563" spans="1:29" ht="12.75" customHeight="1">
      <c r="A563" s="319"/>
      <c r="B563" s="614"/>
      <c r="C563" s="319"/>
      <c r="D563" s="614"/>
      <c r="E563" s="614"/>
      <c r="F563" s="614"/>
      <c r="G563" s="614"/>
      <c r="H563" s="614"/>
      <c r="I563" s="614"/>
      <c r="J563" s="614"/>
      <c r="K563" s="614"/>
      <c r="L563" s="614"/>
      <c r="M563" s="614"/>
      <c r="N563" s="614"/>
      <c r="O563" s="614"/>
      <c r="P563" s="614"/>
      <c r="Q563" s="614"/>
      <c r="R563" s="614"/>
      <c r="S563" s="614"/>
      <c r="T563" s="614"/>
      <c r="U563" s="614"/>
      <c r="V563" s="614"/>
      <c r="W563" s="614"/>
      <c r="X563" s="614"/>
      <c r="Y563" s="614"/>
      <c r="Z563" s="614"/>
      <c r="AA563" s="614"/>
      <c r="AB563" s="614"/>
      <c r="AC563" s="614"/>
    </row>
    <row r="564" spans="1:29" ht="12.75" customHeight="1">
      <c r="A564" s="319"/>
      <c r="B564" s="614"/>
      <c r="C564" s="319"/>
      <c r="D564" s="614"/>
      <c r="E564" s="614"/>
      <c r="F564" s="614"/>
      <c r="G564" s="614"/>
      <c r="H564" s="614"/>
      <c r="I564" s="614"/>
      <c r="J564" s="614"/>
      <c r="K564" s="614"/>
      <c r="L564" s="614"/>
      <c r="M564" s="614"/>
      <c r="N564" s="614"/>
      <c r="O564" s="614"/>
      <c r="P564" s="614"/>
      <c r="Q564" s="614"/>
      <c r="R564" s="614"/>
      <c r="S564" s="614"/>
      <c r="T564" s="614"/>
      <c r="U564" s="614"/>
      <c r="V564" s="614"/>
      <c r="W564" s="614"/>
      <c r="X564" s="614"/>
      <c r="Y564" s="614"/>
      <c r="Z564" s="614"/>
      <c r="AA564" s="614"/>
      <c r="AB564" s="614"/>
      <c r="AC564" s="614"/>
    </row>
    <row r="565" spans="1:29" ht="12.75" customHeight="1">
      <c r="A565" s="319"/>
      <c r="B565" s="614"/>
      <c r="C565" s="319"/>
      <c r="D565" s="614"/>
      <c r="E565" s="614"/>
      <c r="F565" s="614"/>
      <c r="G565" s="614"/>
      <c r="H565" s="614"/>
      <c r="I565" s="614"/>
      <c r="J565" s="614"/>
      <c r="K565" s="614"/>
      <c r="L565" s="614"/>
      <c r="M565" s="614"/>
      <c r="N565" s="614"/>
      <c r="O565" s="614"/>
      <c r="P565" s="614"/>
      <c r="Q565" s="614"/>
      <c r="R565" s="614"/>
      <c r="S565" s="614"/>
      <c r="T565" s="614"/>
      <c r="U565" s="614"/>
      <c r="V565" s="614"/>
      <c r="W565" s="614"/>
      <c r="X565" s="614"/>
      <c r="Y565" s="614"/>
      <c r="Z565" s="614"/>
      <c r="AA565" s="614"/>
      <c r="AB565" s="614"/>
      <c r="AC565" s="614"/>
    </row>
    <row r="566" spans="1:29" ht="12.75" customHeight="1">
      <c r="A566" s="319"/>
      <c r="B566" s="614"/>
      <c r="C566" s="319"/>
      <c r="D566" s="614"/>
      <c r="E566" s="614"/>
      <c r="F566" s="614"/>
      <c r="G566" s="614"/>
      <c r="H566" s="614"/>
      <c r="I566" s="614"/>
      <c r="J566" s="614"/>
      <c r="K566" s="614"/>
      <c r="L566" s="614"/>
      <c r="M566" s="614"/>
      <c r="N566" s="614"/>
      <c r="O566" s="614"/>
      <c r="P566" s="614"/>
      <c r="Q566" s="614"/>
      <c r="R566" s="614"/>
      <c r="S566" s="614"/>
      <c r="T566" s="614"/>
      <c r="U566" s="614"/>
      <c r="V566" s="614"/>
      <c r="W566" s="614"/>
      <c r="X566" s="614"/>
      <c r="Y566" s="614"/>
      <c r="Z566" s="614"/>
      <c r="AA566" s="614"/>
      <c r="AB566" s="614"/>
      <c r="AC566" s="614"/>
    </row>
    <row r="567" spans="1:29" ht="12.75" customHeight="1">
      <c r="A567" s="319"/>
      <c r="B567" s="614"/>
      <c r="C567" s="319"/>
      <c r="D567" s="614"/>
      <c r="E567" s="614"/>
      <c r="F567" s="614"/>
      <c r="G567" s="614"/>
      <c r="H567" s="614"/>
      <c r="I567" s="614"/>
      <c r="J567" s="614"/>
      <c r="K567" s="614"/>
      <c r="L567" s="614"/>
      <c r="M567" s="614"/>
      <c r="N567" s="614"/>
      <c r="O567" s="614"/>
      <c r="P567" s="614"/>
      <c r="Q567" s="614"/>
      <c r="R567" s="614"/>
      <c r="S567" s="614"/>
      <c r="T567" s="614"/>
      <c r="U567" s="614"/>
      <c r="V567" s="614"/>
      <c r="W567" s="614"/>
      <c r="X567" s="614"/>
      <c r="Y567" s="614"/>
      <c r="Z567" s="614"/>
      <c r="AA567" s="614"/>
      <c r="AB567" s="614"/>
      <c r="AC567" s="614"/>
    </row>
    <row r="568" spans="1:29" ht="12.75" customHeight="1">
      <c r="A568" s="319"/>
      <c r="B568" s="614"/>
      <c r="C568" s="319"/>
      <c r="D568" s="614"/>
      <c r="E568" s="614"/>
      <c r="F568" s="614"/>
      <c r="G568" s="614"/>
      <c r="H568" s="614"/>
      <c r="I568" s="614"/>
      <c r="J568" s="614"/>
      <c r="K568" s="614"/>
      <c r="L568" s="614"/>
      <c r="M568" s="614"/>
      <c r="N568" s="614"/>
      <c r="O568" s="614"/>
      <c r="P568" s="614"/>
      <c r="Q568" s="614"/>
      <c r="R568" s="614"/>
      <c r="S568" s="614"/>
      <c r="T568" s="614"/>
      <c r="U568" s="614"/>
      <c r="V568" s="614"/>
      <c r="W568" s="614"/>
      <c r="X568" s="614"/>
      <c r="Y568" s="614"/>
      <c r="Z568" s="614"/>
      <c r="AA568" s="614"/>
      <c r="AB568" s="614"/>
      <c r="AC568" s="614"/>
    </row>
    <row r="569" spans="1:29" ht="12.75" customHeight="1">
      <c r="A569" s="319"/>
      <c r="B569" s="614"/>
      <c r="C569" s="319"/>
      <c r="D569" s="614"/>
      <c r="E569" s="614"/>
      <c r="F569" s="614"/>
      <c r="G569" s="614"/>
      <c r="H569" s="614"/>
      <c r="I569" s="614"/>
      <c r="J569" s="614"/>
      <c r="K569" s="614"/>
      <c r="L569" s="614"/>
      <c r="M569" s="614"/>
      <c r="N569" s="614"/>
      <c r="O569" s="614"/>
      <c r="P569" s="614"/>
      <c r="Q569" s="614"/>
      <c r="R569" s="614"/>
      <c r="S569" s="614"/>
      <c r="T569" s="614"/>
      <c r="U569" s="614"/>
      <c r="V569" s="614"/>
      <c r="W569" s="614"/>
      <c r="X569" s="614"/>
      <c r="Y569" s="614"/>
      <c r="Z569" s="614"/>
      <c r="AA569" s="614"/>
      <c r="AB569" s="614"/>
      <c r="AC569" s="614"/>
    </row>
    <row r="570" spans="1:29" ht="12.75" customHeight="1">
      <c r="A570" s="319"/>
      <c r="B570" s="614"/>
      <c r="C570" s="319"/>
      <c r="D570" s="614"/>
      <c r="E570" s="614"/>
      <c r="F570" s="614"/>
      <c r="G570" s="614"/>
      <c r="H570" s="614"/>
      <c r="I570" s="614"/>
      <c r="J570" s="614"/>
      <c r="K570" s="614"/>
      <c r="L570" s="614"/>
      <c r="M570" s="614"/>
      <c r="N570" s="614"/>
      <c r="O570" s="614"/>
      <c r="P570" s="614"/>
      <c r="Q570" s="614"/>
      <c r="R570" s="614"/>
      <c r="S570" s="614"/>
      <c r="T570" s="614"/>
      <c r="U570" s="614"/>
      <c r="V570" s="614"/>
      <c r="W570" s="614"/>
      <c r="X570" s="614"/>
      <c r="Y570" s="614"/>
      <c r="Z570" s="614"/>
      <c r="AA570" s="614"/>
      <c r="AB570" s="614"/>
      <c r="AC570" s="614"/>
    </row>
    <row r="571" spans="1:29" ht="12.75" customHeight="1">
      <c r="A571" s="319"/>
      <c r="B571" s="614"/>
      <c r="C571" s="319"/>
      <c r="D571" s="614"/>
      <c r="E571" s="614"/>
      <c r="F571" s="614"/>
      <c r="G571" s="614"/>
      <c r="H571" s="614"/>
      <c r="I571" s="614"/>
      <c r="J571" s="614"/>
      <c r="K571" s="614"/>
      <c r="L571" s="614"/>
      <c r="M571" s="614"/>
      <c r="N571" s="614"/>
      <c r="O571" s="614"/>
      <c r="P571" s="614"/>
      <c r="Q571" s="614"/>
      <c r="R571" s="614"/>
      <c r="S571" s="614"/>
      <c r="T571" s="614"/>
      <c r="U571" s="614"/>
      <c r="V571" s="614"/>
      <c r="W571" s="614"/>
      <c r="X571" s="614"/>
      <c r="Y571" s="614"/>
      <c r="Z571" s="614"/>
      <c r="AA571" s="614"/>
      <c r="AB571" s="614"/>
      <c r="AC571" s="614"/>
    </row>
    <row r="572" spans="1:29" ht="12.75" customHeight="1">
      <c r="A572" s="319"/>
      <c r="B572" s="614"/>
      <c r="C572" s="319"/>
      <c r="D572" s="614"/>
      <c r="E572" s="614"/>
      <c r="F572" s="614"/>
      <c r="G572" s="614"/>
      <c r="H572" s="614"/>
      <c r="I572" s="614"/>
      <c r="J572" s="614"/>
      <c r="K572" s="614"/>
      <c r="L572" s="614"/>
      <c r="M572" s="614"/>
      <c r="N572" s="614"/>
      <c r="O572" s="614"/>
      <c r="P572" s="614"/>
      <c r="Q572" s="614"/>
      <c r="R572" s="614"/>
      <c r="S572" s="614"/>
      <c r="T572" s="614"/>
      <c r="U572" s="614"/>
      <c r="V572" s="614"/>
      <c r="W572" s="614"/>
      <c r="X572" s="614"/>
      <c r="Y572" s="614"/>
      <c r="Z572" s="614"/>
      <c r="AA572" s="614"/>
      <c r="AB572" s="614"/>
      <c r="AC572" s="614"/>
    </row>
    <row r="573" spans="1:29" ht="12.75" customHeight="1">
      <c r="A573" s="319"/>
      <c r="B573" s="614"/>
      <c r="C573" s="319"/>
      <c r="D573" s="614"/>
      <c r="E573" s="614"/>
      <c r="F573" s="614"/>
      <c r="G573" s="614"/>
      <c r="H573" s="614"/>
      <c r="I573" s="614"/>
      <c r="J573" s="614"/>
      <c r="K573" s="614"/>
      <c r="L573" s="614"/>
      <c r="M573" s="614"/>
      <c r="N573" s="614"/>
      <c r="O573" s="614"/>
      <c r="P573" s="614"/>
      <c r="Q573" s="614"/>
      <c r="R573" s="614"/>
      <c r="S573" s="614"/>
      <c r="T573" s="614"/>
      <c r="U573" s="614"/>
      <c r="V573" s="614"/>
      <c r="W573" s="614"/>
      <c r="X573" s="614"/>
      <c r="Y573" s="614"/>
      <c r="Z573" s="614"/>
      <c r="AA573" s="614"/>
      <c r="AB573" s="614"/>
      <c r="AC573" s="614"/>
    </row>
    <row r="574" spans="1:29" ht="12.75" customHeight="1">
      <c r="A574" s="319"/>
      <c r="B574" s="614"/>
      <c r="C574" s="319"/>
      <c r="D574" s="614"/>
      <c r="E574" s="614"/>
      <c r="F574" s="614"/>
      <c r="G574" s="614"/>
      <c r="H574" s="614"/>
      <c r="I574" s="614"/>
      <c r="J574" s="614"/>
      <c r="K574" s="614"/>
      <c r="L574" s="614"/>
      <c r="M574" s="614"/>
      <c r="N574" s="614"/>
      <c r="O574" s="614"/>
      <c r="P574" s="614"/>
      <c r="Q574" s="614"/>
      <c r="R574" s="614"/>
      <c r="S574" s="614"/>
      <c r="T574" s="614"/>
      <c r="U574" s="614"/>
      <c r="V574" s="614"/>
      <c r="W574" s="614"/>
      <c r="X574" s="614"/>
      <c r="Y574" s="614"/>
      <c r="Z574" s="614"/>
      <c r="AA574" s="614"/>
      <c r="AB574" s="614"/>
      <c r="AC574" s="614"/>
    </row>
    <row r="575" spans="1:29" ht="12.75" customHeight="1">
      <c r="A575" s="319"/>
      <c r="B575" s="614"/>
      <c r="C575" s="319"/>
      <c r="D575" s="614"/>
      <c r="E575" s="614"/>
      <c r="F575" s="614"/>
      <c r="G575" s="614"/>
      <c r="H575" s="614"/>
      <c r="I575" s="614"/>
      <c r="J575" s="614"/>
      <c r="K575" s="614"/>
      <c r="L575" s="614"/>
      <c r="M575" s="614"/>
      <c r="N575" s="614"/>
      <c r="O575" s="614"/>
      <c r="P575" s="614"/>
      <c r="Q575" s="614"/>
      <c r="R575" s="614"/>
      <c r="S575" s="614"/>
      <c r="T575" s="614"/>
      <c r="U575" s="614"/>
      <c r="V575" s="614"/>
      <c r="W575" s="614"/>
      <c r="X575" s="614"/>
      <c r="Y575" s="614"/>
      <c r="Z575" s="614"/>
      <c r="AA575" s="614"/>
      <c r="AB575" s="614"/>
      <c r="AC575" s="614"/>
    </row>
    <row r="576" spans="1:29" ht="12.75" customHeight="1">
      <c r="A576" s="319"/>
      <c r="B576" s="614"/>
      <c r="C576" s="319"/>
      <c r="D576" s="614"/>
      <c r="E576" s="614"/>
      <c r="F576" s="614"/>
      <c r="G576" s="614"/>
      <c r="H576" s="614"/>
      <c r="I576" s="614"/>
      <c r="J576" s="614"/>
      <c r="K576" s="614"/>
      <c r="L576" s="614"/>
      <c r="M576" s="614"/>
      <c r="N576" s="614"/>
      <c r="O576" s="614"/>
      <c r="P576" s="614"/>
      <c r="Q576" s="614"/>
      <c r="R576" s="614"/>
      <c r="S576" s="614"/>
      <c r="T576" s="614"/>
      <c r="U576" s="614"/>
      <c r="V576" s="614"/>
      <c r="W576" s="614"/>
      <c r="X576" s="614"/>
      <c r="Y576" s="614"/>
      <c r="Z576" s="614"/>
      <c r="AA576" s="614"/>
      <c r="AB576" s="614"/>
      <c r="AC576" s="614"/>
    </row>
    <row r="577" spans="1:29" ht="12.75" customHeight="1">
      <c r="A577" s="319"/>
      <c r="B577" s="614"/>
      <c r="C577" s="319"/>
      <c r="D577" s="614"/>
      <c r="E577" s="614"/>
      <c r="F577" s="614"/>
      <c r="G577" s="614"/>
      <c r="H577" s="614"/>
      <c r="I577" s="614"/>
      <c r="J577" s="614"/>
      <c r="K577" s="614"/>
      <c r="L577" s="614"/>
      <c r="M577" s="614"/>
      <c r="N577" s="614"/>
      <c r="O577" s="614"/>
      <c r="P577" s="614"/>
      <c r="Q577" s="614"/>
      <c r="R577" s="614"/>
      <c r="S577" s="614"/>
      <c r="T577" s="614"/>
      <c r="U577" s="614"/>
      <c r="V577" s="614"/>
      <c r="W577" s="614"/>
      <c r="X577" s="614"/>
      <c r="Y577" s="614"/>
      <c r="Z577" s="614"/>
      <c r="AA577" s="614"/>
      <c r="AB577" s="614"/>
      <c r="AC577" s="614"/>
    </row>
    <row r="578" spans="1:29" ht="12.75" customHeight="1">
      <c r="A578" s="319"/>
      <c r="B578" s="614"/>
      <c r="C578" s="319"/>
      <c r="D578" s="614"/>
      <c r="E578" s="614"/>
      <c r="F578" s="614"/>
      <c r="G578" s="614"/>
      <c r="H578" s="614"/>
      <c r="I578" s="614"/>
      <c r="J578" s="614"/>
      <c r="K578" s="614"/>
      <c r="L578" s="614"/>
      <c r="M578" s="614"/>
      <c r="N578" s="614"/>
      <c r="O578" s="614"/>
      <c r="P578" s="614"/>
      <c r="Q578" s="614"/>
      <c r="R578" s="614"/>
      <c r="S578" s="614"/>
      <c r="T578" s="614"/>
      <c r="U578" s="614"/>
      <c r="V578" s="614"/>
      <c r="W578" s="614"/>
      <c r="X578" s="614"/>
      <c r="Y578" s="614"/>
      <c r="Z578" s="614"/>
      <c r="AA578" s="614"/>
      <c r="AB578" s="614"/>
      <c r="AC578" s="614"/>
    </row>
    <row r="579" spans="1:29" ht="12.75" customHeight="1">
      <c r="A579" s="319"/>
      <c r="B579" s="614"/>
      <c r="C579" s="319"/>
      <c r="D579" s="614"/>
      <c r="E579" s="614"/>
      <c r="F579" s="614"/>
      <c r="G579" s="614"/>
      <c r="H579" s="614"/>
      <c r="I579" s="614"/>
      <c r="J579" s="614"/>
      <c r="K579" s="614"/>
      <c r="L579" s="614"/>
      <c r="M579" s="614"/>
      <c r="N579" s="614"/>
      <c r="O579" s="614"/>
      <c r="P579" s="614"/>
      <c r="Q579" s="614"/>
      <c r="R579" s="614"/>
      <c r="S579" s="614"/>
      <c r="T579" s="614"/>
      <c r="U579" s="614"/>
      <c r="V579" s="614"/>
      <c r="W579" s="614"/>
      <c r="X579" s="614"/>
      <c r="Y579" s="614"/>
      <c r="Z579" s="614"/>
      <c r="AA579" s="614"/>
      <c r="AB579" s="614"/>
      <c r="AC579" s="614"/>
    </row>
    <row r="580" spans="1:29" ht="12.75" customHeight="1">
      <c r="A580" s="319"/>
      <c r="B580" s="614"/>
      <c r="C580" s="319"/>
      <c r="D580" s="614"/>
      <c r="E580" s="614"/>
      <c r="F580" s="614"/>
      <c r="G580" s="614"/>
      <c r="H580" s="614"/>
      <c r="I580" s="614"/>
      <c r="J580" s="614"/>
      <c r="K580" s="614"/>
      <c r="L580" s="614"/>
      <c r="M580" s="614"/>
      <c r="N580" s="614"/>
      <c r="O580" s="614"/>
      <c r="P580" s="614"/>
      <c r="Q580" s="614"/>
      <c r="R580" s="614"/>
      <c r="S580" s="614"/>
      <c r="T580" s="614"/>
      <c r="U580" s="614"/>
      <c r="V580" s="614"/>
      <c r="W580" s="614"/>
      <c r="X580" s="614"/>
      <c r="Y580" s="614"/>
      <c r="Z580" s="614"/>
      <c r="AA580" s="614"/>
      <c r="AB580" s="614"/>
      <c r="AC580" s="614"/>
    </row>
    <row r="581" spans="1:29" ht="12.75" customHeight="1">
      <c r="A581" s="319"/>
      <c r="B581" s="614"/>
      <c r="C581" s="319"/>
      <c r="D581" s="614"/>
      <c r="E581" s="614"/>
      <c r="F581" s="614"/>
      <c r="G581" s="614"/>
      <c r="H581" s="614"/>
      <c r="I581" s="614"/>
      <c r="J581" s="614"/>
      <c r="K581" s="614"/>
      <c r="L581" s="614"/>
      <c r="M581" s="614"/>
      <c r="N581" s="614"/>
      <c r="O581" s="614"/>
      <c r="P581" s="614"/>
      <c r="Q581" s="614"/>
      <c r="R581" s="614"/>
      <c r="S581" s="614"/>
      <c r="T581" s="614"/>
      <c r="U581" s="614"/>
      <c r="V581" s="614"/>
      <c r="W581" s="614"/>
      <c r="X581" s="614"/>
      <c r="Y581" s="614"/>
      <c r="Z581" s="614"/>
      <c r="AA581" s="614"/>
      <c r="AB581" s="614"/>
      <c r="AC581" s="614"/>
    </row>
    <row r="582" spans="1:29" ht="12.75" customHeight="1">
      <c r="A582" s="319"/>
      <c r="B582" s="614"/>
      <c r="C582" s="319"/>
      <c r="D582" s="614"/>
      <c r="E582" s="614"/>
      <c r="F582" s="614"/>
      <c r="G582" s="614"/>
      <c r="H582" s="614"/>
      <c r="I582" s="614"/>
      <c r="J582" s="614"/>
      <c r="K582" s="614"/>
      <c r="L582" s="614"/>
      <c r="M582" s="614"/>
      <c r="N582" s="614"/>
      <c r="O582" s="614"/>
      <c r="P582" s="614"/>
      <c r="Q582" s="614"/>
      <c r="R582" s="614"/>
      <c r="S582" s="614"/>
      <c r="T582" s="614"/>
      <c r="U582" s="614"/>
      <c r="V582" s="614"/>
      <c r="W582" s="614"/>
      <c r="X582" s="614"/>
      <c r="Y582" s="614"/>
      <c r="Z582" s="614"/>
      <c r="AA582" s="614"/>
      <c r="AB582" s="614"/>
      <c r="AC582" s="614"/>
    </row>
    <row r="583" spans="1:29" ht="12.75" customHeight="1">
      <c r="A583" s="319"/>
      <c r="B583" s="614"/>
      <c r="C583" s="319"/>
      <c r="D583" s="614"/>
      <c r="E583" s="614"/>
      <c r="F583" s="614"/>
      <c r="G583" s="614"/>
      <c r="H583" s="614"/>
      <c r="I583" s="614"/>
      <c r="J583" s="614"/>
      <c r="K583" s="614"/>
      <c r="L583" s="614"/>
      <c r="M583" s="614"/>
      <c r="N583" s="614"/>
      <c r="O583" s="614"/>
      <c r="P583" s="614"/>
      <c r="Q583" s="614"/>
      <c r="R583" s="614"/>
      <c r="S583" s="614"/>
      <c r="T583" s="614"/>
      <c r="U583" s="614"/>
      <c r="V583" s="614"/>
      <c r="W583" s="614"/>
      <c r="X583" s="614"/>
      <c r="Y583" s="614"/>
      <c r="Z583" s="614"/>
      <c r="AA583" s="614"/>
      <c r="AB583" s="614"/>
      <c r="AC583" s="614"/>
    </row>
    <row r="584" spans="1:29" ht="12.75" customHeight="1">
      <c r="A584" s="319"/>
      <c r="B584" s="614"/>
      <c r="C584" s="319"/>
      <c r="D584" s="614"/>
      <c r="E584" s="614"/>
      <c r="F584" s="614"/>
      <c r="G584" s="614"/>
      <c r="H584" s="614"/>
      <c r="I584" s="614"/>
      <c r="J584" s="614"/>
      <c r="K584" s="614"/>
      <c r="L584" s="614"/>
      <c r="M584" s="614"/>
      <c r="N584" s="614"/>
      <c r="O584" s="614"/>
      <c r="P584" s="614"/>
      <c r="Q584" s="614"/>
      <c r="R584" s="614"/>
      <c r="S584" s="614"/>
      <c r="T584" s="614"/>
      <c r="U584" s="614"/>
      <c r="V584" s="614"/>
      <c r="W584" s="614"/>
      <c r="X584" s="614"/>
      <c r="Y584" s="614"/>
      <c r="Z584" s="614"/>
      <c r="AA584" s="614"/>
      <c r="AB584" s="614"/>
      <c r="AC584" s="614"/>
    </row>
    <row r="585" spans="1:29" ht="12.75" customHeight="1">
      <c r="A585" s="319"/>
      <c r="B585" s="614"/>
      <c r="C585" s="319"/>
      <c r="D585" s="614"/>
      <c r="E585" s="614"/>
      <c r="F585" s="614"/>
      <c r="G585" s="614"/>
      <c r="H585" s="614"/>
      <c r="I585" s="614"/>
      <c r="J585" s="614"/>
      <c r="K585" s="614"/>
      <c r="L585" s="614"/>
      <c r="M585" s="614"/>
      <c r="N585" s="614"/>
      <c r="O585" s="614"/>
      <c r="P585" s="614"/>
      <c r="Q585" s="614"/>
      <c r="R585" s="614"/>
      <c r="S585" s="614"/>
      <c r="T585" s="614"/>
      <c r="U585" s="614"/>
      <c r="V585" s="614"/>
      <c r="W585" s="614"/>
      <c r="X585" s="614"/>
      <c r="Y585" s="614"/>
      <c r="Z585" s="614"/>
      <c r="AA585" s="614"/>
      <c r="AB585" s="614"/>
      <c r="AC585" s="614"/>
    </row>
    <row r="586" spans="1:29" ht="12.75" customHeight="1">
      <c r="A586" s="319"/>
      <c r="B586" s="614"/>
      <c r="C586" s="319"/>
      <c r="D586" s="614"/>
      <c r="E586" s="614"/>
      <c r="F586" s="614"/>
      <c r="G586" s="614"/>
      <c r="H586" s="614"/>
      <c r="I586" s="614"/>
      <c r="J586" s="614"/>
      <c r="K586" s="614"/>
      <c r="L586" s="614"/>
      <c r="M586" s="614"/>
      <c r="N586" s="614"/>
      <c r="O586" s="614"/>
      <c r="P586" s="614"/>
      <c r="Q586" s="614"/>
      <c r="R586" s="614"/>
      <c r="S586" s="614"/>
      <c r="T586" s="614"/>
      <c r="U586" s="614"/>
      <c r="V586" s="614"/>
      <c r="W586" s="614"/>
      <c r="X586" s="614"/>
      <c r="Y586" s="614"/>
      <c r="Z586" s="614"/>
      <c r="AA586" s="614"/>
      <c r="AB586" s="614"/>
      <c r="AC586" s="614"/>
    </row>
    <row r="587" spans="1:29" ht="12.75" customHeight="1">
      <c r="A587" s="319"/>
      <c r="B587" s="614"/>
      <c r="C587" s="319"/>
      <c r="D587" s="614"/>
      <c r="E587" s="614"/>
      <c r="F587" s="614"/>
      <c r="G587" s="614"/>
      <c r="H587" s="614"/>
      <c r="I587" s="614"/>
      <c r="J587" s="614"/>
      <c r="K587" s="614"/>
      <c r="L587" s="614"/>
      <c r="M587" s="614"/>
      <c r="N587" s="614"/>
      <c r="O587" s="614"/>
      <c r="P587" s="614"/>
      <c r="Q587" s="614"/>
      <c r="R587" s="614"/>
      <c r="S587" s="614"/>
      <c r="T587" s="614"/>
      <c r="U587" s="614"/>
      <c r="V587" s="614"/>
      <c r="W587" s="614"/>
      <c r="X587" s="614"/>
      <c r="Y587" s="614"/>
      <c r="Z587" s="614"/>
      <c r="AA587" s="614"/>
      <c r="AB587" s="614"/>
      <c r="AC587" s="614"/>
    </row>
    <row r="588" spans="1:29" ht="12.75" customHeight="1">
      <c r="A588" s="319"/>
      <c r="B588" s="614"/>
      <c r="C588" s="319"/>
      <c r="D588" s="614"/>
      <c r="E588" s="614"/>
      <c r="F588" s="614"/>
      <c r="G588" s="614"/>
      <c r="H588" s="614"/>
      <c r="I588" s="614"/>
      <c r="J588" s="614"/>
      <c r="K588" s="614"/>
      <c r="L588" s="614"/>
      <c r="M588" s="614"/>
      <c r="N588" s="614"/>
      <c r="O588" s="614"/>
      <c r="P588" s="614"/>
      <c r="Q588" s="614"/>
      <c r="R588" s="614"/>
      <c r="S588" s="614"/>
      <c r="T588" s="614"/>
      <c r="U588" s="614"/>
      <c r="V588" s="614"/>
      <c r="W588" s="614"/>
      <c r="X588" s="614"/>
      <c r="Y588" s="614"/>
      <c r="Z588" s="614"/>
      <c r="AA588" s="614"/>
      <c r="AB588" s="614"/>
      <c r="AC588" s="614"/>
    </row>
    <row r="589" spans="1:29" ht="12.75" customHeight="1">
      <c r="A589" s="319"/>
      <c r="B589" s="614"/>
      <c r="C589" s="319"/>
      <c r="D589" s="614"/>
      <c r="E589" s="614"/>
      <c r="F589" s="614"/>
      <c r="G589" s="614"/>
      <c r="H589" s="614"/>
      <c r="I589" s="614"/>
      <c r="J589" s="614"/>
      <c r="K589" s="614"/>
      <c r="L589" s="614"/>
      <c r="M589" s="614"/>
      <c r="N589" s="614"/>
      <c r="O589" s="614"/>
      <c r="P589" s="614"/>
      <c r="Q589" s="614"/>
      <c r="R589" s="614"/>
      <c r="S589" s="614"/>
      <c r="T589" s="614"/>
      <c r="U589" s="614"/>
      <c r="V589" s="614"/>
      <c r="W589" s="614"/>
      <c r="X589" s="614"/>
      <c r="Y589" s="614"/>
      <c r="Z589" s="614"/>
      <c r="AA589" s="614"/>
      <c r="AB589" s="614"/>
      <c r="AC589" s="614"/>
    </row>
    <row r="590" spans="1:29" ht="12.75" customHeight="1">
      <c r="A590" s="319"/>
      <c r="B590" s="614"/>
      <c r="C590" s="319"/>
      <c r="D590" s="614"/>
      <c r="E590" s="614"/>
      <c r="F590" s="614"/>
      <c r="G590" s="614"/>
      <c r="H590" s="614"/>
      <c r="I590" s="614"/>
      <c r="J590" s="614"/>
      <c r="K590" s="614"/>
      <c r="L590" s="614"/>
      <c r="M590" s="614"/>
      <c r="N590" s="614"/>
      <c r="O590" s="614"/>
      <c r="P590" s="614"/>
      <c r="Q590" s="614"/>
      <c r="R590" s="614"/>
      <c r="S590" s="614"/>
      <c r="T590" s="614"/>
      <c r="U590" s="614"/>
      <c r="V590" s="614"/>
      <c r="W590" s="614"/>
      <c r="X590" s="614"/>
      <c r="Y590" s="614"/>
      <c r="Z590" s="614"/>
      <c r="AA590" s="614"/>
      <c r="AB590" s="614"/>
      <c r="AC590" s="614"/>
    </row>
    <row r="591" spans="1:29" ht="12.75" customHeight="1">
      <c r="A591" s="319"/>
      <c r="B591" s="614"/>
      <c r="C591" s="319"/>
      <c r="D591" s="614"/>
      <c r="E591" s="614"/>
      <c r="F591" s="614"/>
      <c r="G591" s="614"/>
      <c r="H591" s="614"/>
      <c r="I591" s="614"/>
      <c r="J591" s="614"/>
      <c r="K591" s="614"/>
      <c r="L591" s="614"/>
      <c r="M591" s="614"/>
      <c r="N591" s="614"/>
      <c r="O591" s="614"/>
      <c r="P591" s="614"/>
      <c r="Q591" s="614"/>
      <c r="R591" s="614"/>
      <c r="S591" s="614"/>
      <c r="T591" s="614"/>
      <c r="U591" s="614"/>
      <c r="V591" s="614"/>
      <c r="W591" s="614"/>
      <c r="X591" s="614"/>
      <c r="Y591" s="614"/>
      <c r="Z591" s="614"/>
      <c r="AA591" s="614"/>
      <c r="AB591" s="614"/>
      <c r="AC591" s="614"/>
    </row>
    <row r="592" spans="1:29" ht="12.75" customHeight="1">
      <c r="A592" s="319"/>
      <c r="B592" s="614"/>
      <c r="C592" s="319"/>
      <c r="D592" s="614"/>
      <c r="E592" s="614"/>
      <c r="F592" s="614"/>
      <c r="G592" s="614"/>
      <c r="H592" s="614"/>
      <c r="I592" s="614"/>
      <c r="J592" s="614"/>
      <c r="K592" s="614"/>
      <c r="L592" s="614"/>
      <c r="M592" s="614"/>
      <c r="N592" s="614"/>
      <c r="O592" s="614"/>
      <c r="P592" s="614"/>
      <c r="Q592" s="614"/>
      <c r="R592" s="614"/>
      <c r="S592" s="614"/>
      <c r="T592" s="614"/>
      <c r="U592" s="614"/>
      <c r="V592" s="614"/>
      <c r="W592" s="614"/>
      <c r="X592" s="614"/>
      <c r="Y592" s="614"/>
      <c r="Z592" s="614"/>
      <c r="AA592" s="614"/>
      <c r="AB592" s="614"/>
      <c r="AC592" s="614"/>
    </row>
    <row r="593" spans="1:29" ht="12.75" customHeight="1">
      <c r="A593" s="319"/>
      <c r="B593" s="614"/>
      <c r="C593" s="319"/>
      <c r="D593" s="614"/>
      <c r="E593" s="614"/>
      <c r="F593" s="614"/>
      <c r="G593" s="614"/>
      <c r="H593" s="614"/>
      <c r="I593" s="614"/>
      <c r="J593" s="614"/>
      <c r="K593" s="614"/>
      <c r="L593" s="614"/>
      <c r="M593" s="614"/>
      <c r="N593" s="614"/>
      <c r="O593" s="614"/>
      <c r="P593" s="614"/>
      <c r="Q593" s="614"/>
      <c r="R593" s="614"/>
      <c r="S593" s="614"/>
      <c r="T593" s="614"/>
      <c r="U593" s="614"/>
      <c r="V593" s="614"/>
      <c r="W593" s="614"/>
      <c r="X593" s="614"/>
      <c r="Y593" s="614"/>
      <c r="Z593" s="614"/>
      <c r="AA593" s="614"/>
      <c r="AB593" s="614"/>
      <c r="AC593" s="614"/>
    </row>
    <row r="594" spans="1:29" ht="12.75" customHeight="1">
      <c r="A594" s="319"/>
      <c r="B594" s="614"/>
      <c r="C594" s="319"/>
      <c r="D594" s="614"/>
      <c r="E594" s="614"/>
      <c r="F594" s="614"/>
      <c r="G594" s="614"/>
      <c r="H594" s="614"/>
      <c r="I594" s="614"/>
      <c r="J594" s="614"/>
      <c r="K594" s="614"/>
      <c r="L594" s="614"/>
      <c r="M594" s="614"/>
      <c r="N594" s="614"/>
      <c r="O594" s="614"/>
      <c r="P594" s="614"/>
      <c r="Q594" s="614"/>
      <c r="R594" s="614"/>
      <c r="S594" s="614"/>
      <c r="T594" s="614"/>
      <c r="U594" s="614"/>
      <c r="V594" s="614"/>
      <c r="W594" s="614"/>
      <c r="X594" s="614"/>
      <c r="Y594" s="614"/>
      <c r="Z594" s="614"/>
      <c r="AA594" s="614"/>
      <c r="AB594" s="614"/>
      <c r="AC594" s="614"/>
    </row>
    <row r="595" spans="1:29" ht="12.75" customHeight="1">
      <c r="A595" s="319"/>
      <c r="B595" s="614"/>
      <c r="C595" s="319"/>
      <c r="D595" s="614"/>
      <c r="E595" s="614"/>
      <c r="F595" s="614"/>
      <c r="G595" s="614"/>
      <c r="H595" s="614"/>
      <c r="I595" s="614"/>
      <c r="J595" s="614"/>
      <c r="K595" s="614"/>
      <c r="L595" s="614"/>
      <c r="M595" s="614"/>
      <c r="N595" s="614"/>
      <c r="O595" s="614"/>
      <c r="P595" s="614"/>
      <c r="Q595" s="614"/>
      <c r="R595" s="614"/>
      <c r="S595" s="614"/>
      <c r="T595" s="614"/>
      <c r="U595" s="614"/>
      <c r="V595" s="614"/>
      <c r="W595" s="614"/>
      <c r="X595" s="614"/>
      <c r="Y595" s="614"/>
      <c r="Z595" s="614"/>
      <c r="AA595" s="614"/>
      <c r="AB595" s="614"/>
      <c r="AC595" s="614"/>
    </row>
    <row r="596" spans="1:29" ht="12.75" customHeight="1">
      <c r="A596" s="319"/>
      <c r="B596" s="614"/>
      <c r="C596" s="319"/>
      <c r="D596" s="614"/>
      <c r="E596" s="614"/>
      <c r="F596" s="614"/>
      <c r="G596" s="614"/>
      <c r="H596" s="614"/>
      <c r="I596" s="614"/>
      <c r="J596" s="614"/>
      <c r="K596" s="614"/>
      <c r="L596" s="614"/>
      <c r="M596" s="614"/>
      <c r="N596" s="614"/>
      <c r="O596" s="614"/>
      <c r="P596" s="614"/>
      <c r="Q596" s="614"/>
      <c r="R596" s="614"/>
      <c r="S596" s="614"/>
      <c r="T596" s="614"/>
      <c r="U596" s="614"/>
      <c r="V596" s="614"/>
      <c r="W596" s="614"/>
      <c r="X596" s="614"/>
      <c r="Y596" s="614"/>
      <c r="Z596" s="614"/>
      <c r="AA596" s="614"/>
      <c r="AB596" s="614"/>
      <c r="AC596" s="614"/>
    </row>
    <row r="597" spans="1:29" ht="12.75" customHeight="1">
      <c r="A597" s="319"/>
      <c r="B597" s="614"/>
      <c r="C597" s="319"/>
      <c r="D597" s="614"/>
      <c r="E597" s="614"/>
      <c r="F597" s="614"/>
      <c r="G597" s="614"/>
      <c r="H597" s="614"/>
      <c r="I597" s="614"/>
      <c r="J597" s="614"/>
      <c r="K597" s="614"/>
      <c r="L597" s="614"/>
      <c r="M597" s="614"/>
      <c r="N597" s="614"/>
      <c r="O597" s="614"/>
      <c r="P597" s="614"/>
      <c r="Q597" s="614"/>
      <c r="R597" s="614"/>
      <c r="S597" s="614"/>
      <c r="T597" s="614"/>
      <c r="U597" s="614"/>
      <c r="V597" s="614"/>
      <c r="W597" s="614"/>
      <c r="X597" s="614"/>
      <c r="Y597" s="614"/>
      <c r="Z597" s="614"/>
      <c r="AA597" s="614"/>
      <c r="AB597" s="614"/>
      <c r="AC597" s="614"/>
    </row>
    <row r="598" spans="1:29" ht="12.75" customHeight="1">
      <c r="A598" s="319"/>
      <c r="B598" s="614"/>
      <c r="C598" s="319"/>
      <c r="D598" s="614"/>
      <c r="E598" s="614"/>
      <c r="F598" s="614"/>
      <c r="G598" s="614"/>
      <c r="H598" s="614"/>
      <c r="I598" s="614"/>
      <c r="J598" s="614"/>
      <c r="K598" s="614"/>
      <c r="L598" s="614"/>
      <c r="M598" s="614"/>
      <c r="N598" s="614"/>
      <c r="O598" s="614"/>
      <c r="P598" s="614"/>
      <c r="Q598" s="614"/>
      <c r="R598" s="614"/>
      <c r="S598" s="614"/>
      <c r="T598" s="614"/>
      <c r="U598" s="614"/>
      <c r="V598" s="614"/>
      <c r="W598" s="614"/>
      <c r="X598" s="614"/>
      <c r="Y598" s="614"/>
      <c r="Z598" s="614"/>
      <c r="AA598" s="614"/>
      <c r="AB598" s="614"/>
      <c r="AC598" s="614"/>
    </row>
    <row r="599" spans="1:29" ht="12.75" customHeight="1">
      <c r="A599" s="319"/>
      <c r="B599" s="614"/>
      <c r="C599" s="319"/>
      <c r="D599" s="614"/>
      <c r="E599" s="614"/>
      <c r="F599" s="614"/>
      <c r="G599" s="614"/>
      <c r="H599" s="614"/>
      <c r="I599" s="614"/>
      <c r="J599" s="614"/>
      <c r="K599" s="614"/>
      <c r="L599" s="614"/>
      <c r="M599" s="614"/>
      <c r="N599" s="614"/>
      <c r="O599" s="614"/>
      <c r="P599" s="614"/>
      <c r="Q599" s="614"/>
      <c r="R599" s="614"/>
      <c r="S599" s="614"/>
      <c r="T599" s="614"/>
      <c r="U599" s="614"/>
      <c r="V599" s="614"/>
      <c r="W599" s="614"/>
      <c r="X599" s="614"/>
      <c r="Y599" s="614"/>
      <c r="Z599" s="614"/>
      <c r="AA599" s="614"/>
      <c r="AB599" s="614"/>
      <c r="AC599" s="614"/>
    </row>
    <row r="600" spans="1:29" ht="12.75" customHeight="1">
      <c r="A600" s="319"/>
      <c r="B600" s="614"/>
      <c r="C600" s="319"/>
      <c r="D600" s="614"/>
      <c r="E600" s="614"/>
      <c r="F600" s="614"/>
      <c r="G600" s="614"/>
      <c r="H600" s="614"/>
      <c r="I600" s="614"/>
      <c r="J600" s="614"/>
      <c r="K600" s="614"/>
      <c r="L600" s="614"/>
      <c r="M600" s="614"/>
      <c r="N600" s="614"/>
      <c r="O600" s="614"/>
      <c r="P600" s="614"/>
      <c r="Q600" s="614"/>
      <c r="R600" s="614"/>
      <c r="S600" s="614"/>
      <c r="T600" s="614"/>
      <c r="U600" s="614"/>
      <c r="V600" s="614"/>
      <c r="W600" s="614"/>
      <c r="X600" s="614"/>
      <c r="Y600" s="614"/>
      <c r="Z600" s="614"/>
      <c r="AA600" s="614"/>
      <c r="AB600" s="614"/>
      <c r="AC600" s="614"/>
    </row>
    <row r="601" spans="1:29" ht="12.75" customHeight="1">
      <c r="A601" s="319"/>
      <c r="B601" s="614"/>
      <c r="C601" s="319"/>
      <c r="D601" s="614"/>
      <c r="E601" s="614"/>
      <c r="F601" s="614"/>
      <c r="G601" s="614"/>
      <c r="H601" s="614"/>
      <c r="I601" s="614"/>
      <c r="J601" s="614"/>
      <c r="K601" s="614"/>
      <c r="L601" s="614"/>
      <c r="M601" s="614"/>
      <c r="N601" s="614"/>
      <c r="O601" s="614"/>
      <c r="P601" s="614"/>
      <c r="Q601" s="614"/>
      <c r="R601" s="614"/>
      <c r="S601" s="614"/>
      <c r="T601" s="614"/>
      <c r="U601" s="614"/>
      <c r="V601" s="614"/>
      <c r="W601" s="614"/>
      <c r="X601" s="614"/>
      <c r="Y601" s="614"/>
      <c r="Z601" s="614"/>
      <c r="AA601" s="614"/>
      <c r="AB601" s="614"/>
      <c r="AC601" s="614"/>
    </row>
    <row r="602" spans="1:29" ht="12.75" customHeight="1">
      <c r="A602" s="319"/>
      <c r="B602" s="614"/>
      <c r="C602" s="319"/>
      <c r="D602" s="614"/>
      <c r="E602" s="614"/>
      <c r="F602" s="614"/>
      <c r="G602" s="614"/>
      <c r="H602" s="614"/>
      <c r="I602" s="614"/>
      <c r="J602" s="614"/>
      <c r="K602" s="614"/>
      <c r="L602" s="614"/>
      <c r="M602" s="614"/>
      <c r="N602" s="614"/>
      <c r="O602" s="614"/>
      <c r="P602" s="614"/>
      <c r="Q602" s="614"/>
      <c r="R602" s="614"/>
      <c r="S602" s="614"/>
      <c r="T602" s="614"/>
      <c r="U602" s="614"/>
      <c r="V602" s="614"/>
      <c r="W602" s="614"/>
      <c r="X602" s="614"/>
      <c r="Y602" s="614"/>
      <c r="Z602" s="614"/>
      <c r="AA602" s="614"/>
      <c r="AB602" s="614"/>
      <c r="AC602" s="614"/>
    </row>
    <row r="603" spans="1:29" ht="12.75" customHeight="1">
      <c r="A603" s="319"/>
      <c r="B603" s="614"/>
      <c r="C603" s="319"/>
      <c r="D603" s="614"/>
      <c r="E603" s="614"/>
      <c r="F603" s="614"/>
      <c r="G603" s="614"/>
      <c r="H603" s="614"/>
      <c r="I603" s="614"/>
      <c r="J603" s="614"/>
      <c r="K603" s="614"/>
      <c r="L603" s="614"/>
      <c r="M603" s="614"/>
      <c r="N603" s="614"/>
      <c r="O603" s="614"/>
      <c r="P603" s="614"/>
      <c r="Q603" s="614"/>
      <c r="R603" s="614"/>
      <c r="S603" s="614"/>
      <c r="T603" s="614"/>
      <c r="U603" s="614"/>
      <c r="V603" s="614"/>
      <c r="W603" s="614"/>
      <c r="X603" s="614"/>
      <c r="Y603" s="614"/>
      <c r="Z603" s="614"/>
      <c r="AA603" s="614"/>
      <c r="AB603" s="614"/>
      <c r="AC603" s="614"/>
    </row>
    <row r="604" spans="1:29" ht="12.75" customHeight="1">
      <c r="A604" s="319"/>
      <c r="B604" s="614"/>
      <c r="C604" s="319"/>
      <c r="D604" s="614"/>
      <c r="E604" s="614"/>
      <c r="F604" s="614"/>
      <c r="G604" s="614"/>
      <c r="H604" s="614"/>
      <c r="I604" s="614"/>
      <c r="J604" s="614"/>
      <c r="K604" s="614"/>
      <c r="L604" s="614"/>
      <c r="M604" s="614"/>
      <c r="N604" s="614"/>
      <c r="O604" s="614"/>
      <c r="P604" s="614"/>
      <c r="Q604" s="614"/>
      <c r="R604" s="614"/>
      <c r="S604" s="614"/>
      <c r="T604" s="614"/>
      <c r="U604" s="614"/>
      <c r="V604" s="614"/>
      <c r="W604" s="614"/>
      <c r="X604" s="614"/>
      <c r="Y604" s="614"/>
      <c r="Z604" s="614"/>
      <c r="AA604" s="614"/>
      <c r="AB604" s="614"/>
      <c r="AC604" s="614"/>
    </row>
    <row r="605" spans="1:29" ht="12.75" customHeight="1">
      <c r="A605" s="319"/>
      <c r="B605" s="614"/>
      <c r="C605" s="319"/>
      <c r="D605" s="614"/>
      <c r="E605" s="614"/>
      <c r="F605" s="614"/>
      <c r="G605" s="614"/>
      <c r="H605" s="614"/>
      <c r="I605" s="614"/>
      <c r="J605" s="614"/>
      <c r="K605" s="614"/>
      <c r="L605" s="614"/>
      <c r="M605" s="614"/>
      <c r="N605" s="614"/>
      <c r="O605" s="614"/>
      <c r="P605" s="614"/>
      <c r="Q605" s="614"/>
      <c r="R605" s="614"/>
      <c r="S605" s="614"/>
      <c r="T605" s="614"/>
      <c r="U605" s="614"/>
      <c r="V605" s="614"/>
      <c r="W605" s="614"/>
      <c r="X605" s="614"/>
      <c r="Y605" s="614"/>
      <c r="Z605" s="614"/>
      <c r="AA605" s="614"/>
      <c r="AB605" s="614"/>
      <c r="AC605" s="614"/>
    </row>
    <row r="606" spans="1:29" ht="12.75" customHeight="1">
      <c r="A606" s="319"/>
      <c r="B606" s="614"/>
      <c r="C606" s="319"/>
      <c r="D606" s="614"/>
      <c r="E606" s="614"/>
      <c r="F606" s="614"/>
      <c r="G606" s="614"/>
      <c r="H606" s="614"/>
      <c r="I606" s="614"/>
      <c r="J606" s="614"/>
      <c r="K606" s="614"/>
      <c r="L606" s="614"/>
      <c r="M606" s="614"/>
      <c r="N606" s="614"/>
      <c r="O606" s="614"/>
      <c r="P606" s="614"/>
      <c r="Q606" s="614"/>
      <c r="R606" s="614"/>
      <c r="S606" s="614"/>
      <c r="T606" s="614"/>
      <c r="U606" s="614"/>
      <c r="V606" s="614"/>
      <c r="W606" s="614"/>
      <c r="X606" s="614"/>
      <c r="Y606" s="614"/>
      <c r="Z606" s="614"/>
      <c r="AA606" s="614"/>
      <c r="AB606" s="614"/>
      <c r="AC606" s="614"/>
    </row>
    <row r="607" spans="1:29" ht="12.75" customHeight="1">
      <c r="A607" s="319"/>
      <c r="B607" s="614"/>
      <c r="C607" s="319"/>
      <c r="D607" s="614"/>
      <c r="E607" s="614"/>
      <c r="F607" s="614"/>
      <c r="G607" s="614"/>
      <c r="H607" s="614"/>
      <c r="I607" s="614"/>
      <c r="J607" s="614"/>
      <c r="K607" s="614"/>
      <c r="L607" s="614"/>
      <c r="M607" s="614"/>
      <c r="N607" s="614"/>
      <c r="O607" s="614"/>
      <c r="P607" s="614"/>
      <c r="Q607" s="614"/>
      <c r="R607" s="614"/>
      <c r="S607" s="614"/>
      <c r="T607" s="614"/>
      <c r="U607" s="614"/>
      <c r="V607" s="614"/>
      <c r="W607" s="614"/>
      <c r="X607" s="614"/>
      <c r="Y607" s="614"/>
      <c r="Z607" s="614"/>
      <c r="AA607" s="614"/>
      <c r="AB607" s="614"/>
      <c r="AC607" s="614"/>
    </row>
    <row r="608" spans="1:29" ht="12.75" customHeight="1">
      <c r="A608" s="319"/>
      <c r="B608" s="614"/>
      <c r="C608" s="319"/>
      <c r="D608" s="614"/>
      <c r="E608" s="614"/>
      <c r="F608" s="614"/>
      <c r="G608" s="614"/>
      <c r="H608" s="614"/>
      <c r="I608" s="614"/>
      <c r="J608" s="614"/>
      <c r="K608" s="614"/>
      <c r="L608" s="614"/>
      <c r="M608" s="614"/>
      <c r="N608" s="614"/>
      <c r="O608" s="614"/>
      <c r="P608" s="614"/>
      <c r="Q608" s="614"/>
      <c r="R608" s="614"/>
      <c r="S608" s="614"/>
      <c r="T608" s="614"/>
      <c r="U608" s="614"/>
      <c r="V608" s="614"/>
      <c r="W608" s="614"/>
      <c r="X608" s="614"/>
      <c r="Y608" s="614"/>
      <c r="Z608" s="614"/>
      <c r="AA608" s="614"/>
      <c r="AB608" s="614"/>
      <c r="AC608" s="614"/>
    </row>
    <row r="609" spans="1:29" ht="12.75" customHeight="1">
      <c r="A609" s="319"/>
      <c r="B609" s="614"/>
      <c r="C609" s="319"/>
      <c r="D609" s="614"/>
      <c r="E609" s="614"/>
      <c r="F609" s="614"/>
      <c r="G609" s="614"/>
      <c r="H609" s="614"/>
      <c r="I609" s="614"/>
      <c r="J609" s="614"/>
      <c r="K609" s="614"/>
      <c r="L609" s="614"/>
      <c r="M609" s="614"/>
      <c r="N609" s="614"/>
      <c r="O609" s="614"/>
      <c r="P609" s="614"/>
      <c r="Q609" s="614"/>
      <c r="R609" s="614"/>
      <c r="S609" s="614"/>
      <c r="T609" s="614"/>
      <c r="U609" s="614"/>
      <c r="V609" s="614"/>
      <c r="W609" s="614"/>
      <c r="X609" s="614"/>
      <c r="Y609" s="614"/>
      <c r="Z609" s="614"/>
      <c r="AA609" s="614"/>
      <c r="AB609" s="614"/>
      <c r="AC609" s="614"/>
    </row>
    <row r="610" spans="1:29" ht="12.75" customHeight="1">
      <c r="A610" s="319"/>
      <c r="B610" s="614"/>
      <c r="C610" s="319"/>
      <c r="D610" s="614"/>
      <c r="E610" s="614"/>
      <c r="F610" s="614"/>
      <c r="G610" s="614"/>
      <c r="H610" s="614"/>
      <c r="I610" s="614"/>
      <c r="J610" s="614"/>
      <c r="K610" s="614"/>
      <c r="L610" s="614"/>
      <c r="M610" s="614"/>
      <c r="N610" s="614"/>
      <c r="O610" s="614"/>
      <c r="P610" s="614"/>
      <c r="Q610" s="614"/>
      <c r="R610" s="614"/>
      <c r="S610" s="614"/>
      <c r="T610" s="614"/>
      <c r="U610" s="614"/>
      <c r="V610" s="614"/>
      <c r="W610" s="614"/>
      <c r="X610" s="614"/>
      <c r="Y610" s="614"/>
      <c r="Z610" s="614"/>
      <c r="AA610" s="614"/>
      <c r="AB610" s="614"/>
      <c r="AC610" s="614"/>
    </row>
    <row r="611" spans="1:29" ht="12.75" customHeight="1">
      <c r="A611" s="319"/>
      <c r="B611" s="614"/>
      <c r="C611" s="319"/>
      <c r="D611" s="614"/>
      <c r="E611" s="614"/>
      <c r="F611" s="614"/>
      <c r="G611" s="614"/>
      <c r="H611" s="614"/>
      <c r="I611" s="614"/>
      <c r="J611" s="614"/>
      <c r="K611" s="614"/>
      <c r="L611" s="614"/>
      <c r="M611" s="614"/>
      <c r="N611" s="614"/>
      <c r="O611" s="614"/>
      <c r="P611" s="614"/>
      <c r="Q611" s="614"/>
      <c r="R611" s="614"/>
      <c r="S611" s="614"/>
      <c r="T611" s="614"/>
      <c r="U611" s="614"/>
      <c r="V611" s="614"/>
      <c r="W611" s="614"/>
      <c r="X611" s="614"/>
      <c r="Y611" s="614"/>
      <c r="Z611" s="614"/>
      <c r="AA611" s="614"/>
      <c r="AB611" s="614"/>
      <c r="AC611" s="614"/>
    </row>
    <row r="612" spans="1:29" ht="12.75" customHeight="1">
      <c r="A612" s="319"/>
      <c r="B612" s="614"/>
      <c r="C612" s="319"/>
      <c r="D612" s="614"/>
      <c r="E612" s="614"/>
      <c r="F612" s="614"/>
      <c r="G612" s="614"/>
      <c r="H612" s="614"/>
      <c r="I612" s="614"/>
      <c r="J612" s="614"/>
      <c r="K612" s="614"/>
      <c r="L612" s="614"/>
      <c r="M612" s="614"/>
      <c r="N612" s="614"/>
      <c r="O612" s="614"/>
      <c r="P612" s="614"/>
      <c r="Q612" s="614"/>
      <c r="R612" s="614"/>
      <c r="S612" s="614"/>
      <c r="T612" s="614"/>
      <c r="U612" s="614"/>
      <c r="V612" s="614"/>
      <c r="W612" s="614"/>
      <c r="X612" s="614"/>
      <c r="Y612" s="614"/>
      <c r="Z612" s="614"/>
      <c r="AA612" s="614"/>
      <c r="AB612" s="614"/>
      <c r="AC612" s="614"/>
    </row>
    <row r="613" spans="1:29" ht="12.75" customHeight="1">
      <c r="A613" s="319"/>
      <c r="B613" s="614"/>
      <c r="C613" s="319"/>
      <c r="D613" s="614"/>
      <c r="E613" s="614"/>
      <c r="F613" s="614"/>
      <c r="G613" s="614"/>
      <c r="H613" s="614"/>
      <c r="I613" s="614"/>
      <c r="J613" s="614"/>
      <c r="K613" s="614"/>
      <c r="L613" s="614"/>
      <c r="M613" s="614"/>
      <c r="N613" s="614"/>
      <c r="O613" s="614"/>
      <c r="P613" s="614"/>
      <c r="Q613" s="614"/>
      <c r="R613" s="614"/>
      <c r="S613" s="614"/>
      <c r="T613" s="614"/>
      <c r="U613" s="614"/>
      <c r="V613" s="614"/>
      <c r="W613" s="614"/>
      <c r="X613" s="614"/>
      <c r="Y613" s="614"/>
      <c r="Z613" s="614"/>
      <c r="AA613" s="614"/>
      <c r="AB613" s="614"/>
      <c r="AC613" s="614"/>
    </row>
    <row r="614" spans="1:29" ht="12.75" customHeight="1">
      <c r="A614" s="319"/>
      <c r="B614" s="614"/>
      <c r="C614" s="319"/>
      <c r="D614" s="614"/>
      <c r="E614" s="614"/>
      <c r="F614" s="614"/>
      <c r="G614" s="614"/>
      <c r="H614" s="614"/>
      <c r="I614" s="614"/>
      <c r="J614" s="614"/>
      <c r="K614" s="614"/>
      <c r="L614" s="614"/>
      <c r="M614" s="614"/>
      <c r="N614" s="614"/>
      <c r="O614" s="614"/>
      <c r="P614" s="614"/>
      <c r="Q614" s="614"/>
      <c r="R614" s="614"/>
      <c r="S614" s="614"/>
      <c r="T614" s="614"/>
      <c r="U614" s="614"/>
      <c r="V614" s="614"/>
      <c r="W614" s="614"/>
      <c r="X614" s="614"/>
      <c r="Y614" s="614"/>
      <c r="Z614" s="614"/>
      <c r="AA614" s="614"/>
      <c r="AB614" s="614"/>
      <c r="AC614" s="614"/>
    </row>
    <row r="615" spans="1:29" ht="12.75" customHeight="1">
      <c r="A615" s="319"/>
      <c r="B615" s="614"/>
      <c r="C615" s="319"/>
      <c r="D615" s="614"/>
      <c r="E615" s="614"/>
      <c r="F615" s="614"/>
      <c r="G615" s="614"/>
      <c r="H615" s="614"/>
      <c r="I615" s="614"/>
      <c r="J615" s="614"/>
      <c r="K615" s="614"/>
      <c r="L615" s="614"/>
      <c r="M615" s="614"/>
      <c r="N615" s="614"/>
      <c r="O615" s="614"/>
      <c r="P615" s="614"/>
      <c r="Q615" s="614"/>
      <c r="R615" s="614"/>
      <c r="S615" s="614"/>
      <c r="T615" s="614"/>
      <c r="U615" s="614"/>
      <c r="V615" s="614"/>
      <c r="W615" s="614"/>
      <c r="X615" s="614"/>
      <c r="Y615" s="614"/>
      <c r="Z615" s="614"/>
      <c r="AA615" s="614"/>
      <c r="AB615" s="614"/>
      <c r="AC615" s="614"/>
    </row>
    <row r="616" spans="1:29" ht="12.75" customHeight="1">
      <c r="A616" s="319"/>
      <c r="B616" s="614"/>
      <c r="C616" s="319"/>
      <c r="D616" s="614"/>
      <c r="E616" s="614"/>
      <c r="F616" s="614"/>
      <c r="G616" s="614"/>
      <c r="H616" s="614"/>
      <c r="I616" s="614"/>
      <c r="J616" s="614"/>
      <c r="K616" s="614"/>
      <c r="L616" s="614"/>
      <c r="M616" s="614"/>
      <c r="N616" s="614"/>
      <c r="O616" s="614"/>
      <c r="P616" s="614"/>
      <c r="Q616" s="614"/>
      <c r="R616" s="614"/>
      <c r="S616" s="614"/>
      <c r="T616" s="614"/>
      <c r="U616" s="614"/>
      <c r="V616" s="614"/>
      <c r="W616" s="614"/>
      <c r="X616" s="614"/>
      <c r="Y616" s="614"/>
      <c r="Z616" s="614"/>
      <c r="AA616" s="614"/>
      <c r="AB616" s="614"/>
      <c r="AC616" s="614"/>
    </row>
    <row r="617" spans="1:29" ht="12.75" customHeight="1">
      <c r="A617" s="319"/>
      <c r="B617" s="614"/>
      <c r="C617" s="319"/>
      <c r="D617" s="614"/>
      <c r="E617" s="614"/>
      <c r="F617" s="614"/>
      <c r="G617" s="614"/>
      <c r="H617" s="614"/>
      <c r="I617" s="614"/>
      <c r="J617" s="614"/>
      <c r="K617" s="614"/>
      <c r="L617" s="614"/>
      <c r="M617" s="614"/>
      <c r="N617" s="614"/>
      <c r="O617" s="614"/>
      <c r="P617" s="614"/>
      <c r="Q617" s="614"/>
      <c r="R617" s="614"/>
      <c r="S617" s="614"/>
      <c r="T617" s="614"/>
      <c r="U617" s="614"/>
      <c r="V617" s="614"/>
      <c r="W617" s="614"/>
      <c r="X617" s="614"/>
      <c r="Y617" s="614"/>
      <c r="Z617" s="614"/>
      <c r="AA617" s="614"/>
      <c r="AB617" s="614"/>
      <c r="AC617" s="614"/>
    </row>
    <row r="618" spans="1:29" ht="12.75" customHeight="1">
      <c r="A618" s="319"/>
      <c r="B618" s="614"/>
      <c r="C618" s="319"/>
      <c r="D618" s="614"/>
      <c r="E618" s="614"/>
      <c r="F618" s="614"/>
      <c r="G618" s="614"/>
      <c r="H618" s="614"/>
      <c r="I618" s="614"/>
      <c r="J618" s="614"/>
      <c r="K618" s="614"/>
      <c r="L618" s="614"/>
      <c r="M618" s="614"/>
      <c r="N618" s="614"/>
      <c r="O618" s="614"/>
      <c r="P618" s="614"/>
      <c r="Q618" s="614"/>
      <c r="R618" s="614"/>
      <c r="S618" s="614"/>
      <c r="T618" s="614"/>
      <c r="U618" s="614"/>
      <c r="V618" s="614"/>
      <c r="W618" s="614"/>
      <c r="X618" s="614"/>
      <c r="Y618" s="614"/>
      <c r="Z618" s="614"/>
      <c r="AA618" s="614"/>
      <c r="AB618" s="614"/>
      <c r="AC618" s="614"/>
    </row>
    <row r="619" spans="1:29" ht="12.75" customHeight="1">
      <c r="A619" s="319"/>
      <c r="B619" s="614"/>
      <c r="C619" s="319"/>
      <c r="D619" s="614"/>
      <c r="E619" s="614"/>
      <c r="F619" s="614"/>
      <c r="G619" s="614"/>
      <c r="H619" s="614"/>
      <c r="I619" s="614"/>
      <c r="J619" s="614"/>
      <c r="K619" s="614"/>
      <c r="L619" s="614"/>
      <c r="M619" s="614"/>
      <c r="N619" s="614"/>
      <c r="O619" s="614"/>
      <c r="P619" s="614"/>
      <c r="Q619" s="614"/>
      <c r="R619" s="614"/>
      <c r="S619" s="614"/>
      <c r="T619" s="614"/>
      <c r="U619" s="614"/>
      <c r="V619" s="614"/>
      <c r="W619" s="614"/>
      <c r="X619" s="614"/>
      <c r="Y619" s="614"/>
      <c r="Z619" s="614"/>
      <c r="AA619" s="614"/>
      <c r="AB619" s="614"/>
      <c r="AC619" s="614"/>
    </row>
    <row r="620" spans="1:29" ht="12.75" customHeight="1">
      <c r="A620" s="319"/>
      <c r="B620" s="614"/>
      <c r="C620" s="319"/>
      <c r="D620" s="614"/>
      <c r="E620" s="614"/>
      <c r="F620" s="614"/>
      <c r="G620" s="614"/>
      <c r="H620" s="614"/>
      <c r="I620" s="614"/>
      <c r="J620" s="614"/>
      <c r="K620" s="614"/>
      <c r="L620" s="614"/>
      <c r="M620" s="614"/>
      <c r="N620" s="614"/>
      <c r="O620" s="614"/>
      <c r="P620" s="614"/>
      <c r="Q620" s="614"/>
      <c r="R620" s="614"/>
      <c r="S620" s="614"/>
      <c r="T620" s="614"/>
      <c r="U620" s="614"/>
      <c r="V620" s="614"/>
      <c r="W620" s="614"/>
      <c r="X620" s="614"/>
      <c r="Y620" s="614"/>
      <c r="Z620" s="614"/>
      <c r="AA620" s="614"/>
      <c r="AB620" s="614"/>
      <c r="AC620" s="614"/>
    </row>
    <row r="621" spans="1:29" ht="12.75" customHeight="1">
      <c r="A621" s="319"/>
      <c r="B621" s="614"/>
      <c r="C621" s="319"/>
      <c r="D621" s="614"/>
      <c r="E621" s="614"/>
      <c r="F621" s="614"/>
      <c r="G621" s="614"/>
      <c r="H621" s="614"/>
      <c r="I621" s="614"/>
      <c r="J621" s="614"/>
      <c r="K621" s="614"/>
      <c r="L621" s="614"/>
      <c r="M621" s="614"/>
      <c r="N621" s="614"/>
      <c r="O621" s="614"/>
      <c r="P621" s="614"/>
      <c r="Q621" s="614"/>
      <c r="R621" s="614"/>
      <c r="S621" s="614"/>
      <c r="T621" s="614"/>
      <c r="U621" s="614"/>
      <c r="V621" s="614"/>
      <c r="W621" s="614"/>
      <c r="X621" s="614"/>
      <c r="Y621" s="614"/>
      <c r="Z621" s="614"/>
      <c r="AA621" s="614"/>
      <c r="AB621" s="614"/>
      <c r="AC621" s="614"/>
    </row>
    <row r="622" spans="1:29" ht="12.75" customHeight="1">
      <c r="A622" s="319"/>
      <c r="B622" s="614"/>
      <c r="C622" s="319"/>
      <c r="D622" s="614"/>
      <c r="E622" s="614"/>
      <c r="F622" s="614"/>
      <c r="G622" s="614"/>
      <c r="H622" s="614"/>
      <c r="I622" s="614"/>
      <c r="J622" s="614"/>
      <c r="K622" s="614"/>
      <c r="L622" s="614"/>
      <c r="M622" s="614"/>
      <c r="N622" s="614"/>
      <c r="O622" s="614"/>
      <c r="P622" s="614"/>
      <c r="Q622" s="614"/>
      <c r="R622" s="614"/>
      <c r="S622" s="614"/>
      <c r="T622" s="614"/>
      <c r="U622" s="614"/>
      <c r="V622" s="614"/>
      <c r="W622" s="614"/>
      <c r="X622" s="614"/>
      <c r="Y622" s="614"/>
      <c r="Z622" s="614"/>
      <c r="AA622" s="614"/>
      <c r="AB622" s="614"/>
      <c r="AC622" s="614"/>
    </row>
    <row r="623" spans="1:29" ht="12.75" customHeight="1">
      <c r="A623" s="319"/>
      <c r="B623" s="614"/>
      <c r="C623" s="319"/>
      <c r="D623" s="614"/>
      <c r="E623" s="614"/>
      <c r="F623" s="614"/>
      <c r="G623" s="614"/>
      <c r="H623" s="614"/>
      <c r="I623" s="614"/>
      <c r="J623" s="614"/>
      <c r="K623" s="614"/>
      <c r="L623" s="614"/>
      <c r="M623" s="614"/>
      <c r="N623" s="614"/>
      <c r="O623" s="614"/>
      <c r="P623" s="614"/>
      <c r="Q623" s="614"/>
      <c r="R623" s="614"/>
      <c r="S623" s="614"/>
      <c r="T623" s="614"/>
      <c r="U623" s="614"/>
      <c r="V623" s="614"/>
      <c r="W623" s="614"/>
      <c r="X623" s="614"/>
      <c r="Y623" s="614"/>
      <c r="Z623" s="614"/>
      <c r="AA623" s="614"/>
      <c r="AB623" s="614"/>
      <c r="AC623" s="614"/>
    </row>
    <row r="624" spans="1:29" ht="12.75" customHeight="1">
      <c r="A624" s="319"/>
      <c r="B624" s="614"/>
      <c r="C624" s="319"/>
      <c r="D624" s="614"/>
      <c r="E624" s="614"/>
      <c r="F624" s="614"/>
      <c r="G624" s="614"/>
      <c r="H624" s="614"/>
      <c r="I624" s="614"/>
      <c r="J624" s="614"/>
      <c r="K624" s="614"/>
      <c r="L624" s="614"/>
      <c r="M624" s="614"/>
      <c r="N624" s="614"/>
      <c r="O624" s="614"/>
      <c r="P624" s="614"/>
      <c r="Q624" s="614"/>
      <c r="R624" s="614"/>
      <c r="S624" s="614"/>
      <c r="T624" s="614"/>
      <c r="U624" s="614"/>
      <c r="V624" s="614"/>
      <c r="W624" s="614"/>
      <c r="X624" s="614"/>
      <c r="Y624" s="614"/>
      <c r="Z624" s="614"/>
      <c r="AA624" s="614"/>
      <c r="AB624" s="614"/>
      <c r="AC624" s="614"/>
    </row>
    <row r="625" spans="1:29" ht="12.75" customHeight="1">
      <c r="A625" s="319"/>
      <c r="B625" s="614"/>
      <c r="C625" s="319"/>
      <c r="D625" s="614"/>
      <c r="E625" s="614"/>
      <c r="F625" s="614"/>
      <c r="G625" s="614"/>
      <c r="H625" s="614"/>
      <c r="I625" s="614"/>
      <c r="J625" s="614"/>
      <c r="K625" s="614"/>
      <c r="L625" s="614"/>
      <c r="M625" s="614"/>
      <c r="N625" s="614"/>
      <c r="O625" s="614"/>
      <c r="P625" s="614"/>
      <c r="Q625" s="614"/>
      <c r="R625" s="614"/>
      <c r="S625" s="614"/>
      <c r="T625" s="614"/>
      <c r="U625" s="614"/>
      <c r="V625" s="614"/>
      <c r="W625" s="614"/>
      <c r="X625" s="614"/>
      <c r="Y625" s="614"/>
      <c r="Z625" s="614"/>
      <c r="AA625" s="614"/>
      <c r="AB625" s="614"/>
      <c r="AC625" s="614"/>
    </row>
    <row r="626" spans="1:29" ht="12.75" customHeight="1">
      <c r="A626" s="319"/>
      <c r="B626" s="614"/>
      <c r="C626" s="319"/>
      <c r="D626" s="614"/>
      <c r="E626" s="614"/>
      <c r="F626" s="614"/>
      <c r="G626" s="614"/>
      <c r="H626" s="614"/>
      <c r="I626" s="614"/>
      <c r="J626" s="614"/>
      <c r="K626" s="614"/>
      <c r="L626" s="614"/>
      <c r="M626" s="614"/>
      <c r="N626" s="614"/>
      <c r="O626" s="614"/>
      <c r="P626" s="614"/>
      <c r="Q626" s="614"/>
      <c r="R626" s="614"/>
      <c r="S626" s="614"/>
      <c r="T626" s="614"/>
      <c r="U626" s="614"/>
      <c r="V626" s="614"/>
      <c r="W626" s="614"/>
      <c r="X626" s="614"/>
      <c r="Y626" s="614"/>
      <c r="Z626" s="614"/>
      <c r="AA626" s="614"/>
      <c r="AB626" s="614"/>
      <c r="AC626" s="614"/>
    </row>
    <row r="627" spans="1:29" ht="12.75" customHeight="1">
      <c r="A627" s="319"/>
      <c r="B627" s="614"/>
      <c r="C627" s="319"/>
      <c r="D627" s="614"/>
      <c r="E627" s="614"/>
      <c r="F627" s="614"/>
      <c r="G627" s="614"/>
      <c r="H627" s="614"/>
      <c r="I627" s="614"/>
      <c r="J627" s="614"/>
      <c r="K627" s="614"/>
      <c r="L627" s="614"/>
      <c r="M627" s="614"/>
      <c r="N627" s="614"/>
      <c r="O627" s="614"/>
      <c r="P627" s="614"/>
      <c r="Q627" s="614"/>
      <c r="R627" s="614"/>
      <c r="S627" s="614"/>
      <c r="T627" s="614"/>
      <c r="U627" s="614"/>
      <c r="V627" s="614"/>
      <c r="W627" s="614"/>
      <c r="X627" s="614"/>
      <c r="Y627" s="614"/>
      <c r="Z627" s="614"/>
      <c r="AA627" s="614"/>
      <c r="AB627" s="614"/>
      <c r="AC627" s="614"/>
    </row>
    <row r="628" spans="1:29" ht="12.75" customHeight="1">
      <c r="A628" s="319"/>
      <c r="B628" s="614"/>
      <c r="C628" s="319"/>
      <c r="D628" s="614"/>
      <c r="E628" s="614"/>
      <c r="F628" s="614"/>
      <c r="G628" s="614"/>
      <c r="H628" s="614"/>
      <c r="I628" s="614"/>
      <c r="J628" s="614"/>
      <c r="K628" s="614"/>
      <c r="L628" s="614"/>
      <c r="M628" s="614"/>
      <c r="N628" s="614"/>
      <c r="O628" s="614"/>
      <c r="P628" s="614"/>
      <c r="Q628" s="614"/>
      <c r="R628" s="614"/>
      <c r="S628" s="614"/>
      <c r="T628" s="614"/>
      <c r="U628" s="614"/>
      <c r="V628" s="614"/>
      <c r="W628" s="614"/>
      <c r="X628" s="614"/>
      <c r="Y628" s="614"/>
      <c r="Z628" s="614"/>
      <c r="AA628" s="614"/>
      <c r="AB628" s="614"/>
      <c r="AC628" s="614"/>
    </row>
    <row r="629" spans="1:29" ht="12.75" customHeight="1">
      <c r="A629" s="319"/>
      <c r="B629" s="614"/>
      <c r="C629" s="319"/>
      <c r="D629" s="614"/>
      <c r="E629" s="614"/>
      <c r="F629" s="614"/>
      <c r="G629" s="614"/>
      <c r="H629" s="614"/>
      <c r="I629" s="614"/>
      <c r="J629" s="614"/>
      <c r="K629" s="614"/>
      <c r="L629" s="614"/>
      <c r="M629" s="614"/>
      <c r="N629" s="614"/>
      <c r="O629" s="614"/>
      <c r="P629" s="614"/>
      <c r="Q629" s="614"/>
      <c r="R629" s="614"/>
      <c r="S629" s="614"/>
      <c r="T629" s="614"/>
      <c r="U629" s="614"/>
      <c r="V629" s="614"/>
      <c r="W629" s="614"/>
      <c r="X629" s="614"/>
      <c r="Y629" s="614"/>
      <c r="Z629" s="614"/>
      <c r="AA629" s="614"/>
      <c r="AB629" s="614"/>
      <c r="AC629" s="614"/>
    </row>
    <row r="630" spans="1:29" ht="12.75" customHeight="1">
      <c r="A630" s="319"/>
      <c r="B630" s="614"/>
      <c r="C630" s="319"/>
      <c r="D630" s="614"/>
      <c r="E630" s="614"/>
      <c r="F630" s="614"/>
      <c r="G630" s="614"/>
      <c r="H630" s="614"/>
      <c r="I630" s="614"/>
      <c r="J630" s="614"/>
      <c r="K630" s="614"/>
      <c r="L630" s="614"/>
      <c r="M630" s="614"/>
      <c r="N630" s="614"/>
      <c r="O630" s="614"/>
      <c r="P630" s="614"/>
      <c r="Q630" s="614"/>
      <c r="R630" s="614"/>
      <c r="S630" s="614"/>
      <c r="T630" s="614"/>
      <c r="U630" s="614"/>
      <c r="V630" s="614"/>
      <c r="W630" s="614"/>
      <c r="X630" s="614"/>
      <c r="Y630" s="614"/>
      <c r="Z630" s="614"/>
      <c r="AA630" s="614"/>
      <c r="AB630" s="614"/>
      <c r="AC630" s="614"/>
    </row>
    <row r="631" spans="1:29" ht="12.75" customHeight="1">
      <c r="A631" s="319"/>
      <c r="B631" s="614"/>
      <c r="C631" s="319"/>
      <c r="D631" s="614"/>
      <c r="E631" s="614"/>
      <c r="F631" s="614"/>
      <c r="G631" s="614"/>
      <c r="H631" s="614"/>
      <c r="I631" s="614"/>
      <c r="J631" s="614"/>
      <c r="K631" s="614"/>
      <c r="L631" s="614"/>
      <c r="M631" s="614"/>
      <c r="N631" s="614"/>
      <c r="O631" s="614"/>
      <c r="P631" s="614"/>
      <c r="Q631" s="614"/>
      <c r="R631" s="614"/>
      <c r="S631" s="614"/>
      <c r="T631" s="614"/>
      <c r="U631" s="614"/>
      <c r="V631" s="614"/>
      <c r="W631" s="614"/>
      <c r="X631" s="614"/>
      <c r="Y631" s="614"/>
      <c r="Z631" s="614"/>
      <c r="AA631" s="614"/>
      <c r="AB631" s="614"/>
      <c r="AC631" s="614"/>
    </row>
    <row r="632" spans="1:29" ht="12.75" customHeight="1">
      <c r="A632" s="319"/>
      <c r="B632" s="614"/>
      <c r="C632" s="319"/>
      <c r="D632" s="614"/>
      <c r="E632" s="614"/>
      <c r="F632" s="614"/>
      <c r="G632" s="614"/>
      <c r="H632" s="614"/>
      <c r="I632" s="614"/>
      <c r="J632" s="614"/>
      <c r="K632" s="614"/>
      <c r="L632" s="614"/>
      <c r="M632" s="614"/>
      <c r="N632" s="614"/>
      <c r="O632" s="614"/>
      <c r="P632" s="614"/>
      <c r="Q632" s="614"/>
      <c r="R632" s="614"/>
      <c r="S632" s="614"/>
      <c r="T632" s="614"/>
      <c r="U632" s="614"/>
      <c r="V632" s="614"/>
      <c r="W632" s="614"/>
      <c r="X632" s="614"/>
      <c r="Y632" s="614"/>
      <c r="Z632" s="614"/>
      <c r="AA632" s="614"/>
      <c r="AB632" s="614"/>
      <c r="AC632" s="614"/>
    </row>
    <row r="633" spans="1:29" ht="12.75" customHeight="1">
      <c r="A633" s="319"/>
      <c r="B633" s="614"/>
      <c r="C633" s="319"/>
      <c r="D633" s="614"/>
      <c r="E633" s="614"/>
      <c r="F633" s="614"/>
      <c r="G633" s="614"/>
      <c r="H633" s="614"/>
      <c r="I633" s="614"/>
      <c r="J633" s="614"/>
      <c r="K633" s="614"/>
      <c r="L633" s="614"/>
      <c r="M633" s="614"/>
      <c r="N633" s="614"/>
      <c r="O633" s="614"/>
      <c r="P633" s="614"/>
      <c r="Q633" s="614"/>
      <c r="R633" s="614"/>
      <c r="S633" s="614"/>
      <c r="T633" s="614"/>
      <c r="U633" s="614"/>
      <c r="V633" s="614"/>
      <c r="W633" s="614"/>
      <c r="X633" s="614"/>
      <c r="Y633" s="614"/>
      <c r="Z633" s="614"/>
      <c r="AA633" s="614"/>
      <c r="AB633" s="614"/>
      <c r="AC633" s="614"/>
    </row>
    <row r="634" spans="1:29" ht="12.75" customHeight="1">
      <c r="A634" s="319"/>
      <c r="B634" s="614"/>
      <c r="C634" s="319"/>
      <c r="D634" s="614"/>
      <c r="E634" s="614"/>
      <c r="F634" s="614"/>
      <c r="G634" s="614"/>
      <c r="H634" s="614"/>
      <c r="I634" s="614"/>
      <c r="J634" s="614"/>
      <c r="K634" s="614"/>
      <c r="L634" s="614"/>
      <c r="M634" s="614"/>
      <c r="N634" s="614"/>
      <c r="O634" s="614"/>
      <c r="P634" s="614"/>
      <c r="Q634" s="614"/>
      <c r="R634" s="614"/>
      <c r="S634" s="614"/>
      <c r="T634" s="614"/>
      <c r="U634" s="614"/>
      <c r="V634" s="614"/>
      <c r="W634" s="614"/>
      <c r="X634" s="614"/>
      <c r="Y634" s="614"/>
      <c r="Z634" s="614"/>
      <c r="AA634" s="614"/>
      <c r="AB634" s="614"/>
      <c r="AC634" s="614"/>
    </row>
    <row r="635" spans="1:29" ht="12.75" customHeight="1">
      <c r="A635" s="319"/>
      <c r="B635" s="614"/>
      <c r="C635" s="319"/>
      <c r="D635" s="614"/>
      <c r="E635" s="614"/>
      <c r="F635" s="614"/>
      <c r="G635" s="614"/>
      <c r="H635" s="614"/>
      <c r="I635" s="614"/>
      <c r="J635" s="614"/>
      <c r="K635" s="614"/>
      <c r="L635" s="614"/>
      <c r="M635" s="614"/>
      <c r="N635" s="614"/>
      <c r="O635" s="614"/>
      <c r="P635" s="614"/>
      <c r="Q635" s="614"/>
      <c r="R635" s="614"/>
      <c r="S635" s="614"/>
      <c r="T635" s="614"/>
      <c r="U635" s="614"/>
      <c r="V635" s="614"/>
      <c r="W635" s="614"/>
      <c r="X635" s="614"/>
      <c r="Y635" s="614"/>
      <c r="Z635" s="614"/>
      <c r="AA635" s="614"/>
      <c r="AB635" s="614"/>
      <c r="AC635" s="614"/>
    </row>
    <row r="636" spans="1:29" ht="12.75" customHeight="1">
      <c r="A636" s="319"/>
      <c r="B636" s="614"/>
      <c r="C636" s="319"/>
      <c r="D636" s="614"/>
      <c r="E636" s="614"/>
      <c r="F636" s="614"/>
      <c r="G636" s="614"/>
      <c r="H636" s="614"/>
      <c r="I636" s="614"/>
      <c r="J636" s="614"/>
      <c r="K636" s="614"/>
      <c r="L636" s="614"/>
      <c r="M636" s="614"/>
      <c r="N636" s="614"/>
      <c r="O636" s="614"/>
      <c r="P636" s="614"/>
      <c r="Q636" s="614"/>
      <c r="R636" s="614"/>
      <c r="S636" s="614"/>
      <c r="T636" s="614"/>
      <c r="U636" s="614"/>
      <c r="V636" s="614"/>
      <c r="W636" s="614"/>
      <c r="X636" s="614"/>
      <c r="Y636" s="614"/>
      <c r="Z636" s="614"/>
      <c r="AA636" s="614"/>
      <c r="AB636" s="614"/>
      <c r="AC636" s="614"/>
    </row>
    <row r="637" spans="1:29" ht="12.75" customHeight="1">
      <c r="A637" s="319"/>
      <c r="B637" s="614"/>
      <c r="C637" s="319"/>
      <c r="D637" s="614"/>
      <c r="E637" s="614"/>
      <c r="F637" s="614"/>
      <c r="G637" s="614"/>
      <c r="H637" s="614"/>
      <c r="I637" s="614"/>
      <c r="J637" s="614"/>
      <c r="K637" s="614"/>
      <c r="L637" s="614"/>
      <c r="M637" s="614"/>
      <c r="N637" s="614"/>
      <c r="O637" s="614"/>
      <c r="P637" s="614"/>
      <c r="Q637" s="614"/>
      <c r="R637" s="614"/>
      <c r="S637" s="614"/>
      <c r="T637" s="614"/>
      <c r="U637" s="614"/>
      <c r="V637" s="614"/>
      <c r="W637" s="614"/>
      <c r="X637" s="614"/>
      <c r="Y637" s="614"/>
      <c r="Z637" s="614"/>
      <c r="AA637" s="614"/>
      <c r="AB637" s="614"/>
      <c r="AC637" s="614"/>
    </row>
    <row r="638" spans="1:29" ht="12.75" customHeight="1">
      <c r="A638" s="319"/>
      <c r="B638" s="614"/>
      <c r="C638" s="319"/>
      <c r="D638" s="614"/>
      <c r="E638" s="614"/>
      <c r="F638" s="614"/>
      <c r="G638" s="614"/>
      <c r="H638" s="614"/>
      <c r="I638" s="614"/>
      <c r="J638" s="614"/>
      <c r="K638" s="614"/>
      <c r="L638" s="614"/>
      <c r="M638" s="614"/>
      <c r="N638" s="614"/>
      <c r="O638" s="614"/>
      <c r="P638" s="614"/>
      <c r="Q638" s="614"/>
      <c r="R638" s="614"/>
      <c r="S638" s="614"/>
      <c r="T638" s="614"/>
      <c r="U638" s="614"/>
      <c r="V638" s="614"/>
      <c r="W638" s="614"/>
      <c r="X638" s="614"/>
      <c r="Y638" s="614"/>
      <c r="Z638" s="614"/>
      <c r="AA638" s="614"/>
      <c r="AB638" s="614"/>
      <c r="AC638" s="614"/>
    </row>
    <row r="639" spans="1:29" ht="12.75" customHeight="1">
      <c r="A639" s="319"/>
      <c r="B639" s="614"/>
      <c r="C639" s="319"/>
      <c r="D639" s="614"/>
      <c r="E639" s="614"/>
      <c r="F639" s="614"/>
      <c r="G639" s="614"/>
      <c r="H639" s="614"/>
      <c r="I639" s="614"/>
      <c r="J639" s="614"/>
      <c r="K639" s="614"/>
      <c r="L639" s="614"/>
      <c r="M639" s="614"/>
      <c r="N639" s="614"/>
      <c r="O639" s="614"/>
      <c r="P639" s="614"/>
      <c r="Q639" s="614"/>
      <c r="R639" s="614"/>
      <c r="S639" s="614"/>
      <c r="T639" s="614"/>
      <c r="U639" s="614"/>
      <c r="V639" s="614"/>
      <c r="W639" s="614"/>
      <c r="X639" s="614"/>
      <c r="Y639" s="614"/>
      <c r="Z639" s="614"/>
      <c r="AA639" s="614"/>
      <c r="AB639" s="614"/>
      <c r="AC639" s="614"/>
    </row>
    <row r="640" spans="1:29" ht="12.75" customHeight="1">
      <c r="A640" s="319"/>
      <c r="B640" s="614"/>
      <c r="C640" s="319"/>
      <c r="D640" s="614"/>
      <c r="E640" s="614"/>
      <c r="F640" s="614"/>
      <c r="G640" s="614"/>
      <c r="H640" s="614"/>
      <c r="I640" s="614"/>
      <c r="J640" s="614"/>
      <c r="K640" s="614"/>
      <c r="L640" s="614"/>
      <c r="M640" s="614"/>
      <c r="N640" s="614"/>
      <c r="O640" s="614"/>
      <c r="P640" s="614"/>
      <c r="Q640" s="614"/>
      <c r="R640" s="614"/>
      <c r="S640" s="614"/>
      <c r="T640" s="614"/>
      <c r="U640" s="614"/>
      <c r="V640" s="614"/>
      <c r="W640" s="614"/>
      <c r="X640" s="614"/>
      <c r="Y640" s="614"/>
      <c r="Z640" s="614"/>
      <c r="AA640" s="614"/>
      <c r="AB640" s="614"/>
      <c r="AC640" s="614"/>
    </row>
    <row r="641" spans="1:29" ht="12.75" customHeight="1">
      <c r="A641" s="319"/>
      <c r="B641" s="614"/>
      <c r="C641" s="319"/>
      <c r="D641" s="614"/>
      <c r="E641" s="614"/>
      <c r="F641" s="614"/>
      <c r="G641" s="614"/>
      <c r="H641" s="614"/>
      <c r="I641" s="614"/>
      <c r="J641" s="614"/>
      <c r="K641" s="614"/>
      <c r="L641" s="614"/>
      <c r="M641" s="614"/>
      <c r="N641" s="614"/>
      <c r="O641" s="614"/>
      <c r="P641" s="614"/>
      <c r="Q641" s="614"/>
      <c r="R641" s="614"/>
      <c r="S641" s="614"/>
      <c r="T641" s="614"/>
      <c r="U641" s="614"/>
      <c r="V641" s="614"/>
      <c r="W641" s="614"/>
      <c r="X641" s="614"/>
      <c r="Y641" s="614"/>
      <c r="Z641" s="614"/>
      <c r="AA641" s="614"/>
      <c r="AB641" s="614"/>
      <c r="AC641" s="614"/>
    </row>
    <row r="642" spans="1:29" ht="12.75" customHeight="1">
      <c r="A642" s="319"/>
      <c r="B642" s="614"/>
      <c r="C642" s="319"/>
      <c r="D642" s="614"/>
      <c r="E642" s="614"/>
      <c r="F642" s="614"/>
      <c r="G642" s="614"/>
      <c r="H642" s="614"/>
      <c r="I642" s="614"/>
      <c r="J642" s="614"/>
      <c r="K642" s="614"/>
      <c r="L642" s="614"/>
      <c r="M642" s="614"/>
      <c r="N642" s="614"/>
      <c r="O642" s="614"/>
      <c r="P642" s="614"/>
      <c r="Q642" s="614"/>
      <c r="R642" s="614"/>
      <c r="S642" s="614"/>
      <c r="T642" s="614"/>
      <c r="U642" s="614"/>
      <c r="V642" s="614"/>
      <c r="W642" s="614"/>
      <c r="X642" s="614"/>
      <c r="Y642" s="614"/>
      <c r="Z642" s="614"/>
      <c r="AA642" s="614"/>
      <c r="AB642" s="614"/>
      <c r="AC642" s="614"/>
    </row>
    <row r="643" spans="1:29" ht="12.75" customHeight="1">
      <c r="A643" s="319"/>
      <c r="B643" s="614"/>
      <c r="C643" s="319"/>
      <c r="D643" s="614"/>
      <c r="E643" s="614"/>
      <c r="F643" s="614"/>
      <c r="G643" s="614"/>
      <c r="H643" s="614"/>
      <c r="I643" s="614"/>
      <c r="J643" s="614"/>
      <c r="K643" s="614"/>
      <c r="L643" s="614"/>
      <c r="M643" s="614"/>
      <c r="N643" s="614"/>
      <c r="O643" s="614"/>
      <c r="P643" s="614"/>
      <c r="Q643" s="614"/>
      <c r="R643" s="614"/>
      <c r="S643" s="614"/>
      <c r="T643" s="614"/>
      <c r="U643" s="614"/>
      <c r="V643" s="614"/>
      <c r="W643" s="614"/>
      <c r="X643" s="614"/>
      <c r="Y643" s="614"/>
      <c r="Z643" s="614"/>
      <c r="AA643" s="614"/>
      <c r="AB643" s="614"/>
      <c r="AC643" s="614"/>
    </row>
    <row r="644" spans="1:29" ht="12.75" customHeight="1">
      <c r="A644" s="319"/>
      <c r="B644" s="614"/>
      <c r="C644" s="319"/>
      <c r="D644" s="614"/>
      <c r="E644" s="614"/>
      <c r="F644" s="614"/>
      <c r="G644" s="614"/>
      <c r="H644" s="614"/>
      <c r="I644" s="614"/>
      <c r="J644" s="614"/>
      <c r="K644" s="614"/>
      <c r="L644" s="614"/>
      <c r="M644" s="614"/>
      <c r="N644" s="614"/>
      <c r="O644" s="614"/>
      <c r="P644" s="614"/>
      <c r="Q644" s="614"/>
      <c r="R644" s="614"/>
      <c r="S644" s="614"/>
      <c r="T644" s="614"/>
      <c r="U644" s="614"/>
      <c r="V644" s="614"/>
      <c r="W644" s="614"/>
      <c r="X644" s="614"/>
      <c r="Y644" s="614"/>
      <c r="Z644" s="614"/>
      <c r="AA644" s="614"/>
      <c r="AB644" s="614"/>
      <c r="AC644" s="614"/>
    </row>
    <row r="645" spans="1:29" ht="12.75" customHeight="1">
      <c r="A645" s="319"/>
      <c r="B645" s="614"/>
      <c r="C645" s="319"/>
      <c r="D645" s="614"/>
      <c r="E645" s="614"/>
      <c r="F645" s="614"/>
      <c r="G645" s="614"/>
      <c r="H645" s="614"/>
      <c r="I645" s="614"/>
      <c r="J645" s="614"/>
      <c r="K645" s="614"/>
      <c r="L645" s="614"/>
      <c r="M645" s="614"/>
      <c r="N645" s="614"/>
      <c r="O645" s="614"/>
      <c r="P645" s="614"/>
      <c r="Q645" s="614"/>
      <c r="R645" s="614"/>
      <c r="S645" s="614"/>
      <c r="T645" s="614"/>
      <c r="U645" s="614"/>
      <c r="V645" s="614"/>
      <c r="W645" s="614"/>
      <c r="X645" s="614"/>
      <c r="Y645" s="614"/>
      <c r="Z645" s="614"/>
      <c r="AA645" s="614"/>
      <c r="AB645" s="614"/>
      <c r="AC645" s="614"/>
    </row>
    <row r="646" spans="1:29" ht="12.75" customHeight="1">
      <c r="A646" s="319"/>
      <c r="B646" s="614"/>
      <c r="C646" s="319"/>
      <c r="D646" s="614"/>
      <c r="E646" s="614"/>
      <c r="F646" s="614"/>
      <c r="G646" s="614"/>
      <c r="H646" s="614"/>
      <c r="I646" s="614"/>
      <c r="J646" s="614"/>
      <c r="K646" s="614"/>
      <c r="L646" s="614"/>
      <c r="M646" s="614"/>
      <c r="N646" s="614"/>
      <c r="O646" s="614"/>
      <c r="P646" s="614"/>
      <c r="Q646" s="614"/>
      <c r="R646" s="614"/>
      <c r="S646" s="614"/>
      <c r="T646" s="614"/>
      <c r="U646" s="614"/>
      <c r="V646" s="614"/>
      <c r="W646" s="614"/>
      <c r="X646" s="614"/>
      <c r="Y646" s="614"/>
      <c r="Z646" s="614"/>
      <c r="AA646" s="614"/>
      <c r="AB646" s="614"/>
      <c r="AC646" s="614"/>
    </row>
    <row r="647" spans="1:29" ht="12.75" customHeight="1">
      <c r="A647" s="319"/>
      <c r="B647" s="614"/>
      <c r="C647" s="319"/>
      <c r="D647" s="614"/>
      <c r="E647" s="614"/>
      <c r="F647" s="614"/>
      <c r="G647" s="614"/>
      <c r="H647" s="614"/>
      <c r="I647" s="614"/>
      <c r="J647" s="614"/>
      <c r="K647" s="614"/>
      <c r="L647" s="614"/>
      <c r="M647" s="614"/>
      <c r="N647" s="614"/>
      <c r="O647" s="614"/>
      <c r="P647" s="614"/>
      <c r="Q647" s="614"/>
      <c r="R647" s="614"/>
      <c r="S647" s="614"/>
      <c r="T647" s="614"/>
      <c r="U647" s="614"/>
      <c r="V647" s="614"/>
      <c r="W647" s="614"/>
      <c r="X647" s="614"/>
      <c r="Y647" s="614"/>
      <c r="Z647" s="614"/>
      <c r="AA647" s="614"/>
      <c r="AB647" s="614"/>
      <c r="AC647" s="614"/>
    </row>
    <row r="648" spans="1:29" ht="12.75" customHeight="1">
      <c r="A648" s="319"/>
      <c r="B648" s="614"/>
      <c r="C648" s="319"/>
      <c r="D648" s="614"/>
      <c r="E648" s="614"/>
      <c r="F648" s="614"/>
      <c r="G648" s="614"/>
      <c r="H648" s="614"/>
      <c r="I648" s="614"/>
      <c r="J648" s="614"/>
      <c r="K648" s="614"/>
      <c r="L648" s="614"/>
      <c r="M648" s="614"/>
      <c r="N648" s="614"/>
      <c r="O648" s="614"/>
      <c r="P648" s="614"/>
      <c r="Q648" s="614"/>
      <c r="R648" s="614"/>
      <c r="S648" s="614"/>
      <c r="T648" s="614"/>
      <c r="U648" s="614"/>
      <c r="V648" s="614"/>
      <c r="W648" s="614"/>
      <c r="X648" s="614"/>
      <c r="Y648" s="614"/>
      <c r="Z648" s="614"/>
      <c r="AA648" s="614"/>
      <c r="AB648" s="614"/>
      <c r="AC648" s="614"/>
    </row>
    <row r="649" spans="1:29" ht="12.75" customHeight="1">
      <c r="A649" s="319"/>
      <c r="B649" s="614"/>
      <c r="C649" s="319"/>
      <c r="D649" s="614"/>
      <c r="E649" s="614"/>
      <c r="F649" s="614"/>
      <c r="G649" s="614"/>
      <c r="H649" s="614"/>
      <c r="I649" s="614"/>
      <c r="J649" s="614"/>
      <c r="K649" s="614"/>
      <c r="L649" s="614"/>
      <c r="M649" s="614"/>
      <c r="N649" s="614"/>
      <c r="O649" s="614"/>
      <c r="P649" s="614"/>
      <c r="Q649" s="614"/>
      <c r="R649" s="614"/>
      <c r="S649" s="614"/>
      <c r="T649" s="614"/>
      <c r="U649" s="614"/>
      <c r="V649" s="614"/>
      <c r="W649" s="614"/>
      <c r="X649" s="614"/>
      <c r="Y649" s="614"/>
      <c r="Z649" s="614"/>
      <c r="AA649" s="614"/>
      <c r="AB649" s="614"/>
      <c r="AC649" s="614"/>
    </row>
    <row r="650" spans="1:29" ht="12.75" customHeight="1">
      <c r="A650" s="319"/>
      <c r="B650" s="614"/>
      <c r="C650" s="319"/>
      <c r="D650" s="614"/>
      <c r="E650" s="614"/>
      <c r="F650" s="614"/>
      <c r="G650" s="614"/>
      <c r="H650" s="614"/>
      <c r="I650" s="614"/>
      <c r="J650" s="614"/>
      <c r="K650" s="614"/>
      <c r="L650" s="614"/>
      <c r="M650" s="614"/>
      <c r="N650" s="614"/>
      <c r="O650" s="614"/>
      <c r="P650" s="614"/>
      <c r="Q650" s="614"/>
      <c r="R650" s="614"/>
      <c r="S650" s="614"/>
      <c r="T650" s="614"/>
      <c r="U650" s="614"/>
      <c r="V650" s="614"/>
      <c r="W650" s="614"/>
      <c r="X650" s="614"/>
      <c r="Y650" s="614"/>
      <c r="Z650" s="614"/>
      <c r="AA650" s="614"/>
      <c r="AB650" s="614"/>
      <c r="AC650" s="614"/>
    </row>
    <row r="651" spans="1:29" ht="12.75" customHeight="1">
      <c r="A651" s="319"/>
      <c r="B651" s="614"/>
      <c r="C651" s="319"/>
      <c r="D651" s="614"/>
      <c r="E651" s="614"/>
      <c r="F651" s="614"/>
      <c r="G651" s="614"/>
      <c r="H651" s="614"/>
      <c r="I651" s="614"/>
      <c r="J651" s="614"/>
      <c r="K651" s="614"/>
      <c r="L651" s="614"/>
      <c r="M651" s="614"/>
      <c r="N651" s="614"/>
      <c r="O651" s="614"/>
      <c r="P651" s="614"/>
      <c r="Q651" s="614"/>
      <c r="R651" s="614"/>
      <c r="S651" s="614"/>
      <c r="T651" s="614"/>
      <c r="U651" s="614"/>
      <c r="V651" s="614"/>
      <c r="W651" s="614"/>
      <c r="X651" s="614"/>
      <c r="Y651" s="614"/>
      <c r="Z651" s="614"/>
      <c r="AA651" s="614"/>
      <c r="AB651" s="614"/>
      <c r="AC651" s="614"/>
    </row>
    <row r="652" spans="1:29" ht="12.75" customHeight="1">
      <c r="A652" s="319"/>
      <c r="B652" s="614"/>
      <c r="C652" s="319"/>
      <c r="D652" s="614"/>
      <c r="E652" s="614"/>
      <c r="F652" s="614"/>
      <c r="G652" s="614"/>
      <c r="H652" s="614"/>
      <c r="I652" s="614"/>
      <c r="J652" s="614"/>
      <c r="K652" s="614"/>
      <c r="L652" s="614"/>
      <c r="M652" s="614"/>
      <c r="N652" s="614"/>
      <c r="O652" s="614"/>
      <c r="P652" s="614"/>
      <c r="Q652" s="614"/>
      <c r="R652" s="614"/>
      <c r="S652" s="614"/>
      <c r="T652" s="614"/>
      <c r="U652" s="614"/>
      <c r="V652" s="614"/>
      <c r="W652" s="614"/>
      <c r="X652" s="614"/>
      <c r="Y652" s="614"/>
      <c r="Z652" s="614"/>
      <c r="AA652" s="614"/>
      <c r="AB652" s="614"/>
      <c r="AC652" s="614"/>
    </row>
    <row r="653" spans="1:29" ht="12.75" customHeight="1">
      <c r="A653" s="319"/>
      <c r="B653" s="614"/>
      <c r="C653" s="319"/>
      <c r="D653" s="614"/>
      <c r="E653" s="614"/>
      <c r="F653" s="614"/>
      <c r="G653" s="614"/>
      <c r="H653" s="614"/>
      <c r="I653" s="614"/>
      <c r="J653" s="614"/>
      <c r="K653" s="614"/>
      <c r="L653" s="614"/>
      <c r="M653" s="614"/>
      <c r="N653" s="614"/>
      <c r="O653" s="614"/>
      <c r="P653" s="614"/>
      <c r="Q653" s="614"/>
      <c r="R653" s="614"/>
      <c r="S653" s="614"/>
      <c r="T653" s="614"/>
      <c r="U653" s="614"/>
      <c r="V653" s="614"/>
      <c r="W653" s="614"/>
      <c r="X653" s="614"/>
      <c r="Y653" s="614"/>
      <c r="Z653" s="614"/>
      <c r="AA653" s="614"/>
      <c r="AB653" s="614"/>
      <c r="AC653" s="614"/>
    </row>
    <row r="654" spans="1:29" ht="12.75" customHeight="1">
      <c r="A654" s="319"/>
      <c r="B654" s="614"/>
      <c r="C654" s="319"/>
      <c r="D654" s="614"/>
      <c r="E654" s="614"/>
      <c r="F654" s="614"/>
      <c r="G654" s="614"/>
      <c r="H654" s="614"/>
      <c r="I654" s="614"/>
      <c r="J654" s="614"/>
      <c r="K654" s="614"/>
      <c r="L654" s="614"/>
      <c r="M654" s="614"/>
      <c r="N654" s="614"/>
      <c r="O654" s="614"/>
      <c r="P654" s="614"/>
      <c r="Q654" s="614"/>
      <c r="R654" s="614"/>
      <c r="S654" s="614"/>
      <c r="T654" s="614"/>
      <c r="U654" s="614"/>
      <c r="V654" s="614"/>
      <c r="W654" s="614"/>
      <c r="X654" s="614"/>
      <c r="Y654" s="614"/>
      <c r="Z654" s="614"/>
      <c r="AA654" s="614"/>
      <c r="AB654" s="614"/>
      <c r="AC654" s="614"/>
    </row>
    <row r="655" spans="1:29" ht="12.75" customHeight="1">
      <c r="A655" s="319"/>
      <c r="B655" s="614"/>
      <c r="C655" s="319"/>
      <c r="D655" s="614"/>
      <c r="E655" s="614"/>
      <c r="F655" s="614"/>
      <c r="G655" s="614"/>
      <c r="H655" s="614"/>
      <c r="I655" s="614"/>
      <c r="J655" s="614"/>
      <c r="K655" s="614"/>
      <c r="L655" s="614"/>
      <c r="M655" s="614"/>
      <c r="N655" s="614"/>
      <c r="O655" s="614"/>
      <c r="P655" s="614"/>
      <c r="Q655" s="614"/>
      <c r="R655" s="614"/>
      <c r="S655" s="614"/>
      <c r="T655" s="614"/>
      <c r="U655" s="614"/>
      <c r="V655" s="614"/>
      <c r="W655" s="614"/>
      <c r="X655" s="614"/>
      <c r="Y655" s="614"/>
      <c r="Z655" s="614"/>
      <c r="AA655" s="614"/>
      <c r="AB655" s="614"/>
      <c r="AC655" s="614"/>
    </row>
    <row r="656" spans="1:29" ht="12.75" customHeight="1">
      <c r="A656" s="319"/>
      <c r="B656" s="614"/>
      <c r="C656" s="319"/>
      <c r="D656" s="614"/>
      <c r="E656" s="614"/>
      <c r="F656" s="614"/>
      <c r="G656" s="614"/>
      <c r="H656" s="614"/>
      <c r="I656" s="614"/>
      <c r="J656" s="614"/>
      <c r="K656" s="614"/>
      <c r="L656" s="614"/>
      <c r="M656" s="614"/>
      <c r="N656" s="614"/>
      <c r="O656" s="614"/>
      <c r="P656" s="614"/>
      <c r="Q656" s="614"/>
      <c r="R656" s="614"/>
      <c r="S656" s="614"/>
      <c r="T656" s="614"/>
      <c r="U656" s="614"/>
      <c r="V656" s="614"/>
      <c r="W656" s="614"/>
      <c r="X656" s="614"/>
      <c r="Y656" s="614"/>
      <c r="Z656" s="614"/>
      <c r="AA656" s="614"/>
      <c r="AB656" s="614"/>
      <c r="AC656" s="614"/>
    </row>
    <row r="657" spans="1:29" ht="12.75" customHeight="1">
      <c r="A657" s="319"/>
      <c r="B657" s="614"/>
      <c r="C657" s="319"/>
      <c r="D657" s="614"/>
      <c r="E657" s="614"/>
      <c r="F657" s="614"/>
      <c r="G657" s="614"/>
      <c r="H657" s="614"/>
      <c r="I657" s="614"/>
      <c r="J657" s="614"/>
      <c r="K657" s="614"/>
      <c r="L657" s="614"/>
      <c r="M657" s="614"/>
      <c r="N657" s="614"/>
      <c r="O657" s="614"/>
      <c r="P657" s="614"/>
      <c r="Q657" s="614"/>
      <c r="R657" s="614"/>
      <c r="S657" s="614"/>
      <c r="T657" s="614"/>
      <c r="U657" s="614"/>
      <c r="V657" s="614"/>
      <c r="W657" s="614"/>
      <c r="X657" s="614"/>
      <c r="Y657" s="614"/>
      <c r="Z657" s="614"/>
      <c r="AA657" s="614"/>
      <c r="AB657" s="614"/>
      <c r="AC657" s="614"/>
    </row>
    <row r="658" spans="1:29" ht="12.75" customHeight="1">
      <c r="A658" s="319"/>
      <c r="B658" s="614"/>
      <c r="C658" s="319"/>
      <c r="D658" s="614"/>
      <c r="E658" s="614"/>
      <c r="F658" s="614"/>
      <c r="G658" s="614"/>
      <c r="H658" s="614"/>
      <c r="I658" s="614"/>
      <c r="J658" s="614"/>
      <c r="K658" s="614"/>
      <c r="L658" s="614"/>
      <c r="M658" s="614"/>
      <c r="N658" s="614"/>
      <c r="O658" s="614"/>
      <c r="P658" s="614"/>
      <c r="Q658" s="614"/>
      <c r="R658" s="614"/>
      <c r="S658" s="614"/>
      <c r="T658" s="614"/>
      <c r="U658" s="614"/>
      <c r="V658" s="614"/>
      <c r="W658" s="614"/>
      <c r="X658" s="614"/>
      <c r="Y658" s="614"/>
      <c r="Z658" s="614"/>
      <c r="AA658" s="614"/>
      <c r="AB658" s="614"/>
      <c r="AC658" s="614"/>
    </row>
    <row r="659" spans="1:29" ht="12.75" customHeight="1">
      <c r="A659" s="319"/>
      <c r="B659" s="614"/>
      <c r="C659" s="319"/>
      <c r="D659" s="614"/>
      <c r="E659" s="614"/>
      <c r="F659" s="614"/>
      <c r="G659" s="614"/>
      <c r="H659" s="614"/>
      <c r="I659" s="614"/>
      <c r="J659" s="614"/>
      <c r="K659" s="614"/>
      <c r="L659" s="614"/>
      <c r="M659" s="614"/>
      <c r="N659" s="614"/>
      <c r="O659" s="614"/>
      <c r="P659" s="614"/>
      <c r="Q659" s="614"/>
      <c r="R659" s="614"/>
      <c r="S659" s="614"/>
      <c r="T659" s="614"/>
      <c r="U659" s="614"/>
      <c r="V659" s="614"/>
      <c r="W659" s="614"/>
      <c r="X659" s="614"/>
      <c r="Y659" s="614"/>
      <c r="Z659" s="614"/>
      <c r="AA659" s="614"/>
      <c r="AB659" s="614"/>
      <c r="AC659" s="614"/>
    </row>
    <row r="660" spans="1:29" ht="12.75" customHeight="1">
      <c r="A660" s="319"/>
      <c r="B660" s="614"/>
      <c r="C660" s="319"/>
      <c r="D660" s="614"/>
      <c r="E660" s="614"/>
      <c r="F660" s="614"/>
      <c r="G660" s="614"/>
      <c r="H660" s="614"/>
      <c r="I660" s="614"/>
      <c r="J660" s="614"/>
      <c r="K660" s="614"/>
      <c r="L660" s="614"/>
      <c r="M660" s="614"/>
      <c r="N660" s="614"/>
      <c r="O660" s="614"/>
      <c r="P660" s="614"/>
      <c r="Q660" s="614"/>
      <c r="R660" s="614"/>
      <c r="S660" s="614"/>
      <c r="T660" s="614"/>
      <c r="U660" s="614"/>
      <c r="V660" s="614"/>
      <c r="W660" s="614"/>
      <c r="X660" s="614"/>
      <c r="Y660" s="614"/>
      <c r="Z660" s="614"/>
      <c r="AA660" s="614"/>
      <c r="AB660" s="614"/>
      <c r="AC660" s="614"/>
    </row>
    <row r="661" spans="1:29" ht="12.75" customHeight="1">
      <c r="A661" s="319"/>
      <c r="B661" s="614"/>
      <c r="C661" s="319"/>
      <c r="D661" s="614"/>
      <c r="E661" s="614"/>
      <c r="F661" s="614"/>
      <c r="G661" s="614"/>
      <c r="H661" s="614"/>
      <c r="I661" s="614"/>
      <c r="J661" s="614"/>
      <c r="K661" s="614"/>
      <c r="L661" s="614"/>
      <c r="M661" s="614"/>
      <c r="N661" s="614"/>
      <c r="O661" s="614"/>
      <c r="P661" s="614"/>
      <c r="Q661" s="614"/>
      <c r="R661" s="614"/>
      <c r="S661" s="614"/>
      <c r="T661" s="614"/>
      <c r="U661" s="614"/>
      <c r="V661" s="614"/>
      <c r="W661" s="614"/>
      <c r="X661" s="614"/>
      <c r="Y661" s="614"/>
      <c r="Z661" s="614"/>
      <c r="AA661" s="614"/>
      <c r="AB661" s="614"/>
      <c r="AC661" s="614"/>
    </row>
    <row r="662" spans="1:29" ht="12.75" customHeight="1">
      <c r="A662" s="319"/>
      <c r="B662" s="614"/>
      <c r="C662" s="319"/>
      <c r="D662" s="614"/>
      <c r="E662" s="614"/>
      <c r="F662" s="614"/>
      <c r="G662" s="614"/>
      <c r="H662" s="614"/>
      <c r="I662" s="614"/>
      <c r="J662" s="614"/>
      <c r="K662" s="614"/>
      <c r="L662" s="614"/>
      <c r="M662" s="614"/>
      <c r="N662" s="614"/>
      <c r="O662" s="614"/>
      <c r="P662" s="614"/>
      <c r="Q662" s="614"/>
      <c r="R662" s="614"/>
      <c r="S662" s="614"/>
      <c r="T662" s="614"/>
      <c r="U662" s="614"/>
      <c r="V662" s="614"/>
      <c r="W662" s="614"/>
      <c r="X662" s="614"/>
      <c r="Y662" s="614"/>
      <c r="Z662" s="614"/>
      <c r="AA662" s="614"/>
      <c r="AB662" s="614"/>
      <c r="AC662" s="614"/>
    </row>
    <row r="663" spans="1:29" ht="12.75" customHeight="1">
      <c r="A663" s="319"/>
      <c r="B663" s="614"/>
      <c r="C663" s="319"/>
      <c r="D663" s="614"/>
      <c r="E663" s="614"/>
      <c r="F663" s="614"/>
      <c r="G663" s="614"/>
      <c r="H663" s="614"/>
      <c r="I663" s="614"/>
      <c r="J663" s="614"/>
      <c r="K663" s="614"/>
      <c r="L663" s="614"/>
      <c r="M663" s="614"/>
      <c r="N663" s="614"/>
      <c r="O663" s="614"/>
      <c r="P663" s="614"/>
      <c r="Q663" s="614"/>
      <c r="R663" s="614"/>
      <c r="S663" s="614"/>
      <c r="T663" s="614"/>
      <c r="U663" s="614"/>
      <c r="V663" s="614"/>
      <c r="W663" s="614"/>
      <c r="X663" s="614"/>
      <c r="Y663" s="614"/>
      <c r="Z663" s="614"/>
      <c r="AA663" s="614"/>
      <c r="AB663" s="614"/>
      <c r="AC663" s="614"/>
    </row>
    <row r="664" spans="1:29" ht="12.75" customHeight="1">
      <c r="A664" s="319"/>
      <c r="B664" s="614"/>
      <c r="C664" s="319"/>
      <c r="D664" s="614"/>
      <c r="E664" s="614"/>
      <c r="F664" s="614"/>
      <c r="G664" s="614"/>
      <c r="H664" s="614"/>
      <c r="I664" s="614"/>
      <c r="J664" s="614"/>
      <c r="K664" s="614"/>
      <c r="L664" s="614"/>
      <c r="M664" s="614"/>
      <c r="N664" s="614"/>
      <c r="O664" s="614"/>
      <c r="P664" s="614"/>
      <c r="Q664" s="614"/>
      <c r="R664" s="614"/>
      <c r="S664" s="614"/>
      <c r="T664" s="614"/>
      <c r="U664" s="614"/>
      <c r="V664" s="614"/>
      <c r="W664" s="614"/>
      <c r="X664" s="614"/>
      <c r="Y664" s="614"/>
      <c r="Z664" s="614"/>
      <c r="AA664" s="614"/>
      <c r="AB664" s="614"/>
      <c r="AC664" s="614"/>
    </row>
    <row r="665" spans="1:29" ht="12.75" customHeight="1">
      <c r="A665" s="319"/>
      <c r="B665" s="614"/>
      <c r="C665" s="319"/>
      <c r="D665" s="614"/>
      <c r="E665" s="614"/>
      <c r="F665" s="614"/>
      <c r="G665" s="614"/>
      <c r="H665" s="614"/>
      <c r="I665" s="614"/>
      <c r="J665" s="614"/>
      <c r="K665" s="614"/>
      <c r="L665" s="614"/>
      <c r="M665" s="614"/>
      <c r="N665" s="614"/>
      <c r="O665" s="614"/>
      <c r="P665" s="614"/>
      <c r="Q665" s="614"/>
      <c r="R665" s="614"/>
      <c r="S665" s="614"/>
      <c r="T665" s="614"/>
      <c r="U665" s="614"/>
      <c r="V665" s="614"/>
      <c r="W665" s="614"/>
      <c r="X665" s="614"/>
      <c r="Y665" s="614"/>
      <c r="Z665" s="614"/>
      <c r="AA665" s="614"/>
      <c r="AB665" s="614"/>
      <c r="AC665" s="614"/>
    </row>
    <row r="666" spans="1:29" ht="12.75" customHeight="1">
      <c r="A666" s="319"/>
      <c r="B666" s="614"/>
      <c r="C666" s="319"/>
      <c r="D666" s="614"/>
      <c r="E666" s="614"/>
      <c r="F666" s="614"/>
      <c r="G666" s="614"/>
      <c r="H666" s="614"/>
      <c r="I666" s="614"/>
      <c r="J666" s="614"/>
      <c r="K666" s="614"/>
      <c r="L666" s="614"/>
      <c r="M666" s="614"/>
      <c r="N666" s="614"/>
      <c r="O666" s="614"/>
      <c r="P666" s="614"/>
      <c r="Q666" s="614"/>
      <c r="R666" s="614"/>
      <c r="S666" s="614"/>
      <c r="T666" s="614"/>
      <c r="U666" s="614"/>
      <c r="V666" s="614"/>
      <c r="W666" s="614"/>
      <c r="X666" s="614"/>
      <c r="Y666" s="614"/>
      <c r="Z666" s="614"/>
      <c r="AA666" s="614"/>
      <c r="AB666" s="614"/>
      <c r="AC666" s="614"/>
    </row>
    <row r="667" spans="1:29" ht="12.75" customHeight="1">
      <c r="A667" s="319"/>
      <c r="B667" s="614"/>
      <c r="C667" s="319"/>
      <c r="D667" s="614"/>
      <c r="E667" s="614"/>
      <c r="F667" s="614"/>
      <c r="G667" s="614"/>
      <c r="H667" s="614"/>
      <c r="I667" s="614"/>
      <c r="J667" s="614"/>
      <c r="K667" s="614"/>
      <c r="L667" s="614"/>
      <c r="M667" s="614"/>
      <c r="N667" s="614"/>
      <c r="O667" s="614"/>
      <c r="P667" s="614"/>
      <c r="Q667" s="614"/>
      <c r="R667" s="614"/>
      <c r="S667" s="614"/>
      <c r="T667" s="614"/>
      <c r="U667" s="614"/>
      <c r="V667" s="614"/>
      <c r="W667" s="614"/>
      <c r="X667" s="614"/>
      <c r="Y667" s="614"/>
      <c r="Z667" s="614"/>
      <c r="AA667" s="614"/>
      <c r="AB667" s="614"/>
      <c r="AC667" s="614"/>
    </row>
    <row r="668" spans="1:29" ht="12.75" customHeight="1">
      <c r="A668" s="319"/>
      <c r="B668" s="614"/>
      <c r="C668" s="319"/>
      <c r="D668" s="614"/>
      <c r="E668" s="614"/>
      <c r="F668" s="614"/>
      <c r="G668" s="614"/>
      <c r="H668" s="614"/>
      <c r="I668" s="614"/>
      <c r="J668" s="614"/>
      <c r="K668" s="614"/>
      <c r="L668" s="614"/>
      <c r="M668" s="614"/>
      <c r="N668" s="614"/>
      <c r="O668" s="614"/>
      <c r="P668" s="614"/>
      <c r="Q668" s="614"/>
      <c r="R668" s="614"/>
      <c r="S668" s="614"/>
      <c r="T668" s="614"/>
      <c r="U668" s="614"/>
      <c r="V668" s="614"/>
      <c r="W668" s="614"/>
      <c r="X668" s="614"/>
      <c r="Y668" s="614"/>
      <c r="Z668" s="614"/>
      <c r="AA668" s="614"/>
      <c r="AB668" s="614"/>
      <c r="AC668" s="614"/>
    </row>
    <row r="669" spans="1:29" ht="12.75" customHeight="1">
      <c r="A669" s="319"/>
      <c r="B669" s="614"/>
      <c r="C669" s="319"/>
      <c r="D669" s="614"/>
      <c r="E669" s="614"/>
      <c r="F669" s="614"/>
      <c r="G669" s="614"/>
      <c r="H669" s="614"/>
      <c r="I669" s="614"/>
      <c r="J669" s="614"/>
      <c r="K669" s="614"/>
      <c r="L669" s="614"/>
      <c r="M669" s="614"/>
      <c r="N669" s="614"/>
      <c r="O669" s="614"/>
      <c r="P669" s="614"/>
      <c r="Q669" s="614"/>
      <c r="R669" s="614"/>
      <c r="S669" s="614"/>
      <c r="T669" s="614"/>
      <c r="U669" s="614"/>
      <c r="V669" s="614"/>
      <c r="W669" s="614"/>
      <c r="X669" s="614"/>
      <c r="Y669" s="614"/>
      <c r="Z669" s="614"/>
      <c r="AA669" s="614"/>
      <c r="AB669" s="614"/>
      <c r="AC669" s="614"/>
    </row>
    <row r="670" spans="1:29" ht="12.75" customHeight="1">
      <c r="A670" s="319"/>
      <c r="B670" s="614"/>
      <c r="C670" s="319"/>
      <c r="D670" s="614"/>
      <c r="E670" s="614"/>
      <c r="F670" s="614"/>
      <c r="G670" s="614"/>
      <c r="H670" s="614"/>
      <c r="I670" s="614"/>
      <c r="J670" s="614"/>
      <c r="K670" s="614"/>
      <c r="L670" s="614"/>
      <c r="M670" s="614"/>
      <c r="N670" s="614"/>
      <c r="O670" s="614"/>
      <c r="P670" s="614"/>
      <c r="Q670" s="614"/>
      <c r="R670" s="614"/>
      <c r="S670" s="614"/>
      <c r="T670" s="614"/>
      <c r="U670" s="614"/>
      <c r="V670" s="614"/>
      <c r="W670" s="614"/>
      <c r="X670" s="614"/>
      <c r="Y670" s="614"/>
      <c r="Z670" s="614"/>
      <c r="AA670" s="614"/>
      <c r="AB670" s="614"/>
      <c r="AC670" s="614"/>
    </row>
    <row r="671" spans="1:29" ht="12.75" customHeight="1">
      <c r="A671" s="319"/>
      <c r="B671" s="614"/>
      <c r="C671" s="319"/>
      <c r="D671" s="614"/>
      <c r="E671" s="614"/>
      <c r="F671" s="614"/>
      <c r="G671" s="614"/>
      <c r="H671" s="614"/>
      <c r="I671" s="614"/>
      <c r="J671" s="614"/>
      <c r="K671" s="614"/>
      <c r="L671" s="614"/>
      <c r="M671" s="614"/>
      <c r="N671" s="614"/>
      <c r="O671" s="614"/>
      <c r="P671" s="614"/>
      <c r="Q671" s="614"/>
      <c r="R671" s="614"/>
      <c r="S671" s="614"/>
      <c r="T671" s="614"/>
      <c r="U671" s="614"/>
      <c r="V671" s="614"/>
      <c r="W671" s="614"/>
      <c r="X671" s="614"/>
      <c r="Y671" s="614"/>
      <c r="Z671" s="614"/>
      <c r="AA671" s="614"/>
      <c r="AB671" s="614"/>
      <c r="AC671" s="614"/>
    </row>
    <row r="672" spans="1:29" ht="12.75" customHeight="1">
      <c r="A672" s="319"/>
      <c r="B672" s="614"/>
      <c r="C672" s="319"/>
      <c r="D672" s="614"/>
      <c r="E672" s="614"/>
      <c r="F672" s="614"/>
      <c r="G672" s="614"/>
      <c r="H672" s="614"/>
      <c r="I672" s="614"/>
      <c r="J672" s="614"/>
      <c r="K672" s="614"/>
      <c r="L672" s="614"/>
      <c r="M672" s="614"/>
      <c r="N672" s="614"/>
      <c r="O672" s="614"/>
      <c r="P672" s="614"/>
      <c r="Q672" s="614"/>
      <c r="R672" s="614"/>
      <c r="S672" s="614"/>
      <c r="T672" s="614"/>
      <c r="U672" s="614"/>
      <c r="V672" s="614"/>
      <c r="W672" s="614"/>
      <c r="X672" s="614"/>
      <c r="Y672" s="614"/>
      <c r="Z672" s="614"/>
      <c r="AA672" s="614"/>
      <c r="AB672" s="614"/>
      <c r="AC672" s="614"/>
    </row>
    <row r="673" spans="1:29" ht="12.75" customHeight="1">
      <c r="A673" s="319"/>
      <c r="B673" s="614"/>
      <c r="C673" s="319"/>
      <c r="D673" s="614"/>
      <c r="E673" s="614"/>
      <c r="F673" s="614"/>
      <c r="G673" s="614"/>
      <c r="H673" s="614"/>
      <c r="I673" s="614"/>
      <c r="J673" s="614"/>
      <c r="K673" s="614"/>
      <c r="L673" s="614"/>
      <c r="M673" s="614"/>
      <c r="N673" s="614"/>
      <c r="O673" s="614"/>
      <c r="P673" s="614"/>
      <c r="Q673" s="614"/>
      <c r="R673" s="614"/>
      <c r="S673" s="614"/>
      <c r="T673" s="614"/>
      <c r="U673" s="614"/>
      <c r="V673" s="614"/>
      <c r="W673" s="614"/>
      <c r="X673" s="614"/>
      <c r="Y673" s="614"/>
      <c r="Z673" s="614"/>
      <c r="AA673" s="614"/>
      <c r="AB673" s="614"/>
      <c r="AC673" s="614"/>
    </row>
    <row r="674" spans="1:29" ht="12.75" customHeight="1">
      <c r="A674" s="319"/>
      <c r="B674" s="614"/>
      <c r="C674" s="319"/>
      <c r="D674" s="614"/>
      <c r="E674" s="614"/>
      <c r="F674" s="614"/>
      <c r="G674" s="614"/>
      <c r="H674" s="614"/>
      <c r="I674" s="614"/>
      <c r="J674" s="614"/>
      <c r="K674" s="614"/>
      <c r="L674" s="614"/>
      <c r="M674" s="614"/>
      <c r="N674" s="614"/>
      <c r="O674" s="614"/>
      <c r="P674" s="614"/>
      <c r="Q674" s="614"/>
      <c r="R674" s="614"/>
      <c r="S674" s="614"/>
      <c r="T674" s="614"/>
      <c r="U674" s="614"/>
      <c r="V674" s="614"/>
      <c r="W674" s="614"/>
      <c r="X674" s="614"/>
      <c r="Y674" s="614"/>
      <c r="Z674" s="614"/>
      <c r="AA674" s="614"/>
      <c r="AB674" s="614"/>
      <c r="AC674" s="614"/>
    </row>
    <row r="675" spans="1:29" ht="12.75" customHeight="1">
      <c r="A675" s="319"/>
      <c r="B675" s="614"/>
      <c r="C675" s="319"/>
      <c r="D675" s="614"/>
      <c r="E675" s="614"/>
      <c r="F675" s="614"/>
      <c r="G675" s="614"/>
      <c r="H675" s="614"/>
      <c r="I675" s="614"/>
      <c r="J675" s="614"/>
      <c r="K675" s="614"/>
      <c r="L675" s="614"/>
      <c r="M675" s="614"/>
      <c r="N675" s="614"/>
      <c r="O675" s="614"/>
      <c r="P675" s="614"/>
      <c r="Q675" s="614"/>
      <c r="R675" s="614"/>
      <c r="S675" s="614"/>
      <c r="T675" s="614"/>
      <c r="U675" s="614"/>
      <c r="V675" s="614"/>
      <c r="W675" s="614"/>
      <c r="X675" s="614"/>
      <c r="Y675" s="614"/>
      <c r="Z675" s="614"/>
      <c r="AA675" s="614"/>
      <c r="AB675" s="614"/>
      <c r="AC675" s="614"/>
    </row>
    <row r="676" spans="1:29" ht="12.75" customHeight="1">
      <c r="A676" s="319"/>
      <c r="B676" s="614"/>
      <c r="C676" s="319"/>
      <c r="D676" s="614"/>
      <c r="E676" s="614"/>
      <c r="F676" s="614"/>
      <c r="G676" s="614"/>
      <c r="H676" s="614"/>
      <c r="I676" s="614"/>
      <c r="J676" s="614"/>
      <c r="K676" s="614"/>
      <c r="L676" s="614"/>
      <c r="M676" s="614"/>
      <c r="N676" s="614"/>
      <c r="O676" s="614"/>
      <c r="P676" s="614"/>
      <c r="Q676" s="614"/>
      <c r="R676" s="614"/>
      <c r="S676" s="614"/>
      <c r="T676" s="614"/>
      <c r="U676" s="614"/>
      <c r="V676" s="614"/>
      <c r="W676" s="614"/>
      <c r="X676" s="614"/>
      <c r="Y676" s="614"/>
      <c r="Z676" s="614"/>
      <c r="AA676" s="614"/>
      <c r="AB676" s="614"/>
      <c r="AC676" s="614"/>
    </row>
    <row r="677" spans="1:29" ht="12.75" customHeight="1">
      <c r="A677" s="319"/>
      <c r="B677" s="614"/>
      <c r="C677" s="319"/>
      <c r="D677" s="614"/>
      <c r="E677" s="614"/>
      <c r="F677" s="614"/>
      <c r="G677" s="614"/>
      <c r="H677" s="614"/>
      <c r="I677" s="614"/>
      <c r="J677" s="614"/>
      <c r="K677" s="614"/>
      <c r="L677" s="614"/>
      <c r="M677" s="614"/>
      <c r="N677" s="614"/>
      <c r="O677" s="614"/>
      <c r="P677" s="614"/>
      <c r="Q677" s="614"/>
      <c r="R677" s="614"/>
      <c r="S677" s="614"/>
      <c r="T677" s="614"/>
      <c r="U677" s="614"/>
      <c r="V677" s="614"/>
      <c r="W677" s="614"/>
      <c r="X677" s="614"/>
      <c r="Y677" s="614"/>
      <c r="Z677" s="614"/>
      <c r="AA677" s="614"/>
      <c r="AB677" s="614"/>
      <c r="AC677" s="614"/>
    </row>
    <row r="678" spans="1:29" ht="12.75" customHeight="1">
      <c r="A678" s="319"/>
      <c r="B678" s="614"/>
      <c r="C678" s="319"/>
      <c r="D678" s="614"/>
      <c r="E678" s="614"/>
      <c r="F678" s="614"/>
      <c r="G678" s="614"/>
      <c r="H678" s="614"/>
      <c r="I678" s="614"/>
      <c r="J678" s="614"/>
      <c r="K678" s="614"/>
      <c r="L678" s="614"/>
      <c r="M678" s="614"/>
      <c r="N678" s="614"/>
      <c r="O678" s="614"/>
      <c r="P678" s="614"/>
      <c r="Q678" s="614"/>
      <c r="R678" s="614"/>
      <c r="S678" s="614"/>
      <c r="T678" s="614"/>
      <c r="U678" s="614"/>
      <c r="V678" s="614"/>
      <c r="W678" s="614"/>
      <c r="X678" s="614"/>
      <c r="Y678" s="614"/>
      <c r="Z678" s="614"/>
      <c r="AA678" s="614"/>
      <c r="AB678" s="614"/>
      <c r="AC678" s="614"/>
    </row>
    <row r="679" spans="1:29" ht="12.75" customHeight="1">
      <c r="A679" s="319"/>
      <c r="B679" s="614"/>
      <c r="C679" s="319"/>
      <c r="D679" s="614"/>
      <c r="E679" s="614"/>
      <c r="F679" s="614"/>
      <c r="G679" s="614"/>
      <c r="H679" s="614"/>
      <c r="I679" s="614"/>
      <c r="J679" s="614"/>
      <c r="K679" s="614"/>
      <c r="L679" s="614"/>
      <c r="M679" s="614"/>
      <c r="N679" s="614"/>
      <c r="O679" s="614"/>
      <c r="P679" s="614"/>
      <c r="Q679" s="614"/>
      <c r="R679" s="614"/>
      <c r="S679" s="614"/>
      <c r="T679" s="614"/>
      <c r="U679" s="614"/>
      <c r="V679" s="614"/>
      <c r="W679" s="614"/>
      <c r="X679" s="614"/>
      <c r="Y679" s="614"/>
      <c r="Z679" s="614"/>
      <c r="AA679" s="614"/>
      <c r="AB679" s="614"/>
      <c r="AC679" s="614"/>
    </row>
    <row r="680" spans="1:29" ht="12.75" customHeight="1">
      <c r="A680" s="319"/>
      <c r="B680" s="614"/>
      <c r="C680" s="319"/>
      <c r="D680" s="614"/>
      <c r="E680" s="614"/>
      <c r="F680" s="614"/>
      <c r="G680" s="614"/>
      <c r="H680" s="614"/>
      <c r="I680" s="614"/>
      <c r="J680" s="614"/>
      <c r="K680" s="614"/>
      <c r="L680" s="614"/>
      <c r="M680" s="614"/>
      <c r="N680" s="614"/>
      <c r="O680" s="614"/>
      <c r="P680" s="614"/>
      <c r="Q680" s="614"/>
      <c r="R680" s="614"/>
      <c r="S680" s="614"/>
      <c r="T680" s="614"/>
      <c r="U680" s="614"/>
      <c r="V680" s="614"/>
      <c r="W680" s="614"/>
      <c r="X680" s="614"/>
      <c r="Y680" s="614"/>
      <c r="Z680" s="614"/>
      <c r="AA680" s="614"/>
      <c r="AB680" s="614"/>
      <c r="AC680" s="614"/>
    </row>
    <row r="681" spans="1:29" ht="12.75" customHeight="1">
      <c r="A681" s="319"/>
      <c r="B681" s="614"/>
      <c r="C681" s="319"/>
      <c r="D681" s="614"/>
      <c r="E681" s="614"/>
      <c r="F681" s="614"/>
      <c r="G681" s="614"/>
      <c r="H681" s="614"/>
      <c r="I681" s="614"/>
      <c r="J681" s="614"/>
      <c r="K681" s="614"/>
      <c r="L681" s="614"/>
      <c r="M681" s="614"/>
      <c r="N681" s="614"/>
      <c r="O681" s="614"/>
      <c r="P681" s="614"/>
      <c r="Q681" s="614"/>
      <c r="R681" s="614"/>
      <c r="S681" s="614"/>
      <c r="T681" s="614"/>
      <c r="U681" s="614"/>
      <c r="V681" s="614"/>
      <c r="W681" s="614"/>
      <c r="X681" s="614"/>
      <c r="Y681" s="614"/>
      <c r="Z681" s="614"/>
      <c r="AA681" s="614"/>
      <c r="AB681" s="614"/>
      <c r="AC681" s="614"/>
    </row>
    <row r="682" spans="1:29" ht="12.75" customHeight="1">
      <c r="A682" s="319"/>
      <c r="B682" s="614"/>
      <c r="C682" s="319"/>
      <c r="D682" s="614"/>
      <c r="E682" s="614"/>
      <c r="F682" s="614"/>
      <c r="G682" s="614"/>
      <c r="H682" s="614"/>
      <c r="I682" s="614"/>
      <c r="J682" s="614"/>
      <c r="K682" s="614"/>
      <c r="L682" s="614"/>
      <c r="M682" s="614"/>
      <c r="N682" s="614"/>
      <c r="O682" s="614"/>
      <c r="P682" s="614"/>
      <c r="Q682" s="614"/>
      <c r="R682" s="614"/>
      <c r="S682" s="614"/>
      <c r="T682" s="614"/>
      <c r="U682" s="614"/>
      <c r="V682" s="614"/>
      <c r="W682" s="614"/>
      <c r="X682" s="614"/>
      <c r="Y682" s="614"/>
      <c r="Z682" s="614"/>
      <c r="AA682" s="614"/>
      <c r="AB682" s="614"/>
      <c r="AC682" s="614"/>
    </row>
    <row r="683" spans="1:29" ht="12.75" customHeight="1">
      <c r="A683" s="319"/>
      <c r="B683" s="614"/>
      <c r="C683" s="319"/>
      <c r="D683" s="614"/>
      <c r="E683" s="614"/>
      <c r="F683" s="614"/>
      <c r="G683" s="614"/>
      <c r="H683" s="614"/>
      <c r="I683" s="614"/>
      <c r="J683" s="614"/>
      <c r="K683" s="614"/>
      <c r="L683" s="614"/>
      <c r="M683" s="614"/>
      <c r="N683" s="614"/>
      <c r="O683" s="614"/>
      <c r="P683" s="614"/>
      <c r="Q683" s="614"/>
      <c r="R683" s="614"/>
      <c r="S683" s="614"/>
      <c r="T683" s="614"/>
      <c r="U683" s="614"/>
      <c r="V683" s="614"/>
      <c r="W683" s="614"/>
      <c r="X683" s="614"/>
      <c r="Y683" s="614"/>
      <c r="Z683" s="614"/>
      <c r="AA683" s="614"/>
      <c r="AB683" s="614"/>
      <c r="AC683" s="614"/>
    </row>
    <row r="684" spans="1:29" ht="12.75" customHeight="1">
      <c r="A684" s="319"/>
      <c r="B684" s="614"/>
      <c r="C684" s="319"/>
      <c r="D684" s="614"/>
      <c r="E684" s="614"/>
      <c r="F684" s="614"/>
      <c r="G684" s="614"/>
      <c r="H684" s="614"/>
      <c r="I684" s="614"/>
      <c r="J684" s="614"/>
      <c r="K684" s="614"/>
      <c r="L684" s="614"/>
      <c r="M684" s="614"/>
      <c r="N684" s="614"/>
      <c r="O684" s="614"/>
      <c r="P684" s="614"/>
      <c r="Q684" s="614"/>
      <c r="R684" s="614"/>
      <c r="S684" s="614"/>
      <c r="T684" s="614"/>
      <c r="U684" s="614"/>
      <c r="V684" s="614"/>
      <c r="W684" s="614"/>
      <c r="X684" s="614"/>
      <c r="Y684" s="614"/>
      <c r="Z684" s="614"/>
      <c r="AA684" s="614"/>
      <c r="AB684" s="614"/>
      <c r="AC684" s="614"/>
    </row>
    <row r="685" spans="1:29" ht="12.75" customHeight="1">
      <c r="A685" s="319"/>
      <c r="B685" s="614"/>
      <c r="C685" s="319"/>
      <c r="D685" s="614"/>
      <c r="E685" s="614"/>
      <c r="F685" s="614"/>
      <c r="G685" s="614"/>
      <c r="H685" s="614"/>
      <c r="I685" s="614"/>
      <c r="J685" s="614"/>
      <c r="K685" s="614"/>
      <c r="L685" s="614"/>
      <c r="M685" s="614"/>
      <c r="N685" s="614"/>
      <c r="O685" s="614"/>
      <c r="P685" s="614"/>
      <c r="Q685" s="614"/>
      <c r="R685" s="614"/>
      <c r="S685" s="614"/>
      <c r="T685" s="614"/>
      <c r="U685" s="614"/>
      <c r="V685" s="614"/>
      <c r="W685" s="614"/>
      <c r="X685" s="614"/>
      <c r="Y685" s="614"/>
      <c r="Z685" s="614"/>
      <c r="AA685" s="614"/>
      <c r="AB685" s="614"/>
      <c r="AC685" s="614"/>
    </row>
    <row r="686" spans="1:29" ht="12.75" customHeight="1">
      <c r="A686" s="319"/>
      <c r="B686" s="614"/>
      <c r="C686" s="319"/>
      <c r="D686" s="614"/>
      <c r="E686" s="614"/>
      <c r="F686" s="614"/>
      <c r="G686" s="614"/>
      <c r="H686" s="614"/>
      <c r="I686" s="614"/>
      <c r="J686" s="614"/>
      <c r="K686" s="614"/>
      <c r="L686" s="614"/>
      <c r="M686" s="614"/>
      <c r="N686" s="614"/>
      <c r="O686" s="614"/>
      <c r="P686" s="614"/>
      <c r="Q686" s="614"/>
      <c r="R686" s="614"/>
      <c r="S686" s="614"/>
      <c r="T686" s="614"/>
      <c r="U686" s="614"/>
      <c r="V686" s="614"/>
      <c r="W686" s="614"/>
      <c r="X686" s="614"/>
      <c r="Y686" s="614"/>
      <c r="Z686" s="614"/>
      <c r="AA686" s="614"/>
      <c r="AB686" s="614"/>
      <c r="AC686" s="614"/>
    </row>
    <row r="687" spans="1:29" ht="12.75" customHeight="1">
      <c r="A687" s="319"/>
      <c r="B687" s="614"/>
      <c r="C687" s="319"/>
      <c r="D687" s="614"/>
      <c r="E687" s="614"/>
      <c r="F687" s="614"/>
      <c r="G687" s="614"/>
      <c r="H687" s="614"/>
      <c r="I687" s="614"/>
      <c r="J687" s="614"/>
      <c r="K687" s="614"/>
      <c r="L687" s="614"/>
      <c r="M687" s="614"/>
      <c r="N687" s="614"/>
      <c r="O687" s="614"/>
      <c r="P687" s="614"/>
      <c r="Q687" s="614"/>
      <c r="R687" s="614"/>
      <c r="S687" s="614"/>
      <c r="T687" s="614"/>
      <c r="U687" s="614"/>
      <c r="V687" s="614"/>
      <c r="W687" s="614"/>
      <c r="X687" s="614"/>
      <c r="Y687" s="614"/>
      <c r="Z687" s="614"/>
      <c r="AA687" s="614"/>
      <c r="AB687" s="614"/>
      <c r="AC687" s="614"/>
    </row>
    <row r="688" spans="1:29" ht="12.75" customHeight="1">
      <c r="A688" s="319"/>
      <c r="B688" s="614"/>
      <c r="C688" s="319"/>
      <c r="D688" s="614"/>
      <c r="E688" s="614"/>
      <c r="F688" s="614"/>
      <c r="G688" s="614"/>
      <c r="H688" s="614"/>
      <c r="I688" s="614"/>
      <c r="J688" s="614"/>
      <c r="K688" s="614"/>
      <c r="L688" s="614"/>
      <c r="M688" s="614"/>
      <c r="N688" s="614"/>
      <c r="O688" s="614"/>
      <c r="P688" s="614"/>
      <c r="Q688" s="614"/>
      <c r="R688" s="614"/>
      <c r="S688" s="614"/>
      <c r="T688" s="614"/>
      <c r="U688" s="614"/>
      <c r="V688" s="614"/>
      <c r="W688" s="614"/>
      <c r="X688" s="614"/>
      <c r="Y688" s="614"/>
      <c r="Z688" s="614"/>
      <c r="AA688" s="614"/>
      <c r="AB688" s="614"/>
      <c r="AC688" s="614"/>
    </row>
    <row r="689" spans="1:29" ht="12.75" customHeight="1">
      <c r="A689" s="319"/>
      <c r="B689" s="614"/>
      <c r="C689" s="319"/>
      <c r="D689" s="614"/>
      <c r="E689" s="614"/>
      <c r="F689" s="614"/>
      <c r="G689" s="614"/>
      <c r="H689" s="614"/>
      <c r="I689" s="614"/>
      <c r="J689" s="614"/>
      <c r="K689" s="614"/>
      <c r="L689" s="614"/>
      <c r="M689" s="614"/>
      <c r="N689" s="614"/>
      <c r="O689" s="614"/>
      <c r="P689" s="614"/>
      <c r="Q689" s="614"/>
      <c r="R689" s="614"/>
      <c r="S689" s="614"/>
      <c r="T689" s="614"/>
      <c r="U689" s="614"/>
      <c r="V689" s="614"/>
      <c r="W689" s="614"/>
      <c r="X689" s="614"/>
      <c r="Y689" s="614"/>
      <c r="Z689" s="614"/>
      <c r="AA689" s="614"/>
      <c r="AB689" s="614"/>
      <c r="AC689" s="614"/>
    </row>
    <row r="690" spans="1:29" ht="12.75" customHeight="1">
      <c r="A690" s="319"/>
      <c r="B690" s="614"/>
      <c r="C690" s="319"/>
      <c r="D690" s="614"/>
      <c r="E690" s="614"/>
      <c r="F690" s="614"/>
      <c r="G690" s="614"/>
      <c r="H690" s="614"/>
      <c r="I690" s="614"/>
      <c r="J690" s="614"/>
      <c r="K690" s="614"/>
      <c r="L690" s="614"/>
      <c r="M690" s="614"/>
      <c r="N690" s="614"/>
      <c r="O690" s="614"/>
      <c r="P690" s="614"/>
      <c r="Q690" s="614"/>
      <c r="R690" s="614"/>
      <c r="S690" s="614"/>
      <c r="T690" s="614"/>
      <c r="U690" s="614"/>
      <c r="V690" s="614"/>
      <c r="W690" s="614"/>
      <c r="X690" s="614"/>
      <c r="Y690" s="614"/>
      <c r="Z690" s="614"/>
      <c r="AA690" s="614"/>
      <c r="AB690" s="614"/>
      <c r="AC690" s="614"/>
    </row>
    <row r="691" spans="1:29" ht="12.75" customHeight="1">
      <c r="A691" s="319"/>
      <c r="B691" s="614"/>
      <c r="C691" s="319"/>
      <c r="D691" s="614"/>
      <c r="E691" s="614"/>
      <c r="F691" s="614"/>
      <c r="G691" s="614"/>
      <c r="H691" s="614"/>
      <c r="I691" s="614"/>
      <c r="J691" s="614"/>
      <c r="K691" s="614"/>
      <c r="L691" s="614"/>
      <c r="M691" s="614"/>
      <c r="N691" s="614"/>
      <c r="O691" s="614"/>
      <c r="P691" s="614"/>
      <c r="Q691" s="614"/>
      <c r="R691" s="614"/>
      <c r="S691" s="614"/>
      <c r="T691" s="614"/>
      <c r="U691" s="614"/>
      <c r="V691" s="614"/>
      <c r="W691" s="614"/>
      <c r="X691" s="614"/>
      <c r="Y691" s="614"/>
      <c r="Z691" s="614"/>
      <c r="AA691" s="614"/>
      <c r="AB691" s="614"/>
      <c r="AC691" s="614"/>
    </row>
    <row r="692" spans="1:29" ht="12.75" customHeight="1">
      <c r="A692" s="319"/>
      <c r="B692" s="614"/>
      <c r="C692" s="319"/>
      <c r="D692" s="614"/>
      <c r="E692" s="614"/>
      <c r="F692" s="614"/>
      <c r="G692" s="614"/>
      <c r="H692" s="614"/>
      <c r="I692" s="614"/>
      <c r="J692" s="614"/>
      <c r="K692" s="614"/>
      <c r="L692" s="614"/>
      <c r="M692" s="614"/>
      <c r="N692" s="614"/>
      <c r="O692" s="614"/>
      <c r="P692" s="614"/>
      <c r="Q692" s="614"/>
      <c r="R692" s="614"/>
      <c r="S692" s="614"/>
      <c r="T692" s="614"/>
      <c r="U692" s="614"/>
      <c r="V692" s="614"/>
      <c r="W692" s="614"/>
      <c r="X692" s="614"/>
      <c r="Y692" s="614"/>
      <c r="Z692" s="614"/>
      <c r="AA692" s="614"/>
      <c r="AB692" s="614"/>
      <c r="AC692" s="614"/>
    </row>
    <row r="693" spans="1:29" ht="12.75" customHeight="1">
      <c r="A693" s="319"/>
      <c r="B693" s="614"/>
      <c r="C693" s="319"/>
      <c r="D693" s="614"/>
      <c r="E693" s="614"/>
      <c r="F693" s="614"/>
      <c r="G693" s="614"/>
      <c r="H693" s="614"/>
      <c r="I693" s="614"/>
      <c r="J693" s="614"/>
      <c r="K693" s="614"/>
      <c r="L693" s="614"/>
      <c r="M693" s="614"/>
      <c r="N693" s="614"/>
      <c r="O693" s="614"/>
      <c r="P693" s="614"/>
      <c r="Q693" s="614"/>
      <c r="R693" s="614"/>
      <c r="S693" s="614"/>
      <c r="T693" s="614"/>
      <c r="U693" s="614"/>
      <c r="V693" s="614"/>
      <c r="W693" s="614"/>
      <c r="X693" s="614"/>
      <c r="Y693" s="614"/>
      <c r="Z693" s="614"/>
      <c r="AA693" s="614"/>
      <c r="AB693" s="614"/>
      <c r="AC693" s="614"/>
    </row>
    <row r="694" spans="1:29" ht="12.75" customHeight="1">
      <c r="A694" s="319"/>
      <c r="B694" s="614"/>
      <c r="C694" s="319"/>
      <c r="D694" s="614"/>
      <c r="E694" s="614"/>
      <c r="F694" s="614"/>
      <c r="G694" s="614"/>
      <c r="H694" s="614"/>
      <c r="I694" s="614"/>
      <c r="J694" s="614"/>
      <c r="K694" s="614"/>
      <c r="L694" s="614"/>
      <c r="M694" s="614"/>
      <c r="N694" s="614"/>
      <c r="O694" s="614"/>
      <c r="P694" s="614"/>
      <c r="Q694" s="614"/>
      <c r="R694" s="614"/>
      <c r="S694" s="614"/>
      <c r="T694" s="614"/>
      <c r="U694" s="614"/>
      <c r="V694" s="614"/>
      <c r="W694" s="614"/>
      <c r="X694" s="614"/>
      <c r="Y694" s="614"/>
      <c r="Z694" s="614"/>
      <c r="AA694" s="614"/>
      <c r="AB694" s="614"/>
      <c r="AC694" s="614"/>
    </row>
    <row r="695" spans="1:29" ht="12.75" customHeight="1">
      <c r="A695" s="319"/>
      <c r="B695" s="614"/>
      <c r="C695" s="319"/>
      <c r="D695" s="614"/>
      <c r="E695" s="614"/>
      <c r="F695" s="614"/>
      <c r="G695" s="614"/>
      <c r="H695" s="614"/>
      <c r="I695" s="614"/>
      <c r="J695" s="614"/>
      <c r="K695" s="614"/>
      <c r="L695" s="614"/>
      <c r="M695" s="614"/>
      <c r="N695" s="614"/>
      <c r="O695" s="614"/>
      <c r="P695" s="614"/>
      <c r="Q695" s="614"/>
      <c r="R695" s="614"/>
      <c r="S695" s="614"/>
      <c r="T695" s="614"/>
      <c r="U695" s="614"/>
      <c r="V695" s="614"/>
      <c r="W695" s="614"/>
      <c r="X695" s="614"/>
      <c r="Y695" s="614"/>
      <c r="Z695" s="614"/>
      <c r="AA695" s="614"/>
      <c r="AB695" s="614"/>
      <c r="AC695" s="614"/>
    </row>
    <row r="696" spans="1:29" ht="12.75" customHeight="1">
      <c r="A696" s="319"/>
      <c r="B696" s="614"/>
      <c r="C696" s="319"/>
      <c r="D696" s="614"/>
      <c r="E696" s="614"/>
      <c r="F696" s="614"/>
      <c r="G696" s="614"/>
      <c r="H696" s="614"/>
      <c r="I696" s="614"/>
      <c r="J696" s="614"/>
      <c r="K696" s="614"/>
      <c r="L696" s="614"/>
      <c r="M696" s="614"/>
      <c r="N696" s="614"/>
      <c r="O696" s="614"/>
      <c r="P696" s="614"/>
      <c r="Q696" s="614"/>
      <c r="R696" s="614"/>
      <c r="S696" s="614"/>
      <c r="T696" s="614"/>
      <c r="U696" s="614"/>
      <c r="V696" s="614"/>
      <c r="W696" s="614"/>
      <c r="X696" s="614"/>
      <c r="Y696" s="614"/>
      <c r="Z696" s="614"/>
      <c r="AA696" s="614"/>
      <c r="AB696" s="614"/>
      <c r="AC696" s="614"/>
    </row>
    <row r="697" spans="1:29" ht="12.75" customHeight="1">
      <c r="A697" s="319"/>
      <c r="B697" s="614"/>
      <c r="C697" s="319"/>
      <c r="D697" s="614"/>
      <c r="E697" s="614"/>
      <c r="F697" s="614"/>
      <c r="G697" s="614"/>
      <c r="H697" s="614"/>
      <c r="I697" s="614"/>
      <c r="J697" s="614"/>
      <c r="K697" s="614"/>
      <c r="L697" s="614"/>
      <c r="M697" s="614"/>
      <c r="N697" s="614"/>
      <c r="O697" s="614"/>
      <c r="P697" s="614"/>
      <c r="Q697" s="614"/>
      <c r="R697" s="614"/>
      <c r="S697" s="614"/>
      <c r="T697" s="614"/>
      <c r="U697" s="614"/>
      <c r="V697" s="614"/>
      <c r="W697" s="614"/>
      <c r="X697" s="614"/>
      <c r="Y697" s="614"/>
      <c r="Z697" s="614"/>
      <c r="AA697" s="614"/>
      <c r="AB697" s="614"/>
      <c r="AC697" s="614"/>
    </row>
    <row r="698" spans="1:29" ht="12.75" customHeight="1">
      <c r="A698" s="319"/>
      <c r="B698" s="614"/>
      <c r="C698" s="319"/>
      <c r="D698" s="614"/>
      <c r="E698" s="614"/>
      <c r="F698" s="614"/>
      <c r="G698" s="614"/>
      <c r="H698" s="614"/>
      <c r="I698" s="614"/>
      <c r="J698" s="614"/>
      <c r="K698" s="614"/>
      <c r="L698" s="614"/>
      <c r="M698" s="614"/>
      <c r="N698" s="614"/>
      <c r="O698" s="614"/>
      <c r="P698" s="614"/>
      <c r="Q698" s="614"/>
      <c r="R698" s="614"/>
      <c r="S698" s="614"/>
      <c r="T698" s="614"/>
      <c r="U698" s="614"/>
      <c r="V698" s="614"/>
      <c r="W698" s="614"/>
      <c r="X698" s="614"/>
      <c r="Y698" s="614"/>
      <c r="Z698" s="614"/>
      <c r="AA698" s="614"/>
      <c r="AB698" s="614"/>
      <c r="AC698" s="614"/>
    </row>
    <row r="699" spans="1:29" ht="12.75" customHeight="1">
      <c r="A699" s="319"/>
      <c r="B699" s="614"/>
      <c r="C699" s="319"/>
      <c r="D699" s="614"/>
      <c r="E699" s="614"/>
      <c r="F699" s="614"/>
      <c r="G699" s="614"/>
      <c r="H699" s="614"/>
      <c r="I699" s="614"/>
      <c r="J699" s="614"/>
      <c r="K699" s="614"/>
      <c r="L699" s="614"/>
      <c r="M699" s="614"/>
      <c r="N699" s="614"/>
      <c r="O699" s="614"/>
      <c r="P699" s="614"/>
      <c r="Q699" s="614"/>
      <c r="R699" s="614"/>
      <c r="S699" s="614"/>
      <c r="T699" s="614"/>
      <c r="U699" s="614"/>
      <c r="V699" s="614"/>
      <c r="W699" s="614"/>
      <c r="X699" s="614"/>
      <c r="Y699" s="614"/>
      <c r="Z699" s="614"/>
      <c r="AA699" s="614"/>
      <c r="AB699" s="614"/>
      <c r="AC699" s="614"/>
    </row>
    <row r="700" spans="1:29" ht="12.75" customHeight="1">
      <c r="A700" s="319"/>
      <c r="B700" s="614"/>
      <c r="C700" s="319"/>
      <c r="D700" s="614"/>
      <c r="E700" s="614"/>
      <c r="F700" s="614"/>
      <c r="G700" s="614"/>
      <c r="H700" s="614"/>
      <c r="I700" s="614"/>
      <c r="J700" s="614"/>
      <c r="K700" s="614"/>
      <c r="L700" s="614"/>
      <c r="M700" s="614"/>
      <c r="N700" s="614"/>
      <c r="O700" s="614"/>
      <c r="P700" s="614"/>
      <c r="Q700" s="614"/>
      <c r="R700" s="614"/>
      <c r="S700" s="614"/>
      <c r="T700" s="614"/>
      <c r="U700" s="614"/>
      <c r="V700" s="614"/>
      <c r="W700" s="614"/>
      <c r="X700" s="614"/>
      <c r="Y700" s="614"/>
      <c r="Z700" s="614"/>
      <c r="AA700" s="614"/>
      <c r="AB700" s="614"/>
      <c r="AC700" s="614"/>
    </row>
    <row r="701" spans="1:29" ht="12.75" customHeight="1">
      <c r="A701" s="319"/>
      <c r="B701" s="614"/>
      <c r="C701" s="319"/>
      <c r="D701" s="614"/>
      <c r="E701" s="614"/>
      <c r="F701" s="614"/>
      <c r="G701" s="614"/>
      <c r="H701" s="614"/>
      <c r="I701" s="614"/>
      <c r="J701" s="614"/>
      <c r="K701" s="614"/>
      <c r="L701" s="614"/>
      <c r="M701" s="614"/>
      <c r="N701" s="614"/>
      <c r="O701" s="614"/>
      <c r="P701" s="614"/>
      <c r="Q701" s="614"/>
      <c r="R701" s="614"/>
      <c r="S701" s="614"/>
      <c r="T701" s="614"/>
      <c r="U701" s="614"/>
      <c r="V701" s="614"/>
      <c r="W701" s="614"/>
      <c r="X701" s="614"/>
      <c r="Y701" s="614"/>
      <c r="Z701" s="614"/>
      <c r="AA701" s="614"/>
      <c r="AB701" s="614"/>
      <c r="AC701" s="614"/>
    </row>
    <row r="702" spans="1:29" ht="12.75" customHeight="1">
      <c r="A702" s="319"/>
      <c r="B702" s="614"/>
      <c r="C702" s="319"/>
      <c r="D702" s="614"/>
      <c r="E702" s="614"/>
      <c r="F702" s="614"/>
      <c r="G702" s="614"/>
      <c r="H702" s="614"/>
      <c r="I702" s="614"/>
      <c r="J702" s="614"/>
      <c r="K702" s="614"/>
      <c r="L702" s="614"/>
      <c r="M702" s="614"/>
      <c r="N702" s="614"/>
      <c r="O702" s="614"/>
      <c r="P702" s="614"/>
      <c r="Q702" s="614"/>
      <c r="R702" s="614"/>
      <c r="S702" s="614"/>
      <c r="T702" s="614"/>
      <c r="U702" s="614"/>
      <c r="V702" s="614"/>
      <c r="W702" s="614"/>
      <c r="X702" s="614"/>
      <c r="Y702" s="614"/>
      <c r="Z702" s="614"/>
      <c r="AA702" s="614"/>
      <c r="AB702" s="614"/>
      <c r="AC702" s="614"/>
    </row>
    <row r="703" spans="1:29" ht="12.75" customHeight="1">
      <c r="A703" s="319"/>
      <c r="B703" s="614"/>
      <c r="C703" s="319"/>
      <c r="D703" s="614"/>
      <c r="E703" s="614"/>
      <c r="F703" s="614"/>
      <c r="G703" s="614"/>
      <c r="H703" s="614"/>
      <c r="I703" s="614"/>
      <c r="J703" s="614"/>
      <c r="K703" s="614"/>
      <c r="L703" s="614"/>
      <c r="M703" s="614"/>
      <c r="N703" s="614"/>
      <c r="O703" s="614"/>
      <c r="P703" s="614"/>
      <c r="Q703" s="614"/>
      <c r="R703" s="614"/>
      <c r="S703" s="614"/>
      <c r="T703" s="614"/>
      <c r="U703" s="614"/>
      <c r="V703" s="614"/>
      <c r="W703" s="614"/>
      <c r="X703" s="614"/>
      <c r="Y703" s="614"/>
      <c r="Z703" s="614"/>
      <c r="AA703" s="614"/>
      <c r="AB703" s="614"/>
      <c r="AC703" s="614"/>
    </row>
    <row r="704" spans="1:29" ht="12.75" customHeight="1">
      <c r="A704" s="319"/>
      <c r="B704" s="614"/>
      <c r="C704" s="319"/>
      <c r="D704" s="614"/>
      <c r="E704" s="614"/>
      <c r="F704" s="614"/>
      <c r="G704" s="614"/>
      <c r="H704" s="614"/>
      <c r="I704" s="614"/>
      <c r="J704" s="614"/>
      <c r="K704" s="614"/>
      <c r="L704" s="614"/>
      <c r="M704" s="614"/>
      <c r="N704" s="614"/>
      <c r="O704" s="614"/>
      <c r="P704" s="614"/>
      <c r="Q704" s="614"/>
      <c r="R704" s="614"/>
      <c r="S704" s="614"/>
      <c r="T704" s="614"/>
      <c r="U704" s="614"/>
      <c r="V704" s="614"/>
      <c r="W704" s="614"/>
      <c r="X704" s="614"/>
      <c r="Y704" s="614"/>
      <c r="Z704" s="614"/>
      <c r="AA704" s="614"/>
      <c r="AB704" s="614"/>
      <c r="AC704" s="614"/>
    </row>
    <row r="705" spans="1:29" ht="12.75" customHeight="1">
      <c r="A705" s="319"/>
      <c r="B705" s="614"/>
      <c r="C705" s="319"/>
      <c r="D705" s="614"/>
      <c r="E705" s="614"/>
      <c r="F705" s="614"/>
      <c r="G705" s="614"/>
      <c r="H705" s="614"/>
      <c r="I705" s="614"/>
      <c r="J705" s="614"/>
      <c r="K705" s="614"/>
      <c r="L705" s="614"/>
      <c r="M705" s="614"/>
      <c r="N705" s="614"/>
      <c r="O705" s="614"/>
      <c r="P705" s="614"/>
      <c r="Q705" s="614"/>
      <c r="R705" s="614"/>
      <c r="S705" s="614"/>
      <c r="T705" s="614"/>
      <c r="U705" s="614"/>
      <c r="V705" s="614"/>
      <c r="W705" s="614"/>
      <c r="X705" s="614"/>
      <c r="Y705" s="614"/>
      <c r="Z705" s="614"/>
      <c r="AA705" s="614"/>
      <c r="AB705" s="614"/>
      <c r="AC705" s="614"/>
    </row>
    <row r="706" spans="1:29" ht="12.75" customHeight="1">
      <c r="A706" s="319"/>
      <c r="B706" s="614"/>
      <c r="C706" s="319"/>
      <c r="D706" s="614"/>
      <c r="E706" s="614"/>
      <c r="F706" s="614"/>
      <c r="G706" s="614"/>
      <c r="H706" s="614"/>
      <c r="I706" s="614"/>
      <c r="J706" s="614"/>
      <c r="K706" s="614"/>
      <c r="L706" s="614"/>
      <c r="M706" s="614"/>
      <c r="N706" s="614"/>
      <c r="O706" s="614"/>
      <c r="P706" s="614"/>
      <c r="Q706" s="614"/>
      <c r="R706" s="614"/>
      <c r="S706" s="614"/>
      <c r="T706" s="614"/>
      <c r="U706" s="614"/>
      <c r="V706" s="614"/>
      <c r="W706" s="614"/>
      <c r="X706" s="614"/>
      <c r="Y706" s="614"/>
      <c r="Z706" s="614"/>
      <c r="AA706" s="614"/>
      <c r="AB706" s="614"/>
      <c r="AC706" s="614"/>
    </row>
    <row r="707" spans="1:29" ht="12.75" customHeight="1">
      <c r="A707" s="319"/>
      <c r="B707" s="614"/>
      <c r="C707" s="319"/>
      <c r="D707" s="614"/>
      <c r="E707" s="614"/>
      <c r="F707" s="614"/>
      <c r="G707" s="614"/>
      <c r="H707" s="614"/>
      <c r="I707" s="614"/>
      <c r="J707" s="614"/>
      <c r="K707" s="614"/>
      <c r="L707" s="614"/>
      <c r="M707" s="614"/>
      <c r="N707" s="614"/>
      <c r="O707" s="614"/>
      <c r="P707" s="614"/>
      <c r="Q707" s="614"/>
      <c r="R707" s="614"/>
      <c r="S707" s="614"/>
      <c r="T707" s="614"/>
      <c r="U707" s="614"/>
      <c r="V707" s="614"/>
      <c r="W707" s="614"/>
      <c r="X707" s="614"/>
      <c r="Y707" s="614"/>
      <c r="Z707" s="614"/>
      <c r="AA707" s="614"/>
      <c r="AB707" s="614"/>
      <c r="AC707" s="614"/>
    </row>
    <row r="708" spans="1:29" ht="12.75" customHeight="1">
      <c r="A708" s="319"/>
      <c r="B708" s="614"/>
      <c r="C708" s="319"/>
      <c r="D708" s="614"/>
      <c r="E708" s="614"/>
      <c r="F708" s="614"/>
      <c r="G708" s="614"/>
      <c r="H708" s="614"/>
      <c r="I708" s="614"/>
      <c r="J708" s="614"/>
      <c r="K708" s="614"/>
      <c r="L708" s="614"/>
      <c r="M708" s="614"/>
      <c r="N708" s="614"/>
      <c r="O708" s="614"/>
      <c r="P708" s="614"/>
      <c r="Q708" s="614"/>
      <c r="R708" s="614"/>
      <c r="S708" s="614"/>
      <c r="T708" s="614"/>
      <c r="U708" s="614"/>
      <c r="V708" s="614"/>
      <c r="W708" s="614"/>
      <c r="X708" s="614"/>
      <c r="Y708" s="614"/>
      <c r="Z708" s="614"/>
      <c r="AA708" s="614"/>
      <c r="AB708" s="614"/>
      <c r="AC708" s="614"/>
    </row>
    <row r="709" spans="1:29" ht="12.75" customHeight="1">
      <c r="A709" s="319"/>
      <c r="B709" s="614"/>
      <c r="C709" s="319"/>
      <c r="D709" s="614"/>
      <c r="E709" s="614"/>
      <c r="F709" s="614"/>
      <c r="G709" s="614"/>
      <c r="H709" s="614"/>
      <c r="I709" s="614"/>
      <c r="J709" s="614"/>
      <c r="K709" s="614"/>
      <c r="L709" s="614"/>
      <c r="M709" s="614"/>
      <c r="N709" s="614"/>
      <c r="O709" s="614"/>
      <c r="P709" s="614"/>
      <c r="Q709" s="614"/>
      <c r="R709" s="614"/>
      <c r="S709" s="614"/>
      <c r="T709" s="614"/>
      <c r="U709" s="614"/>
      <c r="V709" s="614"/>
      <c r="W709" s="614"/>
      <c r="X709" s="614"/>
      <c r="Y709" s="614"/>
      <c r="Z709" s="614"/>
      <c r="AA709" s="614"/>
      <c r="AB709" s="614"/>
      <c r="AC709" s="614"/>
    </row>
    <row r="710" spans="1:29" ht="12.75" customHeight="1">
      <c r="A710" s="319"/>
      <c r="B710" s="614"/>
      <c r="C710" s="319"/>
      <c r="D710" s="614"/>
      <c r="E710" s="614"/>
      <c r="F710" s="614"/>
      <c r="G710" s="614"/>
      <c r="H710" s="614"/>
      <c r="I710" s="614"/>
      <c r="J710" s="614"/>
      <c r="K710" s="614"/>
      <c r="L710" s="614"/>
      <c r="M710" s="614"/>
      <c r="N710" s="614"/>
      <c r="O710" s="614"/>
      <c r="P710" s="614"/>
      <c r="Q710" s="614"/>
      <c r="R710" s="614"/>
      <c r="S710" s="614"/>
      <c r="T710" s="614"/>
      <c r="U710" s="614"/>
      <c r="V710" s="614"/>
      <c r="W710" s="614"/>
      <c r="X710" s="614"/>
      <c r="Y710" s="614"/>
      <c r="Z710" s="614"/>
      <c r="AA710" s="614"/>
      <c r="AB710" s="614"/>
      <c r="AC710" s="614"/>
    </row>
    <row r="711" spans="1:29" ht="12.75" customHeight="1">
      <c r="A711" s="319"/>
      <c r="B711" s="614"/>
      <c r="C711" s="319"/>
      <c r="D711" s="614"/>
      <c r="E711" s="614"/>
      <c r="F711" s="614"/>
      <c r="G711" s="614"/>
      <c r="H711" s="614"/>
      <c r="I711" s="614"/>
      <c r="J711" s="614"/>
      <c r="K711" s="614"/>
      <c r="L711" s="614"/>
      <c r="M711" s="614"/>
      <c r="N711" s="614"/>
      <c r="O711" s="614"/>
      <c r="P711" s="614"/>
      <c r="Q711" s="614"/>
      <c r="R711" s="614"/>
      <c r="S711" s="614"/>
      <c r="T711" s="614"/>
      <c r="U711" s="614"/>
      <c r="V711" s="614"/>
      <c r="W711" s="614"/>
      <c r="X711" s="614"/>
      <c r="Y711" s="614"/>
      <c r="Z711" s="614"/>
      <c r="AA711" s="614"/>
      <c r="AB711" s="614"/>
      <c r="AC711" s="614"/>
    </row>
    <row r="712" spans="1:29" ht="12.75" customHeight="1">
      <c r="A712" s="319"/>
      <c r="B712" s="614"/>
      <c r="C712" s="319"/>
      <c r="D712" s="614"/>
      <c r="E712" s="614"/>
      <c r="F712" s="614"/>
      <c r="G712" s="614"/>
      <c r="H712" s="614"/>
      <c r="I712" s="614"/>
      <c r="J712" s="614"/>
      <c r="K712" s="614"/>
      <c r="L712" s="614"/>
      <c r="M712" s="614"/>
      <c r="N712" s="614"/>
      <c r="O712" s="614"/>
      <c r="P712" s="614"/>
      <c r="Q712" s="614"/>
      <c r="R712" s="614"/>
      <c r="S712" s="614"/>
      <c r="T712" s="614"/>
      <c r="U712" s="614"/>
      <c r="V712" s="614"/>
      <c r="W712" s="614"/>
      <c r="X712" s="614"/>
      <c r="Y712" s="614"/>
      <c r="Z712" s="614"/>
      <c r="AA712" s="614"/>
      <c r="AB712" s="614"/>
      <c r="AC712" s="614"/>
    </row>
    <row r="713" spans="1:29" ht="12.75" customHeight="1">
      <c r="A713" s="319"/>
      <c r="B713" s="614"/>
      <c r="C713" s="319"/>
      <c r="D713" s="614"/>
      <c r="E713" s="614"/>
      <c r="F713" s="614"/>
      <c r="G713" s="614"/>
      <c r="H713" s="614"/>
      <c r="I713" s="614"/>
      <c r="J713" s="614"/>
      <c r="K713" s="614"/>
      <c r="L713" s="614"/>
      <c r="M713" s="614"/>
      <c r="N713" s="614"/>
      <c r="O713" s="614"/>
      <c r="P713" s="614"/>
      <c r="Q713" s="614"/>
      <c r="R713" s="614"/>
      <c r="S713" s="614"/>
      <c r="T713" s="614"/>
      <c r="U713" s="614"/>
      <c r="V713" s="614"/>
      <c r="W713" s="614"/>
      <c r="X713" s="614"/>
      <c r="Y713" s="614"/>
      <c r="Z713" s="614"/>
      <c r="AA713" s="614"/>
      <c r="AB713" s="614"/>
      <c r="AC713" s="614"/>
    </row>
    <row r="714" spans="1:29" ht="12.75" customHeight="1">
      <c r="A714" s="319"/>
      <c r="B714" s="614"/>
      <c r="C714" s="319"/>
      <c r="D714" s="614"/>
      <c r="E714" s="614"/>
      <c r="F714" s="614"/>
      <c r="G714" s="614"/>
      <c r="H714" s="614"/>
      <c r="I714" s="614"/>
      <c r="J714" s="614"/>
      <c r="K714" s="614"/>
      <c r="L714" s="614"/>
      <c r="M714" s="614"/>
      <c r="N714" s="614"/>
      <c r="O714" s="614"/>
      <c r="P714" s="614"/>
      <c r="Q714" s="614"/>
      <c r="R714" s="614"/>
      <c r="S714" s="614"/>
      <c r="T714" s="614"/>
      <c r="U714" s="614"/>
      <c r="V714" s="614"/>
      <c r="W714" s="614"/>
      <c r="X714" s="614"/>
      <c r="Y714" s="614"/>
      <c r="Z714" s="614"/>
      <c r="AA714" s="614"/>
      <c r="AB714" s="614"/>
      <c r="AC714" s="614"/>
    </row>
    <row r="715" spans="1:29" ht="12.75" customHeight="1">
      <c r="A715" s="319"/>
      <c r="B715" s="614"/>
      <c r="C715" s="319"/>
      <c r="D715" s="614"/>
      <c r="E715" s="614"/>
      <c r="F715" s="614"/>
      <c r="G715" s="614"/>
      <c r="H715" s="614"/>
      <c r="I715" s="614"/>
      <c r="J715" s="614"/>
      <c r="K715" s="614"/>
      <c r="L715" s="614"/>
      <c r="M715" s="614"/>
      <c r="N715" s="614"/>
      <c r="O715" s="614"/>
      <c r="P715" s="614"/>
      <c r="Q715" s="614"/>
      <c r="R715" s="614"/>
      <c r="S715" s="614"/>
      <c r="T715" s="614"/>
      <c r="U715" s="614"/>
      <c r="V715" s="614"/>
      <c r="W715" s="614"/>
      <c r="X715" s="614"/>
      <c r="Y715" s="614"/>
      <c r="Z715" s="614"/>
      <c r="AA715" s="614"/>
      <c r="AB715" s="614"/>
      <c r="AC715" s="614"/>
    </row>
    <row r="716" spans="1:29" ht="12.75" customHeight="1">
      <c r="A716" s="319"/>
      <c r="B716" s="614"/>
      <c r="C716" s="319"/>
      <c r="D716" s="614"/>
      <c r="E716" s="614"/>
      <c r="F716" s="614"/>
      <c r="G716" s="614"/>
      <c r="H716" s="614"/>
      <c r="I716" s="614"/>
      <c r="J716" s="614"/>
      <c r="K716" s="614"/>
      <c r="L716" s="614"/>
      <c r="M716" s="614"/>
      <c r="N716" s="614"/>
      <c r="O716" s="614"/>
      <c r="P716" s="614"/>
      <c r="Q716" s="614"/>
      <c r="R716" s="614"/>
      <c r="S716" s="614"/>
      <c r="T716" s="614"/>
      <c r="U716" s="614"/>
      <c r="V716" s="614"/>
      <c r="W716" s="614"/>
      <c r="X716" s="614"/>
      <c r="Y716" s="614"/>
      <c r="Z716" s="614"/>
      <c r="AA716" s="614"/>
      <c r="AB716" s="614"/>
      <c r="AC716" s="614"/>
    </row>
    <row r="717" spans="1:29" ht="12.75" customHeight="1">
      <c r="A717" s="319"/>
      <c r="B717" s="614"/>
      <c r="C717" s="319"/>
      <c r="D717" s="614"/>
      <c r="E717" s="614"/>
      <c r="F717" s="614"/>
      <c r="G717" s="614"/>
      <c r="H717" s="614"/>
      <c r="I717" s="614"/>
      <c r="J717" s="614"/>
      <c r="K717" s="614"/>
      <c r="L717" s="614"/>
      <c r="M717" s="614"/>
      <c r="N717" s="614"/>
      <c r="O717" s="614"/>
      <c r="P717" s="614"/>
      <c r="Q717" s="614"/>
      <c r="R717" s="614"/>
      <c r="S717" s="614"/>
      <c r="T717" s="614"/>
      <c r="U717" s="614"/>
      <c r="V717" s="614"/>
      <c r="W717" s="614"/>
      <c r="X717" s="614"/>
      <c r="Y717" s="614"/>
      <c r="Z717" s="614"/>
      <c r="AA717" s="614"/>
      <c r="AB717" s="614"/>
      <c r="AC717" s="614"/>
    </row>
    <row r="718" spans="1:29" ht="12.75" customHeight="1">
      <c r="A718" s="319"/>
      <c r="B718" s="614"/>
      <c r="C718" s="319"/>
      <c r="D718" s="614"/>
      <c r="E718" s="614"/>
      <c r="F718" s="614"/>
      <c r="G718" s="614"/>
      <c r="H718" s="614"/>
      <c r="I718" s="614"/>
      <c r="J718" s="614"/>
      <c r="K718" s="614"/>
      <c r="L718" s="614"/>
      <c r="M718" s="614"/>
      <c r="N718" s="614"/>
      <c r="O718" s="614"/>
      <c r="P718" s="614"/>
      <c r="Q718" s="614"/>
      <c r="R718" s="614"/>
      <c r="S718" s="614"/>
      <c r="T718" s="614"/>
      <c r="U718" s="614"/>
      <c r="V718" s="614"/>
      <c r="W718" s="614"/>
      <c r="X718" s="614"/>
      <c r="Y718" s="614"/>
      <c r="Z718" s="614"/>
      <c r="AA718" s="614"/>
      <c r="AB718" s="614"/>
      <c r="AC718" s="614"/>
    </row>
    <row r="719" spans="1:29" ht="12.75" customHeight="1">
      <c r="A719" s="319"/>
      <c r="B719" s="614"/>
      <c r="C719" s="319"/>
      <c r="D719" s="614"/>
      <c r="E719" s="614"/>
      <c r="F719" s="614"/>
      <c r="G719" s="614"/>
      <c r="H719" s="614"/>
      <c r="I719" s="614"/>
      <c r="J719" s="614"/>
      <c r="K719" s="614"/>
      <c r="L719" s="614"/>
      <c r="M719" s="614"/>
      <c r="N719" s="614"/>
      <c r="O719" s="614"/>
      <c r="P719" s="614"/>
      <c r="Q719" s="614"/>
      <c r="R719" s="614"/>
      <c r="S719" s="614"/>
      <c r="T719" s="614"/>
      <c r="U719" s="614"/>
      <c r="V719" s="614"/>
      <c r="W719" s="614"/>
      <c r="X719" s="614"/>
      <c r="Y719" s="614"/>
      <c r="Z719" s="614"/>
      <c r="AA719" s="614"/>
      <c r="AB719" s="614"/>
      <c r="AC719" s="614"/>
    </row>
    <row r="720" spans="1:29" ht="12.75" customHeight="1">
      <c r="A720" s="319"/>
      <c r="B720" s="614"/>
      <c r="C720" s="319"/>
      <c r="D720" s="614"/>
      <c r="E720" s="614"/>
      <c r="F720" s="614"/>
      <c r="G720" s="614"/>
      <c r="H720" s="614"/>
      <c r="I720" s="614"/>
      <c r="J720" s="614"/>
      <c r="K720" s="614"/>
      <c r="L720" s="614"/>
      <c r="M720" s="614"/>
      <c r="N720" s="614"/>
      <c r="O720" s="614"/>
      <c r="P720" s="614"/>
      <c r="Q720" s="614"/>
      <c r="R720" s="614"/>
      <c r="S720" s="614"/>
      <c r="T720" s="614"/>
      <c r="U720" s="614"/>
      <c r="V720" s="614"/>
      <c r="W720" s="614"/>
      <c r="X720" s="614"/>
      <c r="Y720" s="614"/>
      <c r="Z720" s="614"/>
      <c r="AA720" s="614"/>
      <c r="AB720" s="614"/>
      <c r="AC720" s="614"/>
    </row>
    <row r="721" spans="1:29" ht="12.75" customHeight="1">
      <c r="A721" s="319"/>
      <c r="B721" s="614"/>
      <c r="C721" s="319"/>
      <c r="D721" s="614"/>
      <c r="E721" s="614"/>
      <c r="F721" s="614"/>
      <c r="G721" s="614"/>
      <c r="H721" s="614"/>
      <c r="I721" s="614"/>
      <c r="J721" s="614"/>
      <c r="K721" s="614"/>
      <c r="L721" s="614"/>
      <c r="M721" s="614"/>
      <c r="N721" s="614"/>
      <c r="O721" s="614"/>
      <c r="P721" s="614"/>
      <c r="Q721" s="614"/>
      <c r="R721" s="614"/>
      <c r="S721" s="614"/>
      <c r="T721" s="614"/>
      <c r="U721" s="614"/>
      <c r="V721" s="614"/>
      <c r="W721" s="614"/>
      <c r="X721" s="614"/>
      <c r="Y721" s="614"/>
      <c r="Z721" s="614"/>
      <c r="AA721" s="614"/>
      <c r="AB721" s="614"/>
      <c r="AC721" s="614"/>
    </row>
    <row r="722" spans="1:29" ht="12.75" customHeight="1">
      <c r="A722" s="319"/>
      <c r="B722" s="614"/>
      <c r="C722" s="319"/>
      <c r="D722" s="614"/>
      <c r="E722" s="614"/>
      <c r="F722" s="614"/>
      <c r="G722" s="614"/>
      <c r="H722" s="614"/>
      <c r="I722" s="614"/>
      <c r="J722" s="614"/>
      <c r="K722" s="614"/>
      <c r="L722" s="614"/>
      <c r="M722" s="614"/>
      <c r="N722" s="614"/>
      <c r="O722" s="614"/>
      <c r="P722" s="614"/>
      <c r="Q722" s="614"/>
      <c r="R722" s="614"/>
      <c r="S722" s="614"/>
      <c r="T722" s="614"/>
      <c r="U722" s="614"/>
      <c r="V722" s="614"/>
      <c r="W722" s="614"/>
      <c r="X722" s="614"/>
      <c r="Y722" s="614"/>
      <c r="Z722" s="614"/>
      <c r="AA722" s="614"/>
      <c r="AB722" s="614"/>
      <c r="AC722" s="614"/>
    </row>
    <row r="723" spans="1:29" ht="12.75" customHeight="1">
      <c r="A723" s="319"/>
      <c r="B723" s="614"/>
      <c r="C723" s="319"/>
      <c r="D723" s="614"/>
      <c r="E723" s="614"/>
      <c r="F723" s="614"/>
      <c r="G723" s="614"/>
      <c r="H723" s="614"/>
      <c r="I723" s="614"/>
      <c r="J723" s="614"/>
      <c r="K723" s="614"/>
      <c r="L723" s="614"/>
      <c r="M723" s="614"/>
      <c r="N723" s="614"/>
      <c r="O723" s="614"/>
      <c r="P723" s="614"/>
      <c r="Q723" s="614"/>
      <c r="R723" s="614"/>
      <c r="S723" s="614"/>
      <c r="T723" s="614"/>
      <c r="U723" s="614"/>
      <c r="V723" s="614"/>
      <c r="W723" s="614"/>
      <c r="X723" s="614"/>
      <c r="Y723" s="614"/>
      <c r="Z723" s="614"/>
      <c r="AA723" s="614"/>
      <c r="AB723" s="614"/>
      <c r="AC723" s="614"/>
    </row>
    <row r="724" spans="1:29" ht="12.75" customHeight="1">
      <c r="A724" s="319"/>
      <c r="B724" s="614"/>
      <c r="C724" s="319"/>
      <c r="D724" s="614"/>
      <c r="E724" s="614"/>
      <c r="F724" s="614"/>
      <c r="G724" s="614"/>
      <c r="H724" s="614"/>
      <c r="I724" s="614"/>
      <c r="J724" s="614"/>
      <c r="K724" s="614"/>
      <c r="L724" s="614"/>
      <c r="M724" s="614"/>
      <c r="N724" s="614"/>
      <c r="O724" s="614"/>
      <c r="P724" s="614"/>
      <c r="Q724" s="614"/>
      <c r="R724" s="614"/>
      <c r="S724" s="614"/>
      <c r="T724" s="614"/>
      <c r="U724" s="614"/>
      <c r="V724" s="614"/>
      <c r="W724" s="614"/>
      <c r="X724" s="614"/>
      <c r="Y724" s="614"/>
      <c r="Z724" s="614"/>
      <c r="AA724" s="614"/>
      <c r="AB724" s="614"/>
      <c r="AC724" s="614"/>
    </row>
    <row r="725" spans="1:29" ht="12.75" customHeight="1">
      <c r="A725" s="319"/>
      <c r="B725" s="614"/>
      <c r="C725" s="319"/>
      <c r="D725" s="614"/>
      <c r="E725" s="614"/>
      <c r="F725" s="614"/>
      <c r="G725" s="614"/>
      <c r="H725" s="614"/>
      <c r="I725" s="614"/>
      <c r="J725" s="614"/>
      <c r="K725" s="614"/>
      <c r="L725" s="614"/>
      <c r="M725" s="614"/>
      <c r="N725" s="614"/>
      <c r="O725" s="614"/>
      <c r="P725" s="614"/>
      <c r="Q725" s="614"/>
      <c r="R725" s="614"/>
      <c r="S725" s="614"/>
      <c r="T725" s="614"/>
      <c r="U725" s="614"/>
      <c r="V725" s="614"/>
      <c r="W725" s="614"/>
      <c r="X725" s="614"/>
      <c r="Y725" s="614"/>
      <c r="Z725" s="614"/>
      <c r="AA725" s="614"/>
      <c r="AB725" s="614"/>
      <c r="AC725" s="614"/>
    </row>
    <row r="726" spans="1:29" ht="12.75" customHeight="1">
      <c r="A726" s="319"/>
      <c r="B726" s="614"/>
      <c r="C726" s="319"/>
      <c r="D726" s="614"/>
      <c r="E726" s="614"/>
      <c r="F726" s="614"/>
      <c r="G726" s="614"/>
      <c r="H726" s="614"/>
      <c r="I726" s="614"/>
      <c r="J726" s="614"/>
      <c r="K726" s="614"/>
      <c r="L726" s="614"/>
      <c r="M726" s="614"/>
      <c r="N726" s="614"/>
      <c r="O726" s="614"/>
      <c r="P726" s="614"/>
      <c r="Q726" s="614"/>
      <c r="R726" s="614"/>
      <c r="S726" s="614"/>
      <c r="T726" s="614"/>
      <c r="U726" s="614"/>
      <c r="V726" s="614"/>
      <c r="W726" s="614"/>
      <c r="X726" s="614"/>
      <c r="Y726" s="614"/>
      <c r="Z726" s="614"/>
      <c r="AA726" s="614"/>
      <c r="AB726" s="614"/>
      <c r="AC726" s="614"/>
    </row>
    <row r="727" spans="1:29" ht="12.75" customHeight="1">
      <c r="A727" s="319"/>
      <c r="B727" s="614"/>
      <c r="C727" s="319"/>
      <c r="D727" s="614"/>
      <c r="E727" s="614"/>
      <c r="F727" s="614"/>
      <c r="G727" s="614"/>
      <c r="H727" s="614"/>
      <c r="I727" s="614"/>
      <c r="J727" s="614"/>
      <c r="K727" s="614"/>
      <c r="L727" s="614"/>
      <c r="M727" s="614"/>
      <c r="N727" s="614"/>
      <c r="O727" s="614"/>
      <c r="P727" s="614"/>
      <c r="Q727" s="614"/>
      <c r="R727" s="614"/>
      <c r="S727" s="614"/>
      <c r="T727" s="614"/>
      <c r="U727" s="614"/>
      <c r="V727" s="614"/>
      <c r="W727" s="614"/>
      <c r="X727" s="614"/>
      <c r="Y727" s="614"/>
      <c r="Z727" s="614"/>
      <c r="AA727" s="614"/>
      <c r="AB727" s="614"/>
      <c r="AC727" s="614"/>
    </row>
    <row r="728" spans="1:29" ht="12.75" customHeight="1">
      <c r="A728" s="319"/>
      <c r="B728" s="614"/>
      <c r="C728" s="319"/>
      <c r="D728" s="614"/>
      <c r="E728" s="614"/>
      <c r="F728" s="614"/>
      <c r="G728" s="614"/>
      <c r="H728" s="614"/>
      <c r="I728" s="614"/>
      <c r="J728" s="614"/>
      <c r="K728" s="614"/>
      <c r="L728" s="614"/>
      <c r="M728" s="614"/>
      <c r="N728" s="614"/>
      <c r="O728" s="614"/>
      <c r="P728" s="614"/>
      <c r="Q728" s="614"/>
      <c r="R728" s="614"/>
      <c r="S728" s="614"/>
      <c r="T728" s="614"/>
      <c r="U728" s="614"/>
      <c r="V728" s="614"/>
      <c r="W728" s="614"/>
      <c r="X728" s="614"/>
      <c r="Y728" s="614"/>
      <c r="Z728" s="614"/>
      <c r="AA728" s="614"/>
      <c r="AB728" s="614"/>
      <c r="AC728" s="614"/>
    </row>
    <row r="729" spans="1:29" ht="12.75" customHeight="1">
      <c r="A729" s="319"/>
      <c r="B729" s="614"/>
      <c r="C729" s="319"/>
      <c r="D729" s="614"/>
      <c r="E729" s="614"/>
      <c r="F729" s="614"/>
      <c r="G729" s="614"/>
      <c r="H729" s="614"/>
      <c r="I729" s="614"/>
      <c r="J729" s="614"/>
      <c r="K729" s="614"/>
      <c r="L729" s="614"/>
      <c r="M729" s="614"/>
      <c r="N729" s="614"/>
      <c r="O729" s="614"/>
      <c r="P729" s="614"/>
      <c r="Q729" s="614"/>
      <c r="R729" s="614"/>
      <c r="S729" s="614"/>
      <c r="T729" s="614"/>
      <c r="U729" s="614"/>
      <c r="V729" s="614"/>
      <c r="W729" s="614"/>
      <c r="X729" s="614"/>
      <c r="Y729" s="614"/>
      <c r="Z729" s="614"/>
      <c r="AA729" s="614"/>
      <c r="AB729" s="614"/>
      <c r="AC729" s="614"/>
    </row>
    <row r="730" spans="1:29" ht="12.75" customHeight="1">
      <c r="A730" s="319"/>
      <c r="B730" s="614"/>
      <c r="C730" s="319"/>
      <c r="D730" s="614"/>
      <c r="E730" s="614"/>
      <c r="F730" s="614"/>
      <c r="G730" s="614"/>
      <c r="H730" s="614"/>
      <c r="I730" s="614"/>
      <c r="J730" s="614"/>
      <c r="K730" s="614"/>
      <c r="L730" s="614"/>
      <c r="M730" s="614"/>
      <c r="N730" s="614"/>
      <c r="O730" s="614"/>
      <c r="P730" s="614"/>
      <c r="Q730" s="614"/>
      <c r="R730" s="614"/>
      <c r="S730" s="614"/>
      <c r="T730" s="614"/>
      <c r="U730" s="614"/>
      <c r="V730" s="614"/>
      <c r="W730" s="614"/>
      <c r="X730" s="614"/>
      <c r="Y730" s="614"/>
      <c r="Z730" s="614"/>
      <c r="AA730" s="614"/>
      <c r="AB730" s="614"/>
      <c r="AC730" s="614"/>
    </row>
    <row r="731" spans="1:29" ht="12.75" customHeight="1">
      <c r="A731" s="319"/>
      <c r="B731" s="614"/>
      <c r="C731" s="319"/>
      <c r="D731" s="614"/>
      <c r="E731" s="614"/>
      <c r="F731" s="614"/>
      <c r="G731" s="614"/>
      <c r="H731" s="614"/>
      <c r="I731" s="614"/>
      <c r="J731" s="614"/>
      <c r="K731" s="614"/>
      <c r="L731" s="614"/>
      <c r="M731" s="614"/>
      <c r="N731" s="614"/>
      <c r="O731" s="614"/>
      <c r="P731" s="614"/>
      <c r="Q731" s="614"/>
      <c r="R731" s="614"/>
      <c r="S731" s="614"/>
      <c r="T731" s="614"/>
      <c r="U731" s="614"/>
      <c r="V731" s="614"/>
      <c r="W731" s="614"/>
      <c r="X731" s="614"/>
      <c r="Y731" s="614"/>
      <c r="Z731" s="614"/>
      <c r="AA731" s="614"/>
      <c r="AB731" s="614"/>
      <c r="AC731" s="614"/>
    </row>
    <row r="732" spans="1:29" ht="12.75" customHeight="1">
      <c r="A732" s="319"/>
      <c r="B732" s="614"/>
      <c r="C732" s="319"/>
      <c r="D732" s="614"/>
      <c r="E732" s="614"/>
      <c r="F732" s="614"/>
      <c r="G732" s="614"/>
      <c r="H732" s="614"/>
      <c r="I732" s="614"/>
      <c r="J732" s="614"/>
      <c r="K732" s="614"/>
      <c r="L732" s="614"/>
      <c r="M732" s="614"/>
      <c r="N732" s="614"/>
      <c r="O732" s="614"/>
      <c r="P732" s="614"/>
      <c r="Q732" s="614"/>
      <c r="R732" s="614"/>
      <c r="S732" s="614"/>
      <c r="T732" s="614"/>
      <c r="U732" s="614"/>
      <c r="V732" s="614"/>
      <c r="W732" s="614"/>
      <c r="X732" s="614"/>
      <c r="Y732" s="614"/>
      <c r="Z732" s="614"/>
      <c r="AA732" s="614"/>
      <c r="AB732" s="614"/>
      <c r="AC732" s="614"/>
    </row>
    <row r="733" spans="1:29" ht="12.75" customHeight="1">
      <c r="A733" s="319"/>
      <c r="B733" s="614"/>
      <c r="C733" s="319"/>
      <c r="D733" s="614"/>
      <c r="E733" s="614"/>
      <c r="F733" s="614"/>
      <c r="G733" s="614"/>
      <c r="H733" s="614"/>
      <c r="I733" s="614"/>
      <c r="J733" s="614"/>
      <c r="K733" s="614"/>
      <c r="L733" s="614"/>
      <c r="M733" s="614"/>
      <c r="N733" s="614"/>
      <c r="O733" s="614"/>
      <c r="P733" s="614"/>
      <c r="Q733" s="614"/>
      <c r="R733" s="614"/>
      <c r="S733" s="614"/>
      <c r="T733" s="614"/>
      <c r="U733" s="614"/>
      <c r="V733" s="614"/>
      <c r="W733" s="614"/>
      <c r="X733" s="614"/>
      <c r="Y733" s="614"/>
      <c r="Z733" s="614"/>
      <c r="AA733" s="614"/>
      <c r="AB733" s="614"/>
      <c r="AC733" s="614"/>
    </row>
    <row r="734" spans="1:29" ht="12.75" customHeight="1">
      <c r="A734" s="319"/>
      <c r="B734" s="614"/>
      <c r="C734" s="319"/>
      <c r="D734" s="614"/>
      <c r="E734" s="614"/>
      <c r="F734" s="614"/>
      <c r="G734" s="614"/>
      <c r="H734" s="614"/>
      <c r="I734" s="614"/>
      <c r="J734" s="614"/>
      <c r="K734" s="614"/>
      <c r="L734" s="614"/>
      <c r="M734" s="614"/>
      <c r="N734" s="614"/>
      <c r="O734" s="614"/>
      <c r="P734" s="614"/>
      <c r="Q734" s="614"/>
      <c r="R734" s="614"/>
      <c r="S734" s="614"/>
      <c r="T734" s="614"/>
      <c r="U734" s="614"/>
      <c r="V734" s="614"/>
      <c r="W734" s="614"/>
      <c r="X734" s="614"/>
      <c r="Y734" s="614"/>
      <c r="Z734" s="614"/>
      <c r="AA734" s="614"/>
      <c r="AB734" s="614"/>
      <c r="AC734" s="614"/>
    </row>
    <row r="735" spans="1:29" ht="12.75" customHeight="1">
      <c r="A735" s="319"/>
      <c r="B735" s="614"/>
      <c r="C735" s="319"/>
      <c r="D735" s="614"/>
      <c r="E735" s="614"/>
      <c r="F735" s="614"/>
      <c r="G735" s="614"/>
      <c r="H735" s="614"/>
      <c r="I735" s="614"/>
      <c r="J735" s="614"/>
      <c r="K735" s="614"/>
      <c r="L735" s="614"/>
      <c r="M735" s="614"/>
      <c r="N735" s="614"/>
      <c r="O735" s="614"/>
      <c r="P735" s="614"/>
      <c r="Q735" s="614"/>
      <c r="R735" s="614"/>
      <c r="S735" s="614"/>
      <c r="T735" s="614"/>
      <c r="U735" s="614"/>
      <c r="V735" s="614"/>
      <c r="W735" s="614"/>
      <c r="X735" s="614"/>
      <c r="Y735" s="614"/>
      <c r="Z735" s="614"/>
      <c r="AA735" s="614"/>
      <c r="AB735" s="614"/>
      <c r="AC735" s="614"/>
    </row>
    <row r="736" spans="1:29" ht="12.75" customHeight="1">
      <c r="A736" s="319"/>
      <c r="B736" s="614"/>
      <c r="C736" s="319"/>
      <c r="D736" s="614"/>
      <c r="E736" s="614"/>
      <c r="F736" s="614"/>
      <c r="G736" s="614"/>
      <c r="H736" s="614"/>
      <c r="I736" s="614"/>
      <c r="J736" s="614"/>
      <c r="K736" s="614"/>
      <c r="L736" s="614"/>
      <c r="M736" s="614"/>
      <c r="N736" s="614"/>
      <c r="O736" s="614"/>
      <c r="P736" s="614"/>
      <c r="Q736" s="614"/>
      <c r="R736" s="614"/>
      <c r="S736" s="614"/>
      <c r="T736" s="614"/>
      <c r="U736" s="614"/>
      <c r="V736" s="614"/>
      <c r="W736" s="614"/>
      <c r="X736" s="614"/>
      <c r="Y736" s="614"/>
      <c r="Z736" s="614"/>
      <c r="AA736" s="614"/>
      <c r="AB736" s="614"/>
      <c r="AC736" s="614"/>
    </row>
    <row r="737" spans="1:29" ht="12.75" customHeight="1">
      <c r="A737" s="319"/>
      <c r="B737" s="614"/>
      <c r="C737" s="319"/>
      <c r="D737" s="614"/>
      <c r="E737" s="614"/>
      <c r="F737" s="614"/>
      <c r="G737" s="614"/>
      <c r="H737" s="614"/>
      <c r="I737" s="614"/>
      <c r="J737" s="614"/>
      <c r="K737" s="614"/>
      <c r="L737" s="614"/>
      <c r="M737" s="614"/>
      <c r="N737" s="614"/>
      <c r="O737" s="614"/>
      <c r="P737" s="614"/>
      <c r="Q737" s="614"/>
      <c r="R737" s="614"/>
      <c r="S737" s="614"/>
      <c r="T737" s="614"/>
      <c r="U737" s="614"/>
      <c r="V737" s="614"/>
      <c r="W737" s="614"/>
      <c r="X737" s="614"/>
      <c r="Y737" s="614"/>
      <c r="Z737" s="614"/>
      <c r="AA737" s="614"/>
      <c r="AB737" s="614"/>
      <c r="AC737" s="614"/>
    </row>
    <row r="738" spans="1:29" ht="12.75" customHeight="1">
      <c r="A738" s="319"/>
      <c r="B738" s="614"/>
      <c r="C738" s="319"/>
      <c r="D738" s="614"/>
      <c r="E738" s="614"/>
      <c r="F738" s="614"/>
      <c r="G738" s="614"/>
      <c r="H738" s="614"/>
      <c r="I738" s="614"/>
      <c r="J738" s="614"/>
      <c r="K738" s="614"/>
      <c r="L738" s="614"/>
      <c r="M738" s="614"/>
      <c r="N738" s="614"/>
      <c r="O738" s="614"/>
      <c r="P738" s="614"/>
      <c r="Q738" s="614"/>
      <c r="R738" s="614"/>
      <c r="S738" s="614"/>
      <c r="T738" s="614"/>
      <c r="U738" s="614"/>
      <c r="V738" s="614"/>
      <c r="W738" s="614"/>
      <c r="X738" s="614"/>
      <c r="Y738" s="614"/>
      <c r="Z738" s="614"/>
      <c r="AA738" s="614"/>
      <c r="AB738" s="614"/>
      <c r="AC738" s="614"/>
    </row>
    <row r="739" spans="1:29" ht="12.75" customHeight="1">
      <c r="A739" s="319"/>
      <c r="B739" s="614"/>
      <c r="C739" s="319"/>
      <c r="D739" s="614"/>
      <c r="E739" s="614"/>
      <c r="F739" s="614"/>
      <c r="G739" s="614"/>
      <c r="H739" s="614"/>
      <c r="I739" s="614"/>
      <c r="J739" s="614"/>
      <c r="K739" s="614"/>
      <c r="L739" s="614"/>
      <c r="M739" s="614"/>
      <c r="N739" s="614"/>
      <c r="O739" s="614"/>
      <c r="P739" s="614"/>
      <c r="Q739" s="614"/>
      <c r="R739" s="614"/>
      <c r="S739" s="614"/>
      <c r="T739" s="614"/>
      <c r="U739" s="614"/>
      <c r="V739" s="614"/>
      <c r="W739" s="614"/>
      <c r="X739" s="614"/>
      <c r="Y739" s="614"/>
      <c r="Z739" s="614"/>
      <c r="AA739" s="614"/>
      <c r="AB739" s="614"/>
      <c r="AC739" s="614"/>
    </row>
    <row r="740" spans="1:29" ht="12.75" customHeight="1">
      <c r="A740" s="319"/>
      <c r="B740" s="614"/>
      <c r="C740" s="319"/>
      <c r="D740" s="614"/>
      <c r="E740" s="614"/>
      <c r="F740" s="614"/>
      <c r="G740" s="614"/>
      <c r="H740" s="614"/>
      <c r="I740" s="614"/>
      <c r="J740" s="614"/>
      <c r="K740" s="614"/>
      <c r="L740" s="614"/>
      <c r="M740" s="614"/>
      <c r="N740" s="614"/>
      <c r="O740" s="614"/>
      <c r="P740" s="614"/>
      <c r="Q740" s="614"/>
      <c r="R740" s="614"/>
      <c r="S740" s="614"/>
      <c r="T740" s="614"/>
      <c r="U740" s="614"/>
      <c r="V740" s="614"/>
      <c r="W740" s="614"/>
      <c r="X740" s="614"/>
      <c r="Y740" s="614"/>
      <c r="Z740" s="614"/>
      <c r="AA740" s="614"/>
      <c r="AB740" s="614"/>
      <c r="AC740" s="614"/>
    </row>
    <row r="741" spans="1:29" ht="12.75" customHeight="1">
      <c r="A741" s="319"/>
      <c r="B741" s="614"/>
      <c r="C741" s="319"/>
      <c r="D741" s="614"/>
      <c r="E741" s="614"/>
      <c r="F741" s="614"/>
      <c r="G741" s="614"/>
      <c r="H741" s="614"/>
      <c r="I741" s="614"/>
      <c r="J741" s="614"/>
      <c r="K741" s="614"/>
      <c r="L741" s="614"/>
      <c r="M741" s="614"/>
      <c r="N741" s="614"/>
      <c r="O741" s="614"/>
      <c r="P741" s="614"/>
      <c r="Q741" s="614"/>
      <c r="R741" s="614"/>
      <c r="S741" s="614"/>
      <c r="T741" s="614"/>
      <c r="U741" s="614"/>
      <c r="V741" s="614"/>
      <c r="W741" s="614"/>
      <c r="X741" s="614"/>
      <c r="Y741" s="614"/>
      <c r="Z741" s="614"/>
      <c r="AA741" s="614"/>
      <c r="AB741" s="614"/>
      <c r="AC741" s="614"/>
    </row>
    <row r="742" spans="1:29" ht="12.75" customHeight="1">
      <c r="A742" s="319"/>
      <c r="B742" s="614"/>
      <c r="C742" s="319"/>
      <c r="D742" s="614"/>
      <c r="E742" s="614"/>
      <c r="F742" s="614"/>
      <c r="G742" s="614"/>
      <c r="H742" s="614"/>
      <c r="I742" s="614"/>
      <c r="J742" s="614"/>
      <c r="K742" s="614"/>
      <c r="L742" s="614"/>
      <c r="M742" s="614"/>
      <c r="N742" s="614"/>
      <c r="O742" s="614"/>
      <c r="P742" s="614"/>
      <c r="Q742" s="614"/>
      <c r="R742" s="614"/>
      <c r="S742" s="614"/>
      <c r="T742" s="614"/>
      <c r="U742" s="614"/>
      <c r="V742" s="614"/>
      <c r="W742" s="614"/>
      <c r="X742" s="614"/>
      <c r="Y742" s="614"/>
      <c r="Z742" s="614"/>
      <c r="AA742" s="614"/>
      <c r="AB742" s="614"/>
      <c r="AC742" s="614"/>
    </row>
    <row r="743" spans="1:29" ht="12.75" customHeight="1">
      <c r="A743" s="319"/>
      <c r="B743" s="614"/>
      <c r="C743" s="319"/>
      <c r="D743" s="614"/>
      <c r="E743" s="614"/>
      <c r="F743" s="614"/>
      <c r="G743" s="614"/>
      <c r="H743" s="614"/>
      <c r="I743" s="614"/>
      <c r="J743" s="614"/>
      <c r="K743" s="614"/>
      <c r="L743" s="614"/>
      <c r="M743" s="614"/>
      <c r="N743" s="614"/>
      <c r="O743" s="614"/>
      <c r="P743" s="614"/>
      <c r="Q743" s="614"/>
      <c r="R743" s="614"/>
      <c r="S743" s="614"/>
      <c r="T743" s="614"/>
      <c r="U743" s="614"/>
      <c r="V743" s="614"/>
      <c r="W743" s="614"/>
      <c r="X743" s="614"/>
      <c r="Y743" s="614"/>
      <c r="Z743" s="614"/>
      <c r="AA743" s="614"/>
      <c r="AB743" s="614"/>
      <c r="AC743" s="614"/>
    </row>
    <row r="744" spans="1:29" ht="12.75" customHeight="1">
      <c r="A744" s="319"/>
      <c r="B744" s="614"/>
      <c r="C744" s="319"/>
      <c r="D744" s="614"/>
      <c r="E744" s="614"/>
      <c r="F744" s="614"/>
      <c r="G744" s="614"/>
      <c r="H744" s="614"/>
      <c r="I744" s="614"/>
      <c r="J744" s="614"/>
      <c r="K744" s="614"/>
      <c r="L744" s="614"/>
      <c r="M744" s="614"/>
      <c r="N744" s="614"/>
      <c r="O744" s="614"/>
      <c r="P744" s="614"/>
      <c r="Q744" s="614"/>
      <c r="R744" s="614"/>
      <c r="S744" s="614"/>
      <c r="T744" s="614"/>
      <c r="U744" s="614"/>
      <c r="V744" s="614"/>
      <c r="W744" s="614"/>
      <c r="X744" s="614"/>
      <c r="Y744" s="614"/>
      <c r="Z744" s="614"/>
      <c r="AA744" s="614"/>
      <c r="AB744" s="614"/>
      <c r="AC744" s="614"/>
    </row>
    <row r="745" spans="1:29" ht="12.75" customHeight="1">
      <c r="A745" s="319"/>
      <c r="B745" s="614"/>
      <c r="C745" s="319"/>
      <c r="D745" s="614"/>
      <c r="E745" s="614"/>
      <c r="F745" s="614"/>
      <c r="G745" s="614"/>
      <c r="H745" s="614"/>
      <c r="I745" s="614"/>
      <c r="J745" s="614"/>
      <c r="K745" s="614"/>
      <c r="L745" s="614"/>
      <c r="M745" s="614"/>
      <c r="N745" s="614"/>
      <c r="O745" s="614"/>
      <c r="P745" s="614"/>
      <c r="Q745" s="614"/>
      <c r="R745" s="614"/>
      <c r="S745" s="614"/>
      <c r="T745" s="614"/>
      <c r="U745" s="614"/>
      <c r="V745" s="614"/>
      <c r="W745" s="614"/>
      <c r="X745" s="614"/>
      <c r="Y745" s="614"/>
      <c r="Z745" s="614"/>
      <c r="AA745" s="614"/>
      <c r="AB745" s="614"/>
      <c r="AC745" s="614"/>
    </row>
    <row r="746" spans="1:29" ht="12.75" customHeight="1">
      <c r="A746" s="319"/>
      <c r="B746" s="614"/>
      <c r="C746" s="319"/>
      <c r="D746" s="614"/>
      <c r="E746" s="614"/>
      <c r="F746" s="614"/>
      <c r="G746" s="614"/>
      <c r="H746" s="614"/>
      <c r="I746" s="614"/>
      <c r="J746" s="614"/>
      <c r="K746" s="614"/>
      <c r="L746" s="614"/>
      <c r="M746" s="614"/>
      <c r="N746" s="614"/>
      <c r="O746" s="614"/>
      <c r="P746" s="614"/>
      <c r="Q746" s="614"/>
      <c r="R746" s="614"/>
      <c r="S746" s="614"/>
      <c r="T746" s="614"/>
      <c r="U746" s="614"/>
      <c r="V746" s="614"/>
      <c r="W746" s="614"/>
      <c r="X746" s="614"/>
      <c r="Y746" s="614"/>
      <c r="Z746" s="614"/>
      <c r="AA746" s="614"/>
      <c r="AB746" s="614"/>
      <c r="AC746" s="614"/>
    </row>
    <row r="747" spans="1:29" ht="12.75" customHeight="1">
      <c r="A747" s="319"/>
      <c r="B747" s="614"/>
      <c r="C747" s="319"/>
      <c r="D747" s="614"/>
      <c r="E747" s="614"/>
      <c r="F747" s="614"/>
      <c r="G747" s="614"/>
      <c r="H747" s="614"/>
      <c r="I747" s="614"/>
      <c r="J747" s="614"/>
      <c r="K747" s="614"/>
      <c r="L747" s="614"/>
      <c r="M747" s="614"/>
      <c r="N747" s="614"/>
      <c r="O747" s="614"/>
      <c r="P747" s="614"/>
      <c r="Q747" s="614"/>
      <c r="R747" s="614"/>
      <c r="S747" s="614"/>
      <c r="T747" s="614"/>
      <c r="U747" s="614"/>
      <c r="V747" s="614"/>
      <c r="W747" s="614"/>
      <c r="X747" s="614"/>
      <c r="Y747" s="614"/>
      <c r="Z747" s="614"/>
      <c r="AA747" s="614"/>
      <c r="AB747" s="614"/>
      <c r="AC747" s="614"/>
    </row>
    <row r="748" spans="1:29" ht="12.75" customHeight="1">
      <c r="A748" s="319"/>
      <c r="B748" s="614"/>
      <c r="C748" s="319"/>
      <c r="D748" s="614"/>
      <c r="E748" s="614"/>
      <c r="F748" s="614"/>
      <c r="G748" s="614"/>
      <c r="H748" s="614"/>
      <c r="I748" s="614"/>
      <c r="J748" s="614"/>
      <c r="K748" s="614"/>
      <c r="L748" s="614"/>
      <c r="M748" s="614"/>
      <c r="N748" s="614"/>
      <c r="O748" s="614"/>
      <c r="P748" s="614"/>
      <c r="Q748" s="614"/>
      <c r="R748" s="614"/>
      <c r="S748" s="614"/>
      <c r="T748" s="614"/>
      <c r="U748" s="614"/>
      <c r="V748" s="614"/>
      <c r="W748" s="614"/>
      <c r="X748" s="614"/>
      <c r="Y748" s="614"/>
      <c r="Z748" s="614"/>
      <c r="AA748" s="614"/>
      <c r="AB748" s="614"/>
      <c r="AC748" s="614"/>
    </row>
    <row r="749" spans="1:29" ht="12.75" customHeight="1">
      <c r="A749" s="319"/>
      <c r="B749" s="614"/>
      <c r="C749" s="319"/>
      <c r="D749" s="614"/>
      <c r="E749" s="614"/>
      <c r="F749" s="614"/>
      <c r="G749" s="614"/>
      <c r="H749" s="614"/>
      <c r="I749" s="614"/>
      <c r="J749" s="614"/>
      <c r="K749" s="614"/>
      <c r="L749" s="614"/>
      <c r="M749" s="614"/>
      <c r="N749" s="614"/>
      <c r="O749" s="614"/>
      <c r="P749" s="614"/>
      <c r="Q749" s="614"/>
      <c r="R749" s="614"/>
      <c r="S749" s="614"/>
      <c r="T749" s="614"/>
      <c r="U749" s="614"/>
      <c r="V749" s="614"/>
      <c r="W749" s="614"/>
      <c r="X749" s="614"/>
      <c r="Y749" s="614"/>
      <c r="Z749" s="614"/>
      <c r="AA749" s="614"/>
      <c r="AB749" s="614"/>
      <c r="AC749" s="614"/>
    </row>
    <row r="750" spans="1:29" ht="12.75" customHeight="1">
      <c r="A750" s="319"/>
      <c r="B750" s="614"/>
      <c r="C750" s="319"/>
      <c r="D750" s="614"/>
      <c r="E750" s="614"/>
      <c r="F750" s="614"/>
      <c r="G750" s="614"/>
      <c r="H750" s="614"/>
      <c r="I750" s="614"/>
      <c r="J750" s="614"/>
      <c r="K750" s="614"/>
      <c r="L750" s="614"/>
      <c r="M750" s="614"/>
      <c r="N750" s="614"/>
      <c r="O750" s="614"/>
      <c r="P750" s="614"/>
      <c r="Q750" s="614"/>
      <c r="R750" s="614"/>
      <c r="S750" s="614"/>
      <c r="T750" s="614"/>
      <c r="U750" s="614"/>
      <c r="V750" s="614"/>
      <c r="W750" s="614"/>
      <c r="X750" s="614"/>
      <c r="Y750" s="614"/>
      <c r="Z750" s="614"/>
      <c r="AA750" s="614"/>
      <c r="AB750" s="614"/>
      <c r="AC750" s="614"/>
    </row>
    <row r="751" spans="1:29" ht="12.75" customHeight="1">
      <c r="A751" s="319"/>
      <c r="B751" s="614"/>
      <c r="C751" s="319"/>
      <c r="D751" s="614"/>
      <c r="E751" s="614"/>
      <c r="F751" s="614"/>
      <c r="G751" s="614"/>
      <c r="H751" s="614"/>
      <c r="I751" s="614"/>
      <c r="J751" s="614"/>
      <c r="K751" s="614"/>
      <c r="L751" s="614"/>
      <c r="M751" s="614"/>
      <c r="N751" s="614"/>
      <c r="O751" s="614"/>
      <c r="P751" s="614"/>
      <c r="Q751" s="614"/>
      <c r="R751" s="614"/>
      <c r="S751" s="614"/>
      <c r="T751" s="614"/>
      <c r="U751" s="614"/>
      <c r="V751" s="614"/>
      <c r="W751" s="614"/>
      <c r="X751" s="614"/>
      <c r="Y751" s="614"/>
      <c r="Z751" s="614"/>
      <c r="AA751" s="614"/>
      <c r="AB751" s="614"/>
      <c r="AC751" s="614"/>
    </row>
    <row r="752" spans="1:29" ht="12.75" customHeight="1">
      <c r="A752" s="319"/>
      <c r="B752" s="614"/>
      <c r="C752" s="319"/>
      <c r="D752" s="614"/>
      <c r="E752" s="614"/>
      <c r="F752" s="614"/>
      <c r="G752" s="614"/>
      <c r="H752" s="614"/>
      <c r="I752" s="614"/>
      <c r="J752" s="614"/>
      <c r="K752" s="614"/>
      <c r="L752" s="614"/>
      <c r="M752" s="614"/>
      <c r="N752" s="614"/>
      <c r="O752" s="614"/>
      <c r="P752" s="614"/>
      <c r="Q752" s="614"/>
      <c r="R752" s="614"/>
      <c r="S752" s="614"/>
      <c r="T752" s="614"/>
      <c r="U752" s="614"/>
      <c r="V752" s="614"/>
      <c r="W752" s="614"/>
      <c r="X752" s="614"/>
      <c r="Y752" s="614"/>
      <c r="Z752" s="614"/>
      <c r="AA752" s="614"/>
      <c r="AB752" s="614"/>
      <c r="AC752" s="614"/>
    </row>
    <row r="753" spans="1:29" ht="12.75" customHeight="1">
      <c r="A753" s="319"/>
      <c r="B753" s="614"/>
      <c r="C753" s="319"/>
      <c r="D753" s="614"/>
      <c r="E753" s="614"/>
      <c r="F753" s="614"/>
      <c r="G753" s="614"/>
      <c r="H753" s="614"/>
      <c r="I753" s="614"/>
      <c r="J753" s="614"/>
      <c r="K753" s="614"/>
      <c r="L753" s="614"/>
      <c r="M753" s="614"/>
      <c r="N753" s="614"/>
      <c r="O753" s="614"/>
      <c r="P753" s="614"/>
      <c r="Q753" s="614"/>
      <c r="R753" s="614"/>
      <c r="S753" s="614"/>
      <c r="T753" s="614"/>
      <c r="U753" s="614"/>
      <c r="V753" s="614"/>
      <c r="W753" s="614"/>
      <c r="X753" s="614"/>
      <c r="Y753" s="614"/>
      <c r="Z753" s="614"/>
      <c r="AA753" s="614"/>
      <c r="AB753" s="614"/>
      <c r="AC753" s="614"/>
    </row>
    <row r="754" spans="1:29" ht="12.75" customHeight="1">
      <c r="A754" s="319"/>
      <c r="B754" s="614"/>
      <c r="C754" s="319"/>
      <c r="D754" s="614"/>
      <c r="E754" s="614"/>
      <c r="F754" s="614"/>
      <c r="G754" s="614"/>
      <c r="H754" s="614"/>
      <c r="I754" s="614"/>
      <c r="J754" s="614"/>
      <c r="K754" s="614"/>
      <c r="L754" s="614"/>
      <c r="M754" s="614"/>
      <c r="N754" s="614"/>
      <c r="O754" s="614"/>
      <c r="P754" s="614"/>
      <c r="Q754" s="614"/>
      <c r="R754" s="614"/>
      <c r="S754" s="614"/>
      <c r="T754" s="614"/>
      <c r="U754" s="614"/>
      <c r="V754" s="614"/>
      <c r="W754" s="614"/>
      <c r="X754" s="614"/>
      <c r="Y754" s="614"/>
      <c r="Z754" s="614"/>
      <c r="AA754" s="614"/>
      <c r="AB754" s="614"/>
      <c r="AC754" s="614"/>
    </row>
    <row r="755" spans="1:29" ht="12.75" customHeight="1">
      <c r="A755" s="319"/>
      <c r="B755" s="614"/>
      <c r="C755" s="319"/>
      <c r="D755" s="614"/>
      <c r="E755" s="614"/>
      <c r="F755" s="614"/>
      <c r="G755" s="614"/>
      <c r="H755" s="614"/>
      <c r="I755" s="614"/>
      <c r="J755" s="614"/>
      <c r="K755" s="614"/>
      <c r="L755" s="614"/>
      <c r="M755" s="614"/>
      <c r="N755" s="614"/>
      <c r="O755" s="614"/>
      <c r="P755" s="614"/>
      <c r="Q755" s="614"/>
      <c r="R755" s="614"/>
      <c r="S755" s="614"/>
      <c r="T755" s="614"/>
      <c r="U755" s="614"/>
      <c r="V755" s="614"/>
      <c r="W755" s="614"/>
      <c r="X755" s="614"/>
      <c r="Y755" s="614"/>
      <c r="Z755" s="614"/>
      <c r="AA755" s="614"/>
      <c r="AB755" s="614"/>
      <c r="AC755" s="614"/>
    </row>
    <row r="756" spans="1:29" ht="12.75" customHeight="1">
      <c r="A756" s="319"/>
      <c r="B756" s="614"/>
      <c r="C756" s="319"/>
      <c r="D756" s="614"/>
      <c r="E756" s="614"/>
      <c r="F756" s="614"/>
      <c r="G756" s="614"/>
      <c r="H756" s="614"/>
      <c r="I756" s="614"/>
      <c r="J756" s="614"/>
      <c r="K756" s="614"/>
      <c r="L756" s="614"/>
      <c r="M756" s="614"/>
      <c r="N756" s="614"/>
      <c r="O756" s="614"/>
      <c r="P756" s="614"/>
      <c r="Q756" s="614"/>
      <c r="R756" s="614"/>
      <c r="S756" s="614"/>
      <c r="T756" s="614"/>
      <c r="U756" s="614"/>
      <c r="V756" s="614"/>
      <c r="W756" s="614"/>
      <c r="X756" s="614"/>
      <c r="Y756" s="614"/>
      <c r="Z756" s="614"/>
      <c r="AA756" s="614"/>
      <c r="AB756" s="614"/>
      <c r="AC756" s="614"/>
    </row>
    <row r="757" spans="1:29" ht="12.75" customHeight="1">
      <c r="A757" s="319"/>
      <c r="B757" s="614"/>
      <c r="C757" s="319"/>
      <c r="D757" s="614"/>
      <c r="E757" s="614"/>
      <c r="F757" s="614"/>
      <c r="G757" s="614"/>
      <c r="H757" s="614"/>
      <c r="I757" s="614"/>
      <c r="J757" s="614"/>
      <c r="K757" s="614"/>
      <c r="L757" s="614"/>
      <c r="M757" s="614"/>
      <c r="N757" s="614"/>
      <c r="O757" s="614"/>
      <c r="P757" s="614"/>
      <c r="Q757" s="614"/>
      <c r="R757" s="614"/>
      <c r="S757" s="614"/>
      <c r="T757" s="614"/>
      <c r="U757" s="614"/>
      <c r="V757" s="614"/>
      <c r="W757" s="614"/>
      <c r="X757" s="614"/>
      <c r="Y757" s="614"/>
      <c r="Z757" s="614"/>
      <c r="AA757" s="614"/>
      <c r="AB757" s="614"/>
      <c r="AC757" s="614"/>
    </row>
    <row r="758" spans="1:29" ht="12.75" customHeight="1">
      <c r="A758" s="319"/>
      <c r="B758" s="614"/>
      <c r="C758" s="319"/>
      <c r="D758" s="614"/>
      <c r="E758" s="614"/>
      <c r="F758" s="614"/>
      <c r="G758" s="614"/>
      <c r="H758" s="614"/>
      <c r="I758" s="614"/>
      <c r="J758" s="614"/>
      <c r="K758" s="614"/>
      <c r="L758" s="614"/>
      <c r="M758" s="614"/>
      <c r="N758" s="614"/>
      <c r="O758" s="614"/>
      <c r="P758" s="614"/>
      <c r="Q758" s="614"/>
      <c r="R758" s="614"/>
      <c r="S758" s="614"/>
      <c r="T758" s="614"/>
      <c r="U758" s="614"/>
      <c r="V758" s="614"/>
      <c r="W758" s="614"/>
      <c r="X758" s="614"/>
      <c r="Y758" s="614"/>
      <c r="Z758" s="614"/>
      <c r="AA758" s="614"/>
      <c r="AB758" s="614"/>
      <c r="AC758" s="614"/>
    </row>
    <row r="759" spans="1:29" ht="12.75" customHeight="1">
      <c r="A759" s="319"/>
      <c r="B759" s="614"/>
      <c r="C759" s="319"/>
      <c r="D759" s="614"/>
      <c r="E759" s="614"/>
      <c r="F759" s="614"/>
      <c r="G759" s="614"/>
      <c r="H759" s="614"/>
      <c r="I759" s="614"/>
      <c r="J759" s="614"/>
      <c r="K759" s="614"/>
      <c r="L759" s="614"/>
      <c r="M759" s="614"/>
      <c r="N759" s="614"/>
      <c r="O759" s="614"/>
      <c r="P759" s="614"/>
      <c r="Q759" s="614"/>
      <c r="R759" s="614"/>
      <c r="S759" s="614"/>
      <c r="T759" s="614"/>
      <c r="U759" s="614"/>
      <c r="V759" s="614"/>
      <c r="W759" s="614"/>
      <c r="X759" s="614"/>
      <c r="Y759" s="614"/>
      <c r="Z759" s="614"/>
      <c r="AA759" s="614"/>
      <c r="AB759" s="614"/>
      <c r="AC759" s="614"/>
    </row>
    <row r="760" spans="1:29" ht="12.75" customHeight="1">
      <c r="A760" s="319"/>
      <c r="B760" s="614"/>
      <c r="C760" s="319"/>
      <c r="D760" s="614"/>
      <c r="E760" s="614"/>
      <c r="F760" s="614"/>
      <c r="G760" s="614"/>
      <c r="H760" s="614"/>
      <c r="I760" s="614"/>
      <c r="J760" s="614"/>
      <c r="K760" s="614"/>
      <c r="L760" s="614"/>
      <c r="M760" s="614"/>
      <c r="N760" s="614"/>
      <c r="O760" s="614"/>
      <c r="P760" s="614"/>
      <c r="Q760" s="614"/>
      <c r="R760" s="614"/>
      <c r="S760" s="614"/>
      <c r="T760" s="614"/>
      <c r="U760" s="614"/>
      <c r="V760" s="614"/>
      <c r="W760" s="614"/>
      <c r="X760" s="614"/>
      <c r="Y760" s="614"/>
      <c r="Z760" s="614"/>
      <c r="AA760" s="614"/>
      <c r="AB760" s="614"/>
      <c r="AC760" s="614"/>
    </row>
    <row r="761" spans="1:29" ht="12.75" customHeight="1">
      <c r="A761" s="319"/>
      <c r="B761" s="614"/>
      <c r="C761" s="319"/>
      <c r="D761" s="614"/>
      <c r="E761" s="614"/>
      <c r="F761" s="614"/>
      <c r="G761" s="614"/>
      <c r="H761" s="614"/>
      <c r="I761" s="614"/>
      <c r="J761" s="614"/>
      <c r="K761" s="614"/>
      <c r="L761" s="614"/>
      <c r="M761" s="614"/>
      <c r="N761" s="614"/>
      <c r="O761" s="614"/>
      <c r="P761" s="614"/>
      <c r="Q761" s="614"/>
      <c r="R761" s="614"/>
      <c r="S761" s="614"/>
      <c r="T761" s="614"/>
      <c r="U761" s="614"/>
      <c r="V761" s="614"/>
      <c r="W761" s="614"/>
      <c r="X761" s="614"/>
      <c r="Y761" s="614"/>
      <c r="Z761" s="614"/>
      <c r="AA761" s="614"/>
      <c r="AB761" s="614"/>
      <c r="AC761" s="614"/>
    </row>
    <row r="762" spans="1:29" ht="12.75" customHeight="1">
      <c r="A762" s="319"/>
      <c r="B762" s="614"/>
      <c r="C762" s="319"/>
      <c r="D762" s="614"/>
      <c r="E762" s="614"/>
      <c r="F762" s="614"/>
      <c r="G762" s="614"/>
      <c r="H762" s="614"/>
      <c r="I762" s="614"/>
      <c r="J762" s="614"/>
      <c r="K762" s="614"/>
      <c r="L762" s="614"/>
      <c r="M762" s="614"/>
      <c r="N762" s="614"/>
      <c r="O762" s="614"/>
      <c r="P762" s="614"/>
      <c r="Q762" s="614"/>
      <c r="R762" s="614"/>
      <c r="S762" s="614"/>
      <c r="T762" s="614"/>
      <c r="U762" s="614"/>
      <c r="V762" s="614"/>
      <c r="W762" s="614"/>
      <c r="X762" s="614"/>
      <c r="Y762" s="614"/>
      <c r="Z762" s="614"/>
      <c r="AA762" s="614"/>
      <c r="AB762" s="614"/>
      <c r="AC762" s="614"/>
    </row>
    <row r="763" spans="1:29" ht="12.75" customHeight="1">
      <c r="A763" s="319"/>
      <c r="B763" s="614"/>
      <c r="C763" s="319"/>
      <c r="D763" s="614"/>
      <c r="E763" s="614"/>
      <c r="F763" s="614"/>
      <c r="G763" s="614"/>
      <c r="H763" s="614"/>
      <c r="I763" s="614"/>
      <c r="J763" s="614"/>
      <c r="K763" s="614"/>
      <c r="L763" s="614"/>
      <c r="M763" s="614"/>
      <c r="N763" s="614"/>
      <c r="O763" s="614"/>
      <c r="P763" s="614"/>
      <c r="Q763" s="614"/>
      <c r="R763" s="614"/>
      <c r="S763" s="614"/>
      <c r="T763" s="614"/>
      <c r="U763" s="614"/>
      <c r="V763" s="614"/>
      <c r="W763" s="614"/>
      <c r="X763" s="614"/>
      <c r="Y763" s="614"/>
      <c r="Z763" s="614"/>
      <c r="AA763" s="614"/>
      <c r="AB763" s="614"/>
      <c r="AC763" s="614"/>
    </row>
    <row r="764" spans="1:29" ht="12.75" customHeight="1">
      <c r="A764" s="319"/>
      <c r="B764" s="614"/>
      <c r="C764" s="319"/>
      <c r="D764" s="614"/>
      <c r="E764" s="614"/>
      <c r="F764" s="614"/>
      <c r="G764" s="614"/>
      <c r="H764" s="614"/>
      <c r="I764" s="614"/>
      <c r="J764" s="614"/>
      <c r="K764" s="614"/>
      <c r="L764" s="614"/>
      <c r="M764" s="614"/>
      <c r="N764" s="614"/>
      <c r="O764" s="614"/>
      <c r="P764" s="614"/>
      <c r="Q764" s="614"/>
      <c r="R764" s="614"/>
      <c r="S764" s="614"/>
      <c r="T764" s="614"/>
      <c r="U764" s="614"/>
      <c r="V764" s="614"/>
      <c r="W764" s="614"/>
      <c r="X764" s="614"/>
      <c r="Y764" s="614"/>
      <c r="Z764" s="614"/>
      <c r="AA764" s="614"/>
      <c r="AB764" s="614"/>
      <c r="AC764" s="614"/>
    </row>
    <row r="765" spans="1:29" ht="12.75" customHeight="1">
      <c r="A765" s="319"/>
      <c r="B765" s="614"/>
      <c r="C765" s="319"/>
      <c r="D765" s="614"/>
      <c r="E765" s="614"/>
      <c r="F765" s="614"/>
      <c r="G765" s="614"/>
      <c r="H765" s="614"/>
      <c r="I765" s="614"/>
      <c r="J765" s="614"/>
      <c r="K765" s="614"/>
      <c r="L765" s="614"/>
      <c r="M765" s="614"/>
      <c r="N765" s="614"/>
      <c r="O765" s="614"/>
      <c r="P765" s="614"/>
      <c r="Q765" s="614"/>
      <c r="R765" s="614"/>
      <c r="S765" s="614"/>
      <c r="T765" s="614"/>
      <c r="U765" s="614"/>
      <c r="V765" s="614"/>
      <c r="W765" s="614"/>
      <c r="X765" s="614"/>
      <c r="Y765" s="614"/>
      <c r="Z765" s="614"/>
      <c r="AA765" s="614"/>
      <c r="AB765" s="614"/>
      <c r="AC765" s="614"/>
    </row>
    <row r="766" spans="1:29" ht="12.75" customHeight="1">
      <c r="A766" s="319"/>
      <c r="B766" s="614"/>
      <c r="C766" s="319"/>
      <c r="D766" s="614"/>
      <c r="E766" s="614"/>
      <c r="F766" s="614"/>
      <c r="G766" s="614"/>
      <c r="H766" s="614"/>
      <c r="I766" s="614"/>
      <c r="J766" s="614"/>
      <c r="K766" s="614"/>
      <c r="L766" s="614"/>
      <c r="M766" s="614"/>
      <c r="N766" s="614"/>
      <c r="O766" s="614"/>
      <c r="P766" s="614"/>
      <c r="Q766" s="614"/>
      <c r="R766" s="614"/>
      <c r="S766" s="614"/>
      <c r="T766" s="614"/>
      <c r="U766" s="614"/>
      <c r="V766" s="614"/>
      <c r="W766" s="614"/>
      <c r="X766" s="614"/>
      <c r="Y766" s="614"/>
      <c r="Z766" s="614"/>
      <c r="AA766" s="614"/>
      <c r="AB766" s="614"/>
      <c r="AC766" s="614"/>
    </row>
    <row r="767" spans="1:29" ht="12.75" customHeight="1">
      <c r="A767" s="319"/>
      <c r="B767" s="614"/>
      <c r="C767" s="319"/>
      <c r="D767" s="614"/>
      <c r="E767" s="614"/>
      <c r="F767" s="614"/>
      <c r="G767" s="614"/>
      <c r="H767" s="614"/>
      <c r="I767" s="614"/>
      <c r="J767" s="614"/>
      <c r="K767" s="614"/>
      <c r="L767" s="614"/>
      <c r="M767" s="614"/>
      <c r="N767" s="614"/>
      <c r="O767" s="614"/>
      <c r="P767" s="614"/>
      <c r="Q767" s="614"/>
      <c r="R767" s="614"/>
      <c r="S767" s="614"/>
      <c r="T767" s="614"/>
      <c r="U767" s="614"/>
      <c r="V767" s="614"/>
      <c r="W767" s="614"/>
      <c r="X767" s="614"/>
      <c r="Y767" s="614"/>
      <c r="Z767" s="614"/>
      <c r="AA767" s="614"/>
      <c r="AB767" s="614"/>
      <c r="AC767" s="614"/>
    </row>
    <row r="768" spans="1:29" ht="12.75" customHeight="1">
      <c r="A768" s="319"/>
      <c r="B768" s="614"/>
      <c r="C768" s="319"/>
      <c r="D768" s="614"/>
      <c r="E768" s="614"/>
      <c r="F768" s="614"/>
      <c r="G768" s="614"/>
      <c r="H768" s="614"/>
      <c r="I768" s="614"/>
      <c r="J768" s="614"/>
      <c r="K768" s="614"/>
      <c r="L768" s="614"/>
      <c r="M768" s="614"/>
      <c r="N768" s="614"/>
      <c r="O768" s="614"/>
      <c r="P768" s="614"/>
      <c r="Q768" s="614"/>
      <c r="R768" s="614"/>
      <c r="S768" s="614"/>
      <c r="T768" s="614"/>
      <c r="U768" s="614"/>
      <c r="V768" s="614"/>
      <c r="W768" s="614"/>
      <c r="X768" s="614"/>
      <c r="Y768" s="614"/>
      <c r="Z768" s="614"/>
      <c r="AA768" s="614"/>
      <c r="AB768" s="614"/>
      <c r="AC768" s="614"/>
    </row>
    <row r="769" spans="1:29" ht="12.75" customHeight="1">
      <c r="A769" s="319"/>
      <c r="B769" s="614"/>
      <c r="C769" s="319"/>
      <c r="D769" s="614"/>
      <c r="E769" s="614"/>
      <c r="F769" s="614"/>
      <c r="G769" s="614"/>
      <c r="H769" s="614"/>
      <c r="I769" s="614"/>
      <c r="J769" s="614"/>
      <c r="K769" s="614"/>
      <c r="L769" s="614"/>
      <c r="M769" s="614"/>
      <c r="N769" s="614"/>
      <c r="O769" s="614"/>
      <c r="P769" s="614"/>
      <c r="Q769" s="614"/>
      <c r="R769" s="614"/>
      <c r="S769" s="614"/>
      <c r="T769" s="614"/>
      <c r="U769" s="614"/>
      <c r="V769" s="614"/>
      <c r="W769" s="614"/>
      <c r="X769" s="614"/>
      <c r="Y769" s="614"/>
      <c r="Z769" s="614"/>
      <c r="AA769" s="614"/>
      <c r="AB769" s="614"/>
      <c r="AC769" s="614"/>
    </row>
    <row r="770" spans="1:29" ht="12.75" customHeight="1">
      <c r="A770" s="319"/>
      <c r="B770" s="614"/>
      <c r="C770" s="319"/>
      <c r="D770" s="614"/>
      <c r="E770" s="614"/>
      <c r="F770" s="614"/>
      <c r="G770" s="614"/>
      <c r="H770" s="614"/>
      <c r="I770" s="614"/>
      <c r="J770" s="614"/>
      <c r="K770" s="614"/>
      <c r="L770" s="614"/>
      <c r="M770" s="614"/>
      <c r="N770" s="614"/>
      <c r="O770" s="614"/>
      <c r="P770" s="614"/>
      <c r="Q770" s="614"/>
      <c r="R770" s="614"/>
      <c r="S770" s="614"/>
      <c r="T770" s="614"/>
      <c r="U770" s="614"/>
      <c r="V770" s="614"/>
      <c r="W770" s="614"/>
      <c r="X770" s="614"/>
      <c r="Y770" s="614"/>
      <c r="Z770" s="614"/>
      <c r="AA770" s="614"/>
      <c r="AB770" s="614"/>
      <c r="AC770" s="614"/>
    </row>
    <row r="771" spans="1:29" ht="12.75" customHeight="1">
      <c r="A771" s="319"/>
      <c r="B771" s="614"/>
      <c r="C771" s="319"/>
      <c r="D771" s="614"/>
      <c r="E771" s="614"/>
      <c r="F771" s="614"/>
      <c r="G771" s="614"/>
      <c r="H771" s="614"/>
      <c r="I771" s="614"/>
      <c r="J771" s="614"/>
      <c r="K771" s="614"/>
      <c r="L771" s="614"/>
      <c r="M771" s="614"/>
      <c r="N771" s="614"/>
      <c r="O771" s="614"/>
      <c r="P771" s="614"/>
      <c r="Q771" s="614"/>
      <c r="R771" s="614"/>
      <c r="S771" s="614"/>
      <c r="T771" s="614"/>
      <c r="U771" s="614"/>
      <c r="V771" s="614"/>
      <c r="W771" s="614"/>
      <c r="X771" s="614"/>
      <c r="Y771" s="614"/>
      <c r="Z771" s="614"/>
      <c r="AA771" s="614"/>
      <c r="AB771" s="614"/>
      <c r="AC771" s="614"/>
    </row>
    <row r="772" spans="1:29" ht="12.75" customHeight="1">
      <c r="A772" s="319"/>
      <c r="B772" s="614"/>
      <c r="C772" s="319"/>
      <c r="D772" s="614"/>
      <c r="E772" s="614"/>
      <c r="F772" s="614"/>
      <c r="G772" s="614"/>
      <c r="H772" s="614"/>
      <c r="I772" s="614"/>
      <c r="J772" s="614"/>
      <c r="K772" s="614"/>
      <c r="L772" s="614"/>
      <c r="M772" s="614"/>
      <c r="N772" s="614"/>
      <c r="O772" s="614"/>
      <c r="P772" s="614"/>
      <c r="Q772" s="614"/>
      <c r="R772" s="614"/>
      <c r="S772" s="614"/>
      <c r="T772" s="614"/>
      <c r="U772" s="614"/>
      <c r="V772" s="614"/>
      <c r="W772" s="614"/>
      <c r="X772" s="614"/>
      <c r="Y772" s="614"/>
      <c r="Z772" s="614"/>
      <c r="AA772" s="614"/>
      <c r="AB772" s="614"/>
      <c r="AC772" s="614"/>
    </row>
    <row r="773" spans="1:29" ht="12.75" customHeight="1">
      <c r="A773" s="319"/>
      <c r="B773" s="614"/>
      <c r="C773" s="319"/>
      <c r="D773" s="614"/>
      <c r="E773" s="614"/>
      <c r="F773" s="614"/>
      <c r="G773" s="614"/>
      <c r="H773" s="614"/>
      <c r="I773" s="614"/>
      <c r="J773" s="614"/>
      <c r="K773" s="614"/>
      <c r="L773" s="614"/>
      <c r="M773" s="614"/>
      <c r="N773" s="614"/>
      <c r="O773" s="614"/>
      <c r="P773" s="614"/>
      <c r="Q773" s="614"/>
      <c r="R773" s="614"/>
      <c r="S773" s="614"/>
      <c r="T773" s="614"/>
      <c r="U773" s="614"/>
      <c r="V773" s="614"/>
      <c r="W773" s="614"/>
      <c r="X773" s="614"/>
      <c r="Y773" s="614"/>
      <c r="Z773" s="614"/>
      <c r="AA773" s="614"/>
      <c r="AB773" s="614"/>
      <c r="AC773" s="614"/>
    </row>
    <row r="774" spans="1:29" ht="12.75" customHeight="1">
      <c r="A774" s="319"/>
      <c r="B774" s="614"/>
      <c r="C774" s="319"/>
      <c r="D774" s="614"/>
      <c r="E774" s="614"/>
      <c r="F774" s="614"/>
      <c r="G774" s="614"/>
      <c r="H774" s="614"/>
      <c r="I774" s="614"/>
      <c r="J774" s="614"/>
      <c r="K774" s="614"/>
      <c r="L774" s="614"/>
      <c r="M774" s="614"/>
      <c r="N774" s="614"/>
      <c r="O774" s="614"/>
      <c r="P774" s="614"/>
      <c r="Q774" s="614"/>
      <c r="R774" s="614"/>
      <c r="S774" s="614"/>
      <c r="T774" s="614"/>
      <c r="U774" s="614"/>
      <c r="V774" s="614"/>
      <c r="W774" s="614"/>
      <c r="X774" s="614"/>
      <c r="Y774" s="614"/>
      <c r="Z774" s="614"/>
      <c r="AA774" s="614"/>
      <c r="AB774" s="614"/>
      <c r="AC774" s="614"/>
    </row>
    <row r="775" spans="1:29" ht="12.75" customHeight="1">
      <c r="A775" s="319"/>
      <c r="B775" s="614"/>
      <c r="C775" s="319"/>
      <c r="D775" s="614"/>
      <c r="E775" s="614"/>
      <c r="F775" s="614"/>
      <c r="G775" s="614"/>
      <c r="H775" s="614"/>
      <c r="I775" s="614"/>
      <c r="J775" s="614"/>
      <c r="K775" s="614"/>
      <c r="L775" s="614"/>
      <c r="M775" s="614"/>
      <c r="N775" s="614"/>
      <c r="O775" s="614"/>
      <c r="P775" s="614"/>
      <c r="Q775" s="614"/>
      <c r="R775" s="614"/>
      <c r="S775" s="614"/>
      <c r="T775" s="614"/>
      <c r="U775" s="614"/>
      <c r="V775" s="614"/>
      <c r="W775" s="614"/>
      <c r="X775" s="614"/>
      <c r="Y775" s="614"/>
      <c r="Z775" s="614"/>
      <c r="AA775" s="614"/>
      <c r="AB775" s="614"/>
      <c r="AC775" s="614"/>
    </row>
    <row r="776" spans="1:29" ht="12.75" customHeight="1">
      <c r="A776" s="319"/>
      <c r="B776" s="614"/>
      <c r="C776" s="319"/>
      <c r="D776" s="614"/>
      <c r="E776" s="614"/>
      <c r="F776" s="614"/>
      <c r="G776" s="614"/>
      <c r="H776" s="614"/>
      <c r="I776" s="614"/>
      <c r="J776" s="614"/>
      <c r="K776" s="614"/>
      <c r="L776" s="614"/>
      <c r="M776" s="614"/>
      <c r="N776" s="614"/>
      <c r="O776" s="614"/>
      <c r="P776" s="614"/>
      <c r="Q776" s="614"/>
      <c r="R776" s="614"/>
      <c r="S776" s="614"/>
      <c r="T776" s="614"/>
      <c r="U776" s="614"/>
      <c r="V776" s="614"/>
      <c r="W776" s="614"/>
      <c r="X776" s="614"/>
      <c r="Y776" s="614"/>
      <c r="Z776" s="614"/>
      <c r="AA776" s="614"/>
      <c r="AB776" s="614"/>
      <c r="AC776" s="614"/>
    </row>
    <row r="777" spans="1:29" ht="12.75" customHeight="1">
      <c r="A777" s="319"/>
      <c r="B777" s="614"/>
      <c r="C777" s="319"/>
      <c r="D777" s="614"/>
      <c r="E777" s="614"/>
      <c r="F777" s="614"/>
      <c r="G777" s="614"/>
      <c r="H777" s="614"/>
      <c r="I777" s="614"/>
      <c r="J777" s="614"/>
      <c r="K777" s="614"/>
      <c r="L777" s="614"/>
      <c r="M777" s="614"/>
      <c r="N777" s="614"/>
      <c r="O777" s="614"/>
      <c r="P777" s="614"/>
      <c r="Q777" s="614"/>
      <c r="R777" s="614"/>
      <c r="S777" s="614"/>
      <c r="T777" s="614"/>
      <c r="U777" s="614"/>
      <c r="V777" s="614"/>
      <c r="W777" s="614"/>
      <c r="X777" s="614"/>
      <c r="Y777" s="614"/>
      <c r="Z777" s="614"/>
      <c r="AA777" s="614"/>
      <c r="AB777" s="614"/>
      <c r="AC777" s="614"/>
    </row>
    <row r="778" spans="1:29" ht="12.75" customHeight="1">
      <c r="A778" s="319"/>
      <c r="B778" s="614"/>
      <c r="C778" s="319"/>
      <c r="D778" s="614"/>
      <c r="E778" s="614"/>
      <c r="F778" s="614"/>
      <c r="G778" s="614"/>
      <c r="H778" s="614"/>
      <c r="I778" s="614"/>
      <c r="J778" s="614"/>
      <c r="K778" s="614"/>
      <c r="L778" s="614"/>
      <c r="M778" s="614"/>
      <c r="N778" s="614"/>
      <c r="O778" s="614"/>
      <c r="P778" s="614"/>
      <c r="Q778" s="614"/>
      <c r="R778" s="614"/>
      <c r="S778" s="614"/>
      <c r="T778" s="614"/>
      <c r="U778" s="614"/>
      <c r="V778" s="614"/>
      <c r="W778" s="614"/>
      <c r="X778" s="614"/>
      <c r="Y778" s="614"/>
      <c r="Z778" s="614"/>
      <c r="AA778" s="614"/>
      <c r="AB778" s="614"/>
      <c r="AC778" s="614"/>
    </row>
    <row r="779" spans="1:29" ht="12.75" customHeight="1">
      <c r="A779" s="319"/>
      <c r="B779" s="614"/>
      <c r="C779" s="319"/>
      <c r="D779" s="614"/>
      <c r="E779" s="614"/>
      <c r="F779" s="614"/>
      <c r="G779" s="614"/>
      <c r="H779" s="614"/>
      <c r="I779" s="614"/>
      <c r="J779" s="614"/>
      <c r="K779" s="614"/>
      <c r="L779" s="614"/>
      <c r="M779" s="614"/>
      <c r="N779" s="614"/>
      <c r="O779" s="614"/>
      <c r="P779" s="614"/>
      <c r="Q779" s="614"/>
      <c r="R779" s="614"/>
      <c r="S779" s="614"/>
      <c r="T779" s="614"/>
      <c r="U779" s="614"/>
      <c r="V779" s="614"/>
      <c r="W779" s="614"/>
      <c r="X779" s="614"/>
      <c r="Y779" s="614"/>
      <c r="Z779" s="614"/>
      <c r="AA779" s="614"/>
      <c r="AB779" s="614"/>
      <c r="AC779" s="614"/>
    </row>
    <row r="780" spans="1:29" ht="12.75" customHeight="1">
      <c r="A780" s="319"/>
      <c r="B780" s="614"/>
      <c r="C780" s="319"/>
      <c r="D780" s="614"/>
      <c r="E780" s="614"/>
      <c r="F780" s="614"/>
      <c r="G780" s="614"/>
      <c r="H780" s="614"/>
      <c r="I780" s="614"/>
      <c r="J780" s="614"/>
      <c r="K780" s="614"/>
      <c r="L780" s="614"/>
      <c r="M780" s="614"/>
      <c r="N780" s="614"/>
      <c r="O780" s="614"/>
      <c r="P780" s="614"/>
      <c r="Q780" s="614"/>
      <c r="R780" s="614"/>
      <c r="S780" s="614"/>
      <c r="T780" s="614"/>
      <c r="U780" s="614"/>
      <c r="V780" s="614"/>
      <c r="W780" s="614"/>
      <c r="X780" s="614"/>
      <c r="Y780" s="614"/>
      <c r="Z780" s="614"/>
      <c r="AA780" s="614"/>
      <c r="AB780" s="614"/>
      <c r="AC780" s="614"/>
    </row>
    <row r="781" spans="1:29" ht="12.75" customHeight="1">
      <c r="A781" s="319"/>
      <c r="B781" s="614"/>
      <c r="C781" s="319"/>
      <c r="D781" s="614"/>
      <c r="E781" s="614"/>
      <c r="F781" s="614"/>
      <c r="G781" s="614"/>
      <c r="H781" s="614"/>
      <c r="I781" s="614"/>
      <c r="J781" s="614"/>
      <c r="K781" s="614"/>
      <c r="L781" s="614"/>
      <c r="M781" s="614"/>
      <c r="N781" s="614"/>
      <c r="O781" s="614"/>
      <c r="P781" s="614"/>
      <c r="Q781" s="614"/>
      <c r="R781" s="614"/>
      <c r="S781" s="614"/>
      <c r="T781" s="614"/>
      <c r="U781" s="614"/>
      <c r="V781" s="614"/>
      <c r="W781" s="614"/>
      <c r="X781" s="614"/>
      <c r="Y781" s="614"/>
      <c r="Z781" s="614"/>
      <c r="AA781" s="614"/>
      <c r="AB781" s="614"/>
      <c r="AC781" s="614"/>
    </row>
    <row r="782" spans="1:29" ht="12.75" customHeight="1">
      <c r="A782" s="319"/>
      <c r="B782" s="614"/>
      <c r="C782" s="319"/>
      <c r="D782" s="614"/>
      <c r="E782" s="614"/>
      <c r="F782" s="614"/>
      <c r="G782" s="614"/>
      <c r="H782" s="614"/>
      <c r="I782" s="614"/>
      <c r="J782" s="614"/>
      <c r="K782" s="614"/>
      <c r="L782" s="614"/>
      <c r="M782" s="614"/>
      <c r="N782" s="614"/>
      <c r="O782" s="614"/>
      <c r="P782" s="614"/>
      <c r="Q782" s="614"/>
      <c r="R782" s="614"/>
      <c r="S782" s="614"/>
      <c r="T782" s="614"/>
      <c r="U782" s="614"/>
      <c r="V782" s="614"/>
      <c r="W782" s="614"/>
      <c r="X782" s="614"/>
      <c r="Y782" s="614"/>
      <c r="Z782" s="614"/>
      <c r="AA782" s="614"/>
      <c r="AB782" s="614"/>
      <c r="AC782" s="614"/>
    </row>
    <row r="783" spans="1:29" ht="12.75" customHeight="1">
      <c r="A783" s="319"/>
      <c r="B783" s="614"/>
      <c r="C783" s="319"/>
      <c r="D783" s="614"/>
      <c r="E783" s="614"/>
      <c r="F783" s="614"/>
      <c r="G783" s="614"/>
      <c r="H783" s="614"/>
      <c r="I783" s="614"/>
      <c r="J783" s="614"/>
      <c r="K783" s="614"/>
      <c r="L783" s="614"/>
      <c r="M783" s="614"/>
      <c r="N783" s="614"/>
      <c r="O783" s="614"/>
      <c r="P783" s="614"/>
      <c r="Q783" s="614"/>
      <c r="R783" s="614"/>
      <c r="S783" s="614"/>
      <c r="T783" s="614"/>
      <c r="U783" s="614"/>
      <c r="V783" s="614"/>
      <c r="W783" s="614"/>
      <c r="X783" s="614"/>
      <c r="Y783" s="614"/>
      <c r="Z783" s="614"/>
      <c r="AA783" s="614"/>
      <c r="AB783" s="614"/>
      <c r="AC783" s="614"/>
    </row>
    <row r="784" spans="1:29" ht="12.75" customHeight="1">
      <c r="A784" s="319"/>
      <c r="B784" s="614"/>
      <c r="C784" s="319"/>
      <c r="D784" s="614"/>
      <c r="E784" s="614"/>
      <c r="F784" s="614"/>
      <c r="G784" s="614"/>
      <c r="H784" s="614"/>
      <c r="I784" s="614"/>
      <c r="J784" s="614"/>
      <c r="K784" s="614"/>
      <c r="L784" s="614"/>
      <c r="M784" s="614"/>
      <c r="N784" s="614"/>
      <c r="O784" s="614"/>
      <c r="P784" s="614"/>
      <c r="Q784" s="614"/>
      <c r="R784" s="614"/>
      <c r="S784" s="614"/>
      <c r="T784" s="614"/>
      <c r="U784" s="614"/>
      <c r="V784" s="614"/>
      <c r="W784" s="614"/>
      <c r="X784" s="614"/>
      <c r="Y784" s="614"/>
      <c r="Z784" s="614"/>
      <c r="AA784" s="614"/>
      <c r="AB784" s="614"/>
      <c r="AC784" s="614"/>
    </row>
    <row r="785" spans="1:29" ht="12.75" customHeight="1">
      <c r="A785" s="319"/>
      <c r="B785" s="614"/>
      <c r="C785" s="319"/>
      <c r="D785" s="614"/>
      <c r="E785" s="614"/>
      <c r="F785" s="614"/>
      <c r="G785" s="614"/>
      <c r="H785" s="614"/>
      <c r="I785" s="614"/>
      <c r="J785" s="614"/>
      <c r="K785" s="614"/>
      <c r="L785" s="614"/>
      <c r="M785" s="614"/>
      <c r="N785" s="614"/>
      <c r="O785" s="614"/>
      <c r="P785" s="614"/>
      <c r="Q785" s="614"/>
      <c r="R785" s="614"/>
      <c r="S785" s="614"/>
      <c r="T785" s="614"/>
      <c r="U785" s="614"/>
      <c r="V785" s="614"/>
      <c r="W785" s="614"/>
      <c r="X785" s="614"/>
      <c r="Y785" s="614"/>
      <c r="Z785" s="614"/>
      <c r="AA785" s="614"/>
      <c r="AB785" s="614"/>
      <c r="AC785" s="614"/>
    </row>
    <row r="786" spans="1:29" ht="12.75" customHeight="1">
      <c r="A786" s="319"/>
      <c r="B786" s="614"/>
      <c r="C786" s="319"/>
      <c r="D786" s="614"/>
      <c r="E786" s="614"/>
      <c r="F786" s="614"/>
      <c r="G786" s="614"/>
      <c r="H786" s="614"/>
      <c r="I786" s="614"/>
      <c r="J786" s="614"/>
      <c r="K786" s="614"/>
      <c r="L786" s="614"/>
      <c r="M786" s="614"/>
      <c r="N786" s="614"/>
      <c r="O786" s="614"/>
      <c r="P786" s="614"/>
      <c r="Q786" s="614"/>
      <c r="R786" s="614"/>
      <c r="S786" s="614"/>
      <c r="T786" s="614"/>
      <c r="U786" s="614"/>
      <c r="V786" s="614"/>
      <c r="W786" s="614"/>
      <c r="X786" s="614"/>
      <c r="Y786" s="614"/>
      <c r="Z786" s="614"/>
      <c r="AA786" s="614"/>
      <c r="AB786" s="614"/>
      <c r="AC786" s="614"/>
    </row>
    <row r="787" spans="1:29" ht="12.75" customHeight="1">
      <c r="A787" s="319"/>
      <c r="B787" s="614"/>
      <c r="C787" s="319"/>
      <c r="D787" s="614"/>
      <c r="E787" s="614"/>
      <c r="F787" s="614"/>
      <c r="G787" s="614"/>
      <c r="H787" s="614"/>
      <c r="I787" s="614"/>
      <c r="J787" s="614"/>
      <c r="K787" s="614"/>
      <c r="L787" s="614"/>
      <c r="M787" s="614"/>
      <c r="N787" s="614"/>
      <c r="O787" s="614"/>
      <c r="P787" s="614"/>
      <c r="Q787" s="614"/>
      <c r="R787" s="614"/>
      <c r="S787" s="614"/>
      <c r="T787" s="614"/>
      <c r="U787" s="614"/>
      <c r="V787" s="614"/>
      <c r="W787" s="614"/>
      <c r="X787" s="614"/>
      <c r="Y787" s="614"/>
      <c r="Z787" s="614"/>
      <c r="AA787" s="614"/>
      <c r="AB787" s="614"/>
      <c r="AC787" s="614"/>
    </row>
    <row r="788" spans="1:29" ht="12.75" customHeight="1">
      <c r="A788" s="319"/>
      <c r="B788" s="614"/>
      <c r="C788" s="319"/>
      <c r="D788" s="614"/>
      <c r="E788" s="614"/>
      <c r="F788" s="614"/>
      <c r="G788" s="614"/>
      <c r="H788" s="614"/>
      <c r="I788" s="614"/>
      <c r="J788" s="614"/>
      <c r="K788" s="614"/>
      <c r="L788" s="614"/>
      <c r="M788" s="614"/>
      <c r="N788" s="614"/>
      <c r="O788" s="614"/>
      <c r="P788" s="614"/>
      <c r="Q788" s="614"/>
      <c r="R788" s="614"/>
      <c r="S788" s="614"/>
      <c r="T788" s="614"/>
      <c r="U788" s="614"/>
      <c r="V788" s="614"/>
      <c r="W788" s="614"/>
      <c r="X788" s="614"/>
      <c r="Y788" s="614"/>
      <c r="Z788" s="614"/>
      <c r="AA788" s="614"/>
      <c r="AB788" s="614"/>
      <c r="AC788" s="614"/>
    </row>
    <row r="789" spans="1:29" ht="12.75" customHeight="1">
      <c r="A789" s="319"/>
      <c r="B789" s="614"/>
      <c r="C789" s="319"/>
      <c r="D789" s="614"/>
      <c r="E789" s="614"/>
      <c r="F789" s="614"/>
      <c r="G789" s="614"/>
      <c r="H789" s="614"/>
      <c r="I789" s="614"/>
      <c r="J789" s="614"/>
      <c r="K789" s="614"/>
      <c r="L789" s="614"/>
      <c r="M789" s="614"/>
      <c r="N789" s="614"/>
      <c r="O789" s="614"/>
      <c r="P789" s="614"/>
      <c r="Q789" s="614"/>
      <c r="R789" s="614"/>
      <c r="S789" s="614"/>
      <c r="T789" s="614"/>
      <c r="U789" s="614"/>
      <c r="V789" s="614"/>
      <c r="W789" s="614"/>
      <c r="X789" s="614"/>
      <c r="Y789" s="614"/>
      <c r="Z789" s="614"/>
      <c r="AA789" s="614"/>
      <c r="AB789" s="614"/>
      <c r="AC789" s="614"/>
    </row>
    <row r="790" spans="1:29" ht="12.75" customHeight="1">
      <c r="A790" s="319"/>
      <c r="B790" s="614"/>
      <c r="C790" s="319"/>
      <c r="D790" s="614"/>
      <c r="E790" s="614"/>
      <c r="F790" s="614"/>
      <c r="G790" s="614"/>
      <c r="H790" s="614"/>
      <c r="I790" s="614"/>
      <c r="J790" s="614"/>
      <c r="K790" s="614"/>
      <c r="L790" s="614"/>
      <c r="M790" s="614"/>
      <c r="N790" s="614"/>
      <c r="O790" s="614"/>
      <c r="P790" s="614"/>
      <c r="Q790" s="614"/>
      <c r="R790" s="614"/>
      <c r="S790" s="614"/>
      <c r="T790" s="614"/>
      <c r="U790" s="614"/>
      <c r="V790" s="614"/>
      <c r="W790" s="614"/>
      <c r="X790" s="614"/>
      <c r="Y790" s="614"/>
      <c r="Z790" s="614"/>
      <c r="AA790" s="614"/>
      <c r="AB790" s="614"/>
      <c r="AC790" s="614"/>
    </row>
    <row r="791" spans="1:29" ht="12.75" customHeight="1">
      <c r="A791" s="319"/>
      <c r="B791" s="614"/>
      <c r="C791" s="319"/>
      <c r="D791" s="614"/>
      <c r="E791" s="614"/>
      <c r="F791" s="614"/>
      <c r="G791" s="614"/>
      <c r="H791" s="614"/>
      <c r="I791" s="614"/>
      <c r="J791" s="614"/>
      <c r="K791" s="614"/>
      <c r="L791" s="614"/>
      <c r="M791" s="614"/>
      <c r="N791" s="614"/>
      <c r="O791" s="614"/>
      <c r="P791" s="614"/>
      <c r="Q791" s="614"/>
      <c r="R791" s="614"/>
      <c r="S791" s="614"/>
      <c r="T791" s="614"/>
      <c r="U791" s="614"/>
      <c r="V791" s="614"/>
      <c r="W791" s="614"/>
      <c r="X791" s="614"/>
      <c r="Y791" s="614"/>
      <c r="Z791" s="614"/>
      <c r="AA791" s="614"/>
      <c r="AB791" s="614"/>
      <c r="AC791" s="614"/>
    </row>
    <row r="792" spans="1:29" ht="12.75" customHeight="1">
      <c r="A792" s="319"/>
      <c r="B792" s="614"/>
      <c r="C792" s="319"/>
      <c r="D792" s="614"/>
      <c r="E792" s="614"/>
      <c r="F792" s="614"/>
      <c r="G792" s="614"/>
      <c r="H792" s="614"/>
      <c r="I792" s="614"/>
      <c r="J792" s="614"/>
      <c r="K792" s="614"/>
      <c r="L792" s="614"/>
      <c r="M792" s="614"/>
      <c r="N792" s="614"/>
      <c r="O792" s="614"/>
      <c r="P792" s="614"/>
      <c r="Q792" s="614"/>
      <c r="R792" s="614"/>
      <c r="S792" s="614"/>
      <c r="T792" s="614"/>
      <c r="U792" s="614"/>
      <c r="V792" s="614"/>
      <c r="W792" s="614"/>
      <c r="X792" s="614"/>
      <c r="Y792" s="614"/>
      <c r="Z792" s="614"/>
      <c r="AA792" s="614"/>
      <c r="AB792" s="614"/>
      <c r="AC792" s="614"/>
    </row>
    <row r="793" spans="1:29" ht="12.75" customHeight="1">
      <c r="A793" s="319"/>
      <c r="B793" s="614"/>
      <c r="C793" s="319"/>
      <c r="D793" s="614"/>
      <c r="E793" s="614"/>
      <c r="F793" s="614"/>
      <c r="G793" s="614"/>
      <c r="H793" s="614"/>
      <c r="I793" s="614"/>
      <c r="J793" s="614"/>
      <c r="K793" s="614"/>
      <c r="L793" s="614"/>
      <c r="M793" s="614"/>
      <c r="N793" s="614"/>
      <c r="O793" s="614"/>
      <c r="P793" s="614"/>
      <c r="Q793" s="614"/>
      <c r="R793" s="614"/>
      <c r="S793" s="614"/>
      <c r="T793" s="614"/>
      <c r="U793" s="614"/>
      <c r="V793" s="614"/>
      <c r="W793" s="614"/>
      <c r="X793" s="614"/>
      <c r="Y793" s="614"/>
      <c r="Z793" s="614"/>
      <c r="AA793" s="614"/>
      <c r="AB793" s="614"/>
      <c r="AC793" s="614"/>
    </row>
    <row r="794" spans="1:29" ht="12.75" customHeight="1">
      <c r="A794" s="319"/>
      <c r="B794" s="614"/>
      <c r="C794" s="319"/>
      <c r="D794" s="614"/>
      <c r="E794" s="614"/>
      <c r="F794" s="614"/>
      <c r="G794" s="614"/>
      <c r="H794" s="614"/>
      <c r="I794" s="614"/>
      <c r="J794" s="614"/>
      <c r="K794" s="614"/>
      <c r="L794" s="614"/>
      <c r="M794" s="614"/>
      <c r="N794" s="614"/>
      <c r="O794" s="614"/>
      <c r="P794" s="614"/>
      <c r="Q794" s="614"/>
      <c r="R794" s="614"/>
      <c r="S794" s="614"/>
      <c r="T794" s="614"/>
      <c r="U794" s="614"/>
      <c r="V794" s="614"/>
      <c r="W794" s="614"/>
      <c r="X794" s="614"/>
      <c r="Y794" s="614"/>
      <c r="Z794" s="614"/>
      <c r="AA794" s="614"/>
      <c r="AB794" s="614"/>
      <c r="AC794" s="614"/>
    </row>
    <row r="795" spans="1:29" ht="12.75" customHeight="1">
      <c r="A795" s="319"/>
      <c r="B795" s="614"/>
      <c r="C795" s="319"/>
      <c r="D795" s="614"/>
      <c r="E795" s="614"/>
      <c r="F795" s="614"/>
      <c r="G795" s="614"/>
      <c r="H795" s="614"/>
      <c r="I795" s="614"/>
      <c r="J795" s="614"/>
      <c r="K795" s="614"/>
      <c r="L795" s="614"/>
      <c r="M795" s="614"/>
      <c r="N795" s="614"/>
      <c r="O795" s="614"/>
      <c r="P795" s="614"/>
      <c r="Q795" s="614"/>
      <c r="R795" s="614"/>
      <c r="S795" s="614"/>
      <c r="T795" s="614"/>
      <c r="U795" s="614"/>
      <c r="V795" s="614"/>
      <c r="W795" s="614"/>
      <c r="X795" s="614"/>
      <c r="Y795" s="614"/>
      <c r="Z795" s="614"/>
      <c r="AA795" s="614"/>
      <c r="AB795" s="614"/>
      <c r="AC795" s="614"/>
    </row>
    <row r="796" spans="1:29" ht="12.75" customHeight="1">
      <c r="A796" s="319"/>
      <c r="B796" s="614"/>
      <c r="C796" s="319"/>
      <c r="D796" s="614"/>
      <c r="E796" s="614"/>
      <c r="F796" s="614"/>
      <c r="G796" s="614"/>
      <c r="H796" s="614"/>
      <c r="I796" s="614"/>
      <c r="J796" s="614"/>
      <c r="K796" s="614"/>
      <c r="L796" s="614"/>
      <c r="M796" s="614"/>
      <c r="N796" s="614"/>
      <c r="O796" s="614"/>
      <c r="P796" s="614"/>
      <c r="Q796" s="614"/>
      <c r="R796" s="614"/>
      <c r="S796" s="614"/>
      <c r="T796" s="614"/>
      <c r="U796" s="614"/>
      <c r="V796" s="614"/>
      <c r="W796" s="614"/>
      <c r="X796" s="614"/>
      <c r="Y796" s="614"/>
      <c r="Z796" s="614"/>
      <c r="AA796" s="614"/>
      <c r="AB796" s="614"/>
      <c r="AC796" s="614"/>
    </row>
    <row r="797" spans="1:29" ht="12.75" customHeight="1">
      <c r="A797" s="319"/>
      <c r="B797" s="614"/>
      <c r="C797" s="319"/>
      <c r="D797" s="614"/>
      <c r="E797" s="614"/>
      <c r="F797" s="614"/>
      <c r="G797" s="614"/>
      <c r="H797" s="614"/>
      <c r="I797" s="614"/>
      <c r="J797" s="614"/>
      <c r="K797" s="614"/>
      <c r="L797" s="614"/>
      <c r="M797" s="614"/>
      <c r="N797" s="614"/>
      <c r="O797" s="614"/>
      <c r="P797" s="614"/>
      <c r="Q797" s="614"/>
      <c r="R797" s="614"/>
      <c r="S797" s="614"/>
      <c r="T797" s="614"/>
      <c r="U797" s="614"/>
      <c r="V797" s="614"/>
      <c r="W797" s="614"/>
      <c r="X797" s="614"/>
      <c r="Y797" s="614"/>
      <c r="Z797" s="614"/>
      <c r="AA797" s="614"/>
      <c r="AB797" s="614"/>
      <c r="AC797" s="614"/>
    </row>
    <row r="798" spans="1:29" ht="12.75" customHeight="1">
      <c r="A798" s="319"/>
      <c r="B798" s="614"/>
      <c r="C798" s="319"/>
      <c r="D798" s="614"/>
      <c r="E798" s="614"/>
      <c r="F798" s="614"/>
      <c r="G798" s="614"/>
      <c r="H798" s="614"/>
      <c r="I798" s="614"/>
      <c r="J798" s="614"/>
      <c r="K798" s="614"/>
      <c r="L798" s="614"/>
      <c r="M798" s="614"/>
      <c r="N798" s="614"/>
      <c r="O798" s="614"/>
      <c r="P798" s="614"/>
      <c r="Q798" s="614"/>
      <c r="R798" s="614"/>
      <c r="S798" s="614"/>
      <c r="T798" s="614"/>
      <c r="U798" s="614"/>
      <c r="V798" s="614"/>
      <c r="W798" s="614"/>
      <c r="X798" s="614"/>
      <c r="Y798" s="614"/>
      <c r="Z798" s="614"/>
      <c r="AA798" s="614"/>
      <c r="AB798" s="614"/>
      <c r="AC798" s="614"/>
    </row>
    <row r="799" spans="1:29" ht="12.75" customHeight="1">
      <c r="A799" s="319"/>
      <c r="B799" s="614"/>
      <c r="C799" s="319"/>
      <c r="D799" s="614"/>
      <c r="E799" s="614"/>
      <c r="F799" s="614"/>
      <c r="G799" s="614"/>
      <c r="H799" s="614"/>
      <c r="I799" s="614"/>
      <c r="J799" s="614"/>
      <c r="K799" s="614"/>
      <c r="L799" s="614"/>
      <c r="M799" s="614"/>
      <c r="N799" s="614"/>
      <c r="O799" s="614"/>
      <c r="P799" s="614"/>
      <c r="Q799" s="614"/>
      <c r="R799" s="614"/>
      <c r="S799" s="614"/>
      <c r="T799" s="614"/>
      <c r="U799" s="614"/>
      <c r="V799" s="614"/>
      <c r="W799" s="614"/>
      <c r="X799" s="614"/>
      <c r="Y799" s="614"/>
      <c r="Z799" s="614"/>
      <c r="AA799" s="614"/>
      <c r="AB799" s="614"/>
      <c r="AC799" s="614"/>
    </row>
    <row r="800" spans="1:29" ht="12.75" customHeight="1">
      <c r="A800" s="319"/>
      <c r="B800" s="614"/>
      <c r="C800" s="319"/>
      <c r="D800" s="614"/>
      <c r="E800" s="614"/>
      <c r="F800" s="614"/>
      <c r="G800" s="614"/>
      <c r="H800" s="614"/>
      <c r="I800" s="614"/>
      <c r="J800" s="614"/>
      <c r="K800" s="614"/>
      <c r="L800" s="614"/>
      <c r="M800" s="614"/>
      <c r="N800" s="614"/>
      <c r="O800" s="614"/>
      <c r="P800" s="614"/>
      <c r="Q800" s="614"/>
      <c r="R800" s="614"/>
      <c r="S800" s="614"/>
      <c r="T800" s="614"/>
      <c r="U800" s="614"/>
      <c r="V800" s="614"/>
      <c r="W800" s="614"/>
      <c r="X800" s="614"/>
      <c r="Y800" s="614"/>
      <c r="Z800" s="614"/>
      <c r="AA800" s="614"/>
      <c r="AB800" s="614"/>
      <c r="AC800" s="614"/>
    </row>
    <row r="801" spans="1:29" ht="12.75" customHeight="1">
      <c r="A801" s="319"/>
      <c r="B801" s="614"/>
      <c r="C801" s="319"/>
      <c r="D801" s="614"/>
      <c r="E801" s="614"/>
      <c r="F801" s="614"/>
      <c r="G801" s="614"/>
      <c r="H801" s="614"/>
      <c r="I801" s="614"/>
      <c r="J801" s="614"/>
      <c r="K801" s="614"/>
      <c r="L801" s="614"/>
      <c r="M801" s="614"/>
      <c r="N801" s="614"/>
      <c r="O801" s="614"/>
      <c r="P801" s="614"/>
      <c r="Q801" s="614"/>
      <c r="R801" s="614"/>
      <c r="S801" s="614"/>
      <c r="T801" s="614"/>
      <c r="U801" s="614"/>
      <c r="V801" s="614"/>
      <c r="W801" s="614"/>
      <c r="X801" s="614"/>
      <c r="Y801" s="614"/>
      <c r="Z801" s="614"/>
      <c r="AA801" s="614"/>
      <c r="AB801" s="614"/>
      <c r="AC801" s="614"/>
    </row>
    <row r="802" spans="1:29" ht="12.75" customHeight="1">
      <c r="A802" s="319"/>
      <c r="B802" s="614"/>
      <c r="C802" s="319"/>
      <c r="D802" s="614"/>
      <c r="E802" s="614"/>
      <c r="F802" s="614"/>
      <c r="G802" s="614"/>
      <c r="H802" s="614"/>
      <c r="I802" s="614"/>
      <c r="J802" s="614"/>
      <c r="K802" s="614"/>
      <c r="L802" s="614"/>
      <c r="M802" s="614"/>
      <c r="N802" s="614"/>
      <c r="O802" s="614"/>
      <c r="P802" s="614"/>
      <c r="Q802" s="614"/>
      <c r="R802" s="614"/>
      <c r="S802" s="614"/>
      <c r="T802" s="614"/>
      <c r="U802" s="614"/>
      <c r="V802" s="614"/>
      <c r="W802" s="614"/>
      <c r="X802" s="614"/>
      <c r="Y802" s="614"/>
      <c r="Z802" s="614"/>
      <c r="AA802" s="614"/>
      <c r="AB802" s="614"/>
      <c r="AC802" s="614"/>
    </row>
    <row r="803" spans="1:29" ht="12.75" customHeight="1">
      <c r="A803" s="319"/>
      <c r="B803" s="614"/>
      <c r="C803" s="319"/>
      <c r="D803" s="614"/>
      <c r="E803" s="614"/>
      <c r="F803" s="614"/>
      <c r="G803" s="614"/>
      <c r="H803" s="614"/>
      <c r="I803" s="614"/>
      <c r="J803" s="614"/>
      <c r="K803" s="614"/>
      <c r="L803" s="614"/>
      <c r="M803" s="614"/>
      <c r="N803" s="614"/>
      <c r="O803" s="614"/>
      <c r="P803" s="614"/>
      <c r="Q803" s="614"/>
      <c r="R803" s="614"/>
      <c r="S803" s="614"/>
      <c r="T803" s="614"/>
      <c r="U803" s="614"/>
      <c r="V803" s="614"/>
      <c r="W803" s="614"/>
      <c r="X803" s="614"/>
      <c r="Y803" s="614"/>
      <c r="Z803" s="614"/>
      <c r="AA803" s="614"/>
      <c r="AB803" s="614"/>
      <c r="AC803" s="614"/>
    </row>
    <row r="804" spans="1:29" ht="12.75" customHeight="1">
      <c r="A804" s="319"/>
      <c r="B804" s="614"/>
      <c r="C804" s="319"/>
      <c r="D804" s="614"/>
      <c r="E804" s="614"/>
      <c r="F804" s="614"/>
      <c r="G804" s="614"/>
      <c r="H804" s="614"/>
      <c r="I804" s="614"/>
      <c r="J804" s="614"/>
      <c r="K804" s="614"/>
      <c r="L804" s="614"/>
      <c r="M804" s="614"/>
      <c r="N804" s="614"/>
      <c r="O804" s="614"/>
      <c r="P804" s="614"/>
      <c r="Q804" s="614"/>
      <c r="R804" s="614"/>
      <c r="S804" s="614"/>
      <c r="T804" s="614"/>
      <c r="U804" s="614"/>
      <c r="V804" s="614"/>
      <c r="W804" s="614"/>
      <c r="X804" s="614"/>
      <c r="Y804" s="614"/>
      <c r="Z804" s="614"/>
      <c r="AA804" s="614"/>
      <c r="AB804" s="614"/>
      <c r="AC804" s="614"/>
    </row>
    <row r="805" spans="1:29" ht="12.75" customHeight="1">
      <c r="A805" s="319"/>
      <c r="B805" s="614"/>
      <c r="C805" s="319"/>
      <c r="D805" s="614"/>
      <c r="E805" s="614"/>
      <c r="F805" s="614"/>
      <c r="G805" s="614"/>
      <c r="H805" s="614"/>
      <c r="I805" s="614"/>
      <c r="J805" s="614"/>
      <c r="K805" s="614"/>
      <c r="L805" s="614"/>
      <c r="M805" s="614"/>
      <c r="N805" s="614"/>
      <c r="O805" s="614"/>
      <c r="P805" s="614"/>
      <c r="Q805" s="614"/>
      <c r="R805" s="614"/>
      <c r="S805" s="614"/>
      <c r="T805" s="614"/>
      <c r="U805" s="614"/>
      <c r="V805" s="614"/>
      <c r="W805" s="614"/>
      <c r="X805" s="614"/>
      <c r="Y805" s="614"/>
      <c r="Z805" s="614"/>
      <c r="AA805" s="614"/>
      <c r="AB805" s="614"/>
      <c r="AC805" s="614"/>
    </row>
    <row r="806" spans="1:29" ht="12.75" customHeight="1">
      <c r="A806" s="319"/>
      <c r="B806" s="614"/>
      <c r="C806" s="319"/>
      <c r="D806" s="614"/>
      <c r="E806" s="614"/>
      <c r="F806" s="614"/>
      <c r="G806" s="614"/>
      <c r="H806" s="614"/>
      <c r="I806" s="614"/>
      <c r="J806" s="614"/>
      <c r="K806" s="614"/>
      <c r="L806" s="614"/>
      <c r="M806" s="614"/>
      <c r="N806" s="614"/>
      <c r="O806" s="614"/>
      <c r="P806" s="614"/>
      <c r="Q806" s="614"/>
      <c r="R806" s="614"/>
      <c r="S806" s="614"/>
      <c r="T806" s="614"/>
      <c r="U806" s="614"/>
      <c r="V806" s="614"/>
      <c r="W806" s="614"/>
      <c r="X806" s="614"/>
      <c r="Y806" s="614"/>
      <c r="Z806" s="614"/>
      <c r="AA806" s="614"/>
      <c r="AB806" s="614"/>
      <c r="AC806" s="614"/>
    </row>
    <row r="807" spans="1:29" ht="12.75" customHeight="1">
      <c r="A807" s="319"/>
      <c r="B807" s="614"/>
      <c r="C807" s="319"/>
      <c r="D807" s="614"/>
      <c r="E807" s="614"/>
      <c r="F807" s="614"/>
      <c r="G807" s="614"/>
      <c r="H807" s="614"/>
      <c r="I807" s="614"/>
      <c r="J807" s="614"/>
      <c r="K807" s="614"/>
      <c r="L807" s="614"/>
      <c r="M807" s="614"/>
      <c r="N807" s="614"/>
      <c r="O807" s="614"/>
      <c r="P807" s="614"/>
      <c r="Q807" s="614"/>
      <c r="R807" s="614"/>
      <c r="S807" s="614"/>
      <c r="T807" s="614"/>
      <c r="U807" s="614"/>
      <c r="V807" s="614"/>
      <c r="W807" s="614"/>
      <c r="X807" s="614"/>
      <c r="Y807" s="614"/>
      <c r="Z807" s="614"/>
      <c r="AA807" s="614"/>
      <c r="AB807" s="614"/>
      <c r="AC807" s="614"/>
    </row>
    <row r="808" spans="1:29" ht="12.75" customHeight="1">
      <c r="A808" s="319"/>
      <c r="B808" s="614"/>
      <c r="C808" s="319"/>
      <c r="D808" s="614"/>
      <c r="E808" s="614"/>
      <c r="F808" s="614"/>
      <c r="G808" s="614"/>
      <c r="H808" s="614"/>
      <c r="I808" s="614"/>
      <c r="J808" s="614"/>
      <c r="K808" s="614"/>
      <c r="L808" s="614"/>
      <c r="M808" s="614"/>
      <c r="N808" s="614"/>
      <c r="O808" s="614"/>
      <c r="P808" s="614"/>
      <c r="Q808" s="614"/>
      <c r="R808" s="614"/>
      <c r="S808" s="614"/>
      <c r="T808" s="614"/>
      <c r="U808" s="614"/>
      <c r="V808" s="614"/>
      <c r="W808" s="614"/>
      <c r="X808" s="614"/>
      <c r="Y808" s="614"/>
      <c r="Z808" s="614"/>
      <c r="AA808" s="614"/>
      <c r="AB808" s="614"/>
      <c r="AC808" s="614"/>
    </row>
    <row r="809" spans="1:29" ht="12.75" customHeight="1">
      <c r="A809" s="319"/>
      <c r="B809" s="614"/>
      <c r="C809" s="319"/>
      <c r="D809" s="614"/>
      <c r="E809" s="614"/>
      <c r="F809" s="614"/>
      <c r="G809" s="614"/>
      <c r="H809" s="614"/>
      <c r="I809" s="614"/>
      <c r="J809" s="614"/>
      <c r="K809" s="614"/>
      <c r="L809" s="614"/>
      <c r="M809" s="614"/>
      <c r="N809" s="614"/>
      <c r="O809" s="614"/>
      <c r="P809" s="614"/>
      <c r="Q809" s="614"/>
      <c r="R809" s="614"/>
      <c r="S809" s="614"/>
      <c r="T809" s="614"/>
      <c r="U809" s="614"/>
      <c r="V809" s="614"/>
      <c r="W809" s="614"/>
      <c r="X809" s="614"/>
      <c r="Y809" s="614"/>
      <c r="Z809" s="614"/>
      <c r="AA809" s="614"/>
      <c r="AB809" s="614"/>
      <c r="AC809" s="614"/>
    </row>
    <row r="810" spans="1:29" ht="12.75" customHeight="1">
      <c r="A810" s="319"/>
      <c r="B810" s="614"/>
      <c r="C810" s="319"/>
      <c r="D810" s="614"/>
      <c r="E810" s="614"/>
      <c r="F810" s="614"/>
      <c r="G810" s="614"/>
      <c r="H810" s="614"/>
      <c r="I810" s="614"/>
      <c r="J810" s="614"/>
      <c r="K810" s="614"/>
      <c r="L810" s="614"/>
      <c r="M810" s="614"/>
      <c r="N810" s="614"/>
      <c r="O810" s="614"/>
      <c r="P810" s="614"/>
      <c r="Q810" s="614"/>
      <c r="R810" s="614"/>
      <c r="S810" s="614"/>
      <c r="T810" s="614"/>
      <c r="U810" s="614"/>
      <c r="V810" s="614"/>
      <c r="W810" s="614"/>
      <c r="X810" s="614"/>
      <c r="Y810" s="614"/>
      <c r="Z810" s="614"/>
      <c r="AA810" s="614"/>
      <c r="AB810" s="614"/>
      <c r="AC810" s="614"/>
    </row>
    <row r="811" spans="1:29" ht="12.75" customHeight="1">
      <c r="A811" s="319"/>
      <c r="B811" s="614"/>
      <c r="C811" s="319"/>
      <c r="D811" s="614"/>
      <c r="E811" s="614"/>
      <c r="F811" s="614"/>
      <c r="G811" s="614"/>
      <c r="H811" s="614"/>
      <c r="I811" s="614"/>
      <c r="J811" s="614"/>
      <c r="K811" s="614"/>
      <c r="L811" s="614"/>
      <c r="M811" s="614"/>
      <c r="N811" s="614"/>
      <c r="O811" s="614"/>
      <c r="P811" s="614"/>
      <c r="Q811" s="614"/>
      <c r="R811" s="614"/>
      <c r="S811" s="614"/>
      <c r="T811" s="614"/>
      <c r="U811" s="614"/>
      <c r="V811" s="614"/>
      <c r="W811" s="614"/>
      <c r="X811" s="614"/>
      <c r="Y811" s="614"/>
      <c r="Z811" s="614"/>
      <c r="AA811" s="614"/>
      <c r="AB811" s="614"/>
      <c r="AC811" s="614"/>
    </row>
    <row r="812" spans="1:29" ht="12.75" customHeight="1">
      <c r="A812" s="319"/>
      <c r="B812" s="614"/>
      <c r="C812" s="319"/>
      <c r="D812" s="614"/>
      <c r="E812" s="614"/>
      <c r="F812" s="614"/>
      <c r="G812" s="614"/>
      <c r="H812" s="614"/>
      <c r="I812" s="614"/>
      <c r="J812" s="614"/>
      <c r="K812" s="614"/>
      <c r="L812" s="614"/>
      <c r="M812" s="614"/>
      <c r="N812" s="614"/>
      <c r="O812" s="614"/>
      <c r="P812" s="614"/>
      <c r="Q812" s="614"/>
      <c r="R812" s="614"/>
      <c r="S812" s="614"/>
      <c r="T812" s="614"/>
      <c r="U812" s="614"/>
      <c r="V812" s="614"/>
      <c r="W812" s="614"/>
      <c r="X812" s="614"/>
      <c r="Y812" s="614"/>
      <c r="Z812" s="614"/>
      <c r="AA812" s="614"/>
      <c r="AB812" s="614"/>
      <c r="AC812" s="614"/>
    </row>
    <row r="813" spans="1:29" ht="12.75" customHeight="1">
      <c r="A813" s="319"/>
      <c r="B813" s="614"/>
      <c r="C813" s="319"/>
      <c r="D813" s="614"/>
      <c r="E813" s="614"/>
      <c r="F813" s="614"/>
      <c r="G813" s="614"/>
      <c r="H813" s="614"/>
      <c r="I813" s="614"/>
      <c r="J813" s="614"/>
      <c r="K813" s="614"/>
      <c r="L813" s="614"/>
      <c r="M813" s="614"/>
      <c r="N813" s="614"/>
      <c r="O813" s="614"/>
      <c r="P813" s="614"/>
      <c r="Q813" s="614"/>
      <c r="R813" s="614"/>
      <c r="S813" s="614"/>
      <c r="T813" s="614"/>
      <c r="U813" s="614"/>
      <c r="V813" s="614"/>
      <c r="W813" s="614"/>
      <c r="X813" s="614"/>
      <c r="Y813" s="614"/>
      <c r="Z813" s="614"/>
      <c r="AA813" s="614"/>
      <c r="AB813" s="614"/>
      <c r="AC813" s="614"/>
    </row>
    <row r="814" spans="1:29" ht="12.75" customHeight="1">
      <c r="A814" s="319"/>
      <c r="B814" s="614"/>
      <c r="C814" s="319"/>
      <c r="D814" s="614"/>
      <c r="E814" s="614"/>
      <c r="F814" s="614"/>
      <c r="G814" s="614"/>
      <c r="H814" s="614"/>
      <c r="I814" s="614"/>
      <c r="J814" s="614"/>
      <c r="K814" s="614"/>
      <c r="L814" s="614"/>
      <c r="M814" s="614"/>
      <c r="N814" s="614"/>
      <c r="O814" s="614"/>
      <c r="P814" s="614"/>
      <c r="Q814" s="614"/>
      <c r="R814" s="614"/>
      <c r="S814" s="614"/>
      <c r="T814" s="614"/>
      <c r="U814" s="614"/>
      <c r="V814" s="614"/>
      <c r="W814" s="614"/>
      <c r="X814" s="614"/>
      <c r="Y814" s="614"/>
      <c r="Z814" s="614"/>
      <c r="AA814" s="614"/>
      <c r="AB814" s="614"/>
      <c r="AC814" s="614"/>
    </row>
    <row r="815" spans="1:29" ht="12.75" customHeight="1">
      <c r="A815" s="319"/>
      <c r="B815" s="614"/>
      <c r="C815" s="319"/>
      <c r="D815" s="614"/>
      <c r="E815" s="614"/>
      <c r="F815" s="614"/>
      <c r="G815" s="614"/>
      <c r="H815" s="614"/>
      <c r="I815" s="614"/>
      <c r="J815" s="614"/>
      <c r="K815" s="614"/>
      <c r="L815" s="614"/>
      <c r="M815" s="614"/>
      <c r="N815" s="614"/>
      <c r="O815" s="614"/>
      <c r="P815" s="614"/>
      <c r="Q815" s="614"/>
      <c r="R815" s="614"/>
      <c r="S815" s="614"/>
      <c r="T815" s="614"/>
      <c r="U815" s="614"/>
      <c r="V815" s="614"/>
      <c r="W815" s="614"/>
      <c r="X815" s="614"/>
      <c r="Y815" s="614"/>
      <c r="Z815" s="614"/>
      <c r="AA815" s="614"/>
      <c r="AB815" s="614"/>
      <c r="AC815" s="614"/>
    </row>
    <row r="816" spans="1:29" ht="12.75" customHeight="1">
      <c r="A816" s="319"/>
      <c r="B816" s="614"/>
      <c r="C816" s="319"/>
      <c r="D816" s="614"/>
      <c r="E816" s="614"/>
      <c r="F816" s="614"/>
      <c r="G816" s="614"/>
      <c r="H816" s="614"/>
      <c r="I816" s="614"/>
      <c r="J816" s="614"/>
      <c r="K816" s="614"/>
      <c r="L816" s="614"/>
      <c r="M816" s="614"/>
      <c r="N816" s="614"/>
      <c r="O816" s="614"/>
      <c r="P816" s="614"/>
      <c r="Q816" s="614"/>
      <c r="R816" s="614"/>
      <c r="S816" s="614"/>
      <c r="T816" s="614"/>
      <c r="U816" s="614"/>
      <c r="V816" s="614"/>
      <c r="W816" s="614"/>
      <c r="X816" s="614"/>
      <c r="Y816" s="614"/>
      <c r="Z816" s="614"/>
      <c r="AA816" s="614"/>
      <c r="AB816" s="614"/>
      <c r="AC816" s="614"/>
    </row>
    <row r="817" spans="1:29" ht="12.75" customHeight="1">
      <c r="A817" s="319"/>
      <c r="B817" s="614"/>
      <c r="C817" s="319"/>
      <c r="D817" s="614"/>
      <c r="E817" s="614"/>
      <c r="F817" s="614"/>
      <c r="G817" s="614"/>
      <c r="H817" s="614"/>
      <c r="I817" s="614"/>
      <c r="J817" s="614"/>
      <c r="K817" s="614"/>
      <c r="L817" s="614"/>
      <c r="M817" s="614"/>
      <c r="N817" s="614"/>
      <c r="O817" s="614"/>
      <c r="P817" s="614"/>
      <c r="Q817" s="614"/>
      <c r="R817" s="614"/>
      <c r="S817" s="614"/>
      <c r="T817" s="614"/>
      <c r="U817" s="614"/>
      <c r="V817" s="614"/>
      <c r="W817" s="614"/>
      <c r="X817" s="614"/>
      <c r="Y817" s="614"/>
      <c r="Z817" s="614"/>
      <c r="AA817" s="614"/>
      <c r="AB817" s="614"/>
      <c r="AC817" s="614"/>
    </row>
    <row r="818" spans="1:29" ht="12.75" customHeight="1">
      <c r="A818" s="319"/>
      <c r="B818" s="614"/>
      <c r="C818" s="319"/>
      <c r="D818" s="614"/>
      <c r="E818" s="614"/>
      <c r="F818" s="614"/>
      <c r="G818" s="614"/>
      <c r="H818" s="614"/>
      <c r="I818" s="614"/>
      <c r="J818" s="614"/>
      <c r="K818" s="614"/>
      <c r="L818" s="614"/>
      <c r="M818" s="614"/>
      <c r="N818" s="614"/>
      <c r="O818" s="614"/>
      <c r="P818" s="614"/>
      <c r="Q818" s="614"/>
      <c r="R818" s="614"/>
      <c r="S818" s="614"/>
      <c r="T818" s="614"/>
      <c r="U818" s="614"/>
      <c r="V818" s="614"/>
      <c r="W818" s="614"/>
      <c r="X818" s="614"/>
      <c r="Y818" s="614"/>
      <c r="Z818" s="614"/>
      <c r="AA818" s="614"/>
      <c r="AB818" s="614"/>
      <c r="AC818" s="614"/>
    </row>
    <row r="819" spans="1:29" ht="12.75" customHeight="1">
      <c r="A819" s="319"/>
      <c r="B819" s="614"/>
      <c r="C819" s="319"/>
      <c r="D819" s="614"/>
      <c r="E819" s="614"/>
      <c r="F819" s="614"/>
      <c r="G819" s="614"/>
      <c r="H819" s="614"/>
      <c r="I819" s="614"/>
      <c r="J819" s="614"/>
      <c r="K819" s="614"/>
      <c r="L819" s="614"/>
      <c r="M819" s="614"/>
      <c r="N819" s="614"/>
      <c r="O819" s="614"/>
      <c r="P819" s="614"/>
      <c r="Q819" s="614"/>
      <c r="R819" s="614"/>
      <c r="S819" s="614"/>
      <c r="T819" s="614"/>
      <c r="U819" s="614"/>
      <c r="V819" s="614"/>
      <c r="W819" s="614"/>
      <c r="X819" s="614"/>
      <c r="Y819" s="614"/>
      <c r="Z819" s="614"/>
      <c r="AA819" s="614"/>
      <c r="AB819" s="614"/>
      <c r="AC819" s="614"/>
    </row>
    <row r="820" spans="1:29" ht="12.75" customHeight="1">
      <c r="A820" s="319"/>
      <c r="B820" s="614"/>
      <c r="C820" s="319"/>
      <c r="D820" s="614"/>
      <c r="E820" s="614"/>
      <c r="F820" s="614"/>
      <c r="G820" s="614"/>
      <c r="H820" s="614"/>
      <c r="I820" s="614"/>
      <c r="J820" s="614"/>
      <c r="K820" s="614"/>
      <c r="L820" s="614"/>
      <c r="M820" s="614"/>
      <c r="N820" s="614"/>
      <c r="O820" s="614"/>
      <c r="P820" s="614"/>
      <c r="Q820" s="614"/>
      <c r="R820" s="614"/>
      <c r="S820" s="614"/>
      <c r="T820" s="614"/>
      <c r="U820" s="614"/>
      <c r="V820" s="614"/>
      <c r="W820" s="614"/>
      <c r="X820" s="614"/>
      <c r="Y820" s="614"/>
      <c r="Z820" s="614"/>
      <c r="AA820" s="614"/>
      <c r="AB820" s="614"/>
      <c r="AC820" s="614"/>
    </row>
    <row r="821" spans="1:29" ht="12.75" customHeight="1">
      <c r="A821" s="319"/>
      <c r="B821" s="614"/>
      <c r="C821" s="319"/>
      <c r="D821" s="614"/>
      <c r="E821" s="614"/>
      <c r="F821" s="614"/>
      <c r="G821" s="614"/>
      <c r="H821" s="614"/>
      <c r="I821" s="614"/>
      <c r="J821" s="614"/>
      <c r="K821" s="614"/>
      <c r="L821" s="614"/>
      <c r="M821" s="614"/>
      <c r="N821" s="614"/>
      <c r="O821" s="614"/>
      <c r="P821" s="614"/>
      <c r="Q821" s="614"/>
      <c r="R821" s="614"/>
      <c r="S821" s="614"/>
      <c r="T821" s="614"/>
      <c r="U821" s="614"/>
      <c r="V821" s="614"/>
      <c r="W821" s="614"/>
      <c r="X821" s="614"/>
      <c r="Y821" s="614"/>
      <c r="Z821" s="614"/>
      <c r="AA821" s="614"/>
      <c r="AB821" s="614"/>
      <c r="AC821" s="614"/>
    </row>
    <row r="822" spans="1:29" ht="12.75" customHeight="1">
      <c r="A822" s="319"/>
      <c r="B822" s="614"/>
      <c r="C822" s="319"/>
      <c r="D822" s="614"/>
      <c r="E822" s="614"/>
      <c r="F822" s="614"/>
      <c r="G822" s="614"/>
      <c r="H822" s="614"/>
      <c r="I822" s="614"/>
      <c r="J822" s="614"/>
      <c r="K822" s="614"/>
      <c r="L822" s="614"/>
      <c r="M822" s="614"/>
      <c r="N822" s="614"/>
      <c r="O822" s="614"/>
      <c r="P822" s="614"/>
      <c r="Q822" s="614"/>
      <c r="R822" s="614"/>
      <c r="S822" s="614"/>
      <c r="T822" s="614"/>
      <c r="U822" s="614"/>
      <c r="V822" s="614"/>
      <c r="W822" s="614"/>
      <c r="X822" s="614"/>
      <c r="Y822" s="614"/>
      <c r="Z822" s="614"/>
      <c r="AA822" s="614"/>
      <c r="AB822" s="614"/>
      <c r="AC822" s="614"/>
    </row>
    <row r="823" spans="1:29" ht="12.75" customHeight="1">
      <c r="A823" s="319"/>
      <c r="B823" s="614"/>
      <c r="C823" s="319"/>
      <c r="D823" s="614"/>
      <c r="E823" s="614"/>
      <c r="F823" s="614"/>
      <c r="G823" s="614"/>
      <c r="H823" s="614"/>
      <c r="I823" s="614"/>
      <c r="J823" s="614"/>
      <c r="K823" s="614"/>
      <c r="L823" s="614"/>
      <c r="M823" s="614"/>
      <c r="N823" s="614"/>
      <c r="O823" s="614"/>
      <c r="P823" s="614"/>
      <c r="Q823" s="614"/>
      <c r="R823" s="614"/>
      <c r="S823" s="614"/>
      <c r="T823" s="614"/>
      <c r="U823" s="614"/>
      <c r="V823" s="614"/>
      <c r="W823" s="614"/>
      <c r="X823" s="614"/>
      <c r="Y823" s="614"/>
      <c r="Z823" s="614"/>
      <c r="AA823" s="614"/>
      <c r="AB823" s="614"/>
      <c r="AC823" s="614"/>
    </row>
    <row r="824" spans="1:29" ht="12.75" customHeight="1">
      <c r="A824" s="319"/>
      <c r="B824" s="614"/>
      <c r="C824" s="319"/>
      <c r="D824" s="614"/>
      <c r="E824" s="614"/>
      <c r="F824" s="614"/>
      <c r="G824" s="614"/>
      <c r="H824" s="614"/>
      <c r="I824" s="614"/>
      <c r="J824" s="614"/>
      <c r="K824" s="614"/>
      <c r="L824" s="614"/>
      <c r="M824" s="614"/>
      <c r="N824" s="614"/>
      <c r="O824" s="614"/>
      <c r="P824" s="614"/>
      <c r="Q824" s="614"/>
      <c r="R824" s="614"/>
      <c r="S824" s="614"/>
      <c r="T824" s="614"/>
      <c r="U824" s="614"/>
      <c r="V824" s="614"/>
      <c r="W824" s="614"/>
      <c r="X824" s="614"/>
      <c r="Y824" s="614"/>
      <c r="Z824" s="614"/>
      <c r="AA824" s="614"/>
      <c r="AB824" s="614"/>
      <c r="AC824" s="614"/>
    </row>
    <row r="825" spans="1:29" ht="12.75" customHeight="1">
      <c r="A825" s="319"/>
      <c r="B825" s="614"/>
      <c r="C825" s="319"/>
      <c r="D825" s="614"/>
      <c r="E825" s="614"/>
      <c r="F825" s="614"/>
      <c r="G825" s="614"/>
      <c r="H825" s="614"/>
      <c r="I825" s="614"/>
      <c r="J825" s="614"/>
      <c r="K825" s="614"/>
      <c r="L825" s="614"/>
      <c r="M825" s="614"/>
      <c r="N825" s="614"/>
      <c r="O825" s="614"/>
      <c r="P825" s="614"/>
      <c r="Q825" s="614"/>
      <c r="R825" s="614"/>
      <c r="S825" s="614"/>
      <c r="T825" s="614"/>
      <c r="U825" s="614"/>
      <c r="V825" s="614"/>
      <c r="W825" s="614"/>
      <c r="X825" s="614"/>
      <c r="Y825" s="614"/>
      <c r="Z825" s="614"/>
      <c r="AA825" s="614"/>
      <c r="AB825" s="614"/>
      <c r="AC825" s="614"/>
    </row>
    <row r="826" spans="1:29" ht="12.75" customHeight="1">
      <c r="A826" s="319"/>
      <c r="B826" s="614"/>
      <c r="C826" s="319"/>
      <c r="D826" s="614"/>
      <c r="E826" s="614"/>
      <c r="F826" s="614"/>
      <c r="G826" s="614"/>
      <c r="H826" s="614"/>
      <c r="I826" s="614"/>
      <c r="J826" s="614"/>
      <c r="K826" s="614"/>
      <c r="L826" s="614"/>
      <c r="M826" s="614"/>
      <c r="N826" s="614"/>
      <c r="O826" s="614"/>
      <c r="P826" s="614"/>
      <c r="Q826" s="614"/>
      <c r="R826" s="614"/>
      <c r="S826" s="614"/>
      <c r="T826" s="614"/>
      <c r="U826" s="614"/>
      <c r="V826" s="614"/>
      <c r="W826" s="614"/>
      <c r="X826" s="614"/>
      <c r="Y826" s="614"/>
      <c r="Z826" s="614"/>
      <c r="AA826" s="614"/>
      <c r="AB826" s="614"/>
      <c r="AC826" s="614"/>
    </row>
    <row r="827" spans="1:29" ht="12.75" customHeight="1">
      <c r="A827" s="319"/>
      <c r="B827" s="614"/>
      <c r="C827" s="319"/>
      <c r="D827" s="614"/>
      <c r="E827" s="614"/>
      <c r="F827" s="614"/>
      <c r="G827" s="614"/>
      <c r="H827" s="614"/>
      <c r="I827" s="614"/>
      <c r="J827" s="614"/>
      <c r="K827" s="614"/>
      <c r="L827" s="614"/>
      <c r="M827" s="614"/>
      <c r="N827" s="614"/>
      <c r="O827" s="614"/>
      <c r="P827" s="614"/>
      <c r="Q827" s="614"/>
      <c r="R827" s="614"/>
      <c r="S827" s="614"/>
      <c r="T827" s="614"/>
      <c r="U827" s="614"/>
      <c r="V827" s="614"/>
      <c r="W827" s="614"/>
      <c r="X827" s="614"/>
      <c r="Y827" s="614"/>
      <c r="Z827" s="614"/>
      <c r="AA827" s="614"/>
      <c r="AB827" s="614"/>
      <c r="AC827" s="614"/>
    </row>
    <row r="828" spans="1:29" ht="12.75" customHeight="1">
      <c r="A828" s="319"/>
      <c r="B828" s="614"/>
      <c r="C828" s="319"/>
      <c r="D828" s="614"/>
      <c r="E828" s="614"/>
      <c r="F828" s="614"/>
      <c r="G828" s="614"/>
      <c r="H828" s="614"/>
      <c r="I828" s="614"/>
      <c r="J828" s="614"/>
      <c r="K828" s="614"/>
      <c r="L828" s="614"/>
      <c r="M828" s="614"/>
      <c r="N828" s="614"/>
      <c r="O828" s="614"/>
      <c r="P828" s="614"/>
      <c r="Q828" s="614"/>
      <c r="R828" s="614"/>
      <c r="S828" s="614"/>
      <c r="T828" s="614"/>
      <c r="U828" s="614"/>
      <c r="V828" s="614"/>
      <c r="W828" s="614"/>
      <c r="X828" s="614"/>
      <c r="Y828" s="614"/>
      <c r="Z828" s="614"/>
      <c r="AA828" s="614"/>
      <c r="AB828" s="614"/>
      <c r="AC828" s="614"/>
    </row>
    <row r="829" spans="1:29" ht="12.75" customHeight="1">
      <c r="A829" s="319"/>
      <c r="B829" s="614"/>
      <c r="C829" s="319"/>
      <c r="D829" s="614"/>
      <c r="E829" s="614"/>
      <c r="F829" s="614"/>
      <c r="G829" s="614"/>
      <c r="H829" s="614"/>
      <c r="I829" s="614"/>
      <c r="J829" s="614"/>
      <c r="K829" s="614"/>
      <c r="L829" s="614"/>
      <c r="M829" s="614"/>
      <c r="N829" s="614"/>
      <c r="O829" s="614"/>
      <c r="P829" s="614"/>
      <c r="Q829" s="614"/>
      <c r="R829" s="614"/>
      <c r="S829" s="614"/>
      <c r="T829" s="614"/>
      <c r="U829" s="614"/>
      <c r="V829" s="614"/>
      <c r="W829" s="614"/>
      <c r="X829" s="614"/>
      <c r="Y829" s="614"/>
      <c r="Z829" s="614"/>
      <c r="AA829" s="614"/>
      <c r="AB829" s="614"/>
      <c r="AC829" s="614"/>
    </row>
    <row r="830" spans="1:29" ht="12.75" customHeight="1">
      <c r="A830" s="319"/>
      <c r="B830" s="614"/>
      <c r="C830" s="319"/>
      <c r="D830" s="614"/>
      <c r="E830" s="614"/>
      <c r="F830" s="614"/>
      <c r="G830" s="614"/>
      <c r="H830" s="614"/>
      <c r="I830" s="614"/>
      <c r="J830" s="614"/>
      <c r="K830" s="614"/>
      <c r="L830" s="614"/>
      <c r="M830" s="614"/>
      <c r="N830" s="614"/>
      <c r="O830" s="614"/>
      <c r="P830" s="614"/>
      <c r="Q830" s="614"/>
      <c r="R830" s="614"/>
      <c r="S830" s="614"/>
      <c r="T830" s="614"/>
      <c r="U830" s="614"/>
      <c r="V830" s="614"/>
      <c r="W830" s="614"/>
      <c r="X830" s="614"/>
      <c r="Y830" s="614"/>
      <c r="Z830" s="614"/>
      <c r="AA830" s="614"/>
      <c r="AB830" s="614"/>
      <c r="AC830" s="614"/>
    </row>
    <row r="831" spans="1:29" ht="12.75" customHeight="1">
      <c r="A831" s="319"/>
      <c r="B831" s="614"/>
      <c r="C831" s="319"/>
      <c r="D831" s="614"/>
      <c r="E831" s="614"/>
      <c r="F831" s="614"/>
      <c r="G831" s="614"/>
      <c r="H831" s="614"/>
      <c r="I831" s="614"/>
      <c r="J831" s="614"/>
      <c r="K831" s="614"/>
      <c r="L831" s="614"/>
      <c r="M831" s="614"/>
      <c r="N831" s="614"/>
      <c r="O831" s="614"/>
      <c r="P831" s="614"/>
      <c r="Q831" s="614"/>
      <c r="R831" s="614"/>
      <c r="S831" s="614"/>
      <c r="T831" s="614"/>
      <c r="U831" s="614"/>
      <c r="V831" s="614"/>
      <c r="W831" s="614"/>
      <c r="X831" s="614"/>
      <c r="Y831" s="614"/>
      <c r="Z831" s="614"/>
      <c r="AA831" s="614"/>
      <c r="AB831" s="614"/>
      <c r="AC831" s="614"/>
    </row>
    <row r="832" spans="1:29" ht="12.75" customHeight="1">
      <c r="A832" s="319"/>
      <c r="B832" s="614"/>
      <c r="C832" s="319"/>
      <c r="D832" s="614"/>
      <c r="E832" s="614"/>
      <c r="F832" s="614"/>
      <c r="G832" s="614"/>
      <c r="H832" s="614"/>
      <c r="I832" s="614"/>
      <c r="J832" s="614"/>
      <c r="K832" s="614"/>
      <c r="L832" s="614"/>
      <c r="M832" s="614"/>
      <c r="N832" s="614"/>
      <c r="O832" s="614"/>
      <c r="P832" s="614"/>
      <c r="Q832" s="614"/>
      <c r="R832" s="614"/>
      <c r="S832" s="614"/>
      <c r="T832" s="614"/>
      <c r="U832" s="614"/>
      <c r="V832" s="614"/>
      <c r="W832" s="614"/>
      <c r="X832" s="614"/>
      <c r="Y832" s="614"/>
      <c r="Z832" s="614"/>
      <c r="AA832" s="614"/>
      <c r="AB832" s="614"/>
      <c r="AC832" s="614"/>
    </row>
    <row r="833" spans="1:29" ht="12.75" customHeight="1">
      <c r="A833" s="319"/>
      <c r="B833" s="614"/>
      <c r="C833" s="319"/>
      <c r="D833" s="614"/>
      <c r="E833" s="614"/>
      <c r="F833" s="614"/>
      <c r="G833" s="614"/>
      <c r="H833" s="614"/>
      <c r="I833" s="614"/>
      <c r="J833" s="614"/>
      <c r="K833" s="614"/>
      <c r="L833" s="614"/>
      <c r="M833" s="614"/>
      <c r="N833" s="614"/>
      <c r="O833" s="614"/>
      <c r="P833" s="614"/>
      <c r="Q833" s="614"/>
      <c r="R833" s="614"/>
      <c r="S833" s="614"/>
      <c r="T833" s="614"/>
      <c r="U833" s="614"/>
      <c r="V833" s="614"/>
      <c r="W833" s="614"/>
      <c r="X833" s="614"/>
      <c r="Y833" s="614"/>
      <c r="Z833" s="614"/>
      <c r="AA833" s="614"/>
      <c r="AB833" s="614"/>
      <c r="AC833" s="614"/>
    </row>
    <row r="834" spans="1:29" ht="12.75" customHeight="1">
      <c r="A834" s="319"/>
      <c r="B834" s="614"/>
      <c r="C834" s="319"/>
      <c r="D834" s="614"/>
      <c r="E834" s="614"/>
      <c r="F834" s="614"/>
      <c r="G834" s="614"/>
      <c r="H834" s="614"/>
      <c r="I834" s="614"/>
      <c r="J834" s="614"/>
      <c r="K834" s="614"/>
      <c r="L834" s="614"/>
      <c r="M834" s="614"/>
      <c r="N834" s="614"/>
      <c r="O834" s="614"/>
      <c r="P834" s="614"/>
      <c r="Q834" s="614"/>
      <c r="R834" s="614"/>
      <c r="S834" s="614"/>
      <c r="T834" s="614"/>
      <c r="U834" s="614"/>
      <c r="V834" s="614"/>
      <c r="W834" s="614"/>
      <c r="X834" s="614"/>
      <c r="Y834" s="614"/>
      <c r="Z834" s="614"/>
      <c r="AA834" s="614"/>
      <c r="AB834" s="614"/>
      <c r="AC834" s="614"/>
    </row>
    <row r="835" spans="1:29" ht="12.75" customHeight="1">
      <c r="A835" s="319"/>
      <c r="B835" s="614"/>
      <c r="C835" s="319"/>
      <c r="D835" s="614"/>
      <c r="E835" s="614"/>
      <c r="F835" s="614"/>
      <c r="G835" s="614"/>
      <c r="H835" s="614"/>
      <c r="I835" s="614"/>
      <c r="J835" s="614"/>
      <c r="K835" s="614"/>
      <c r="L835" s="614"/>
      <c r="M835" s="614"/>
      <c r="N835" s="614"/>
      <c r="O835" s="614"/>
      <c r="P835" s="614"/>
      <c r="Q835" s="614"/>
      <c r="R835" s="614"/>
      <c r="S835" s="614"/>
      <c r="T835" s="614"/>
      <c r="U835" s="614"/>
      <c r="V835" s="614"/>
      <c r="W835" s="614"/>
      <c r="X835" s="614"/>
      <c r="Y835" s="614"/>
      <c r="Z835" s="614"/>
      <c r="AA835" s="614"/>
      <c r="AB835" s="614"/>
      <c r="AC835" s="614"/>
    </row>
    <row r="836" spans="1:29" ht="12.75" customHeight="1">
      <c r="A836" s="319"/>
      <c r="B836" s="614"/>
      <c r="C836" s="319"/>
      <c r="D836" s="614"/>
      <c r="E836" s="614"/>
      <c r="F836" s="614"/>
      <c r="G836" s="614"/>
      <c r="H836" s="614"/>
      <c r="I836" s="614"/>
      <c r="J836" s="614"/>
      <c r="K836" s="614"/>
      <c r="L836" s="614"/>
      <c r="M836" s="614"/>
      <c r="N836" s="614"/>
      <c r="O836" s="614"/>
      <c r="P836" s="614"/>
      <c r="Q836" s="614"/>
      <c r="R836" s="614"/>
      <c r="S836" s="614"/>
      <c r="T836" s="614"/>
      <c r="U836" s="614"/>
      <c r="V836" s="614"/>
      <c r="W836" s="614"/>
      <c r="X836" s="614"/>
      <c r="Y836" s="614"/>
      <c r="Z836" s="614"/>
      <c r="AA836" s="614"/>
      <c r="AB836" s="614"/>
      <c r="AC836" s="614"/>
    </row>
    <row r="837" spans="1:29" ht="12.75" customHeight="1">
      <c r="A837" s="319"/>
      <c r="B837" s="614"/>
      <c r="C837" s="319"/>
      <c r="D837" s="614"/>
      <c r="E837" s="614"/>
      <c r="F837" s="614"/>
      <c r="G837" s="614"/>
      <c r="H837" s="614"/>
      <c r="I837" s="614"/>
      <c r="J837" s="614"/>
      <c r="K837" s="614"/>
      <c r="L837" s="614"/>
      <c r="M837" s="614"/>
      <c r="N837" s="614"/>
      <c r="O837" s="614"/>
      <c r="P837" s="614"/>
      <c r="Q837" s="614"/>
      <c r="R837" s="614"/>
      <c r="S837" s="614"/>
      <c r="T837" s="614"/>
      <c r="U837" s="614"/>
      <c r="V837" s="614"/>
      <c r="W837" s="614"/>
      <c r="X837" s="614"/>
      <c r="Y837" s="614"/>
      <c r="Z837" s="614"/>
      <c r="AA837" s="614"/>
      <c r="AB837" s="614"/>
      <c r="AC837" s="614"/>
    </row>
    <row r="838" spans="1:29" ht="12.75" customHeight="1">
      <c r="A838" s="319"/>
      <c r="B838" s="614"/>
      <c r="C838" s="319"/>
      <c r="D838" s="614"/>
      <c r="E838" s="614"/>
      <c r="F838" s="614"/>
      <c r="G838" s="614"/>
      <c r="H838" s="614"/>
      <c r="I838" s="614"/>
      <c r="J838" s="614"/>
      <c r="K838" s="614"/>
      <c r="L838" s="614"/>
      <c r="M838" s="614"/>
      <c r="N838" s="614"/>
      <c r="O838" s="614"/>
      <c r="P838" s="614"/>
      <c r="Q838" s="614"/>
      <c r="R838" s="614"/>
      <c r="S838" s="614"/>
      <c r="T838" s="614"/>
      <c r="U838" s="614"/>
      <c r="V838" s="614"/>
      <c r="W838" s="614"/>
      <c r="X838" s="614"/>
      <c r="Y838" s="614"/>
      <c r="Z838" s="614"/>
      <c r="AA838" s="614"/>
      <c r="AB838" s="614"/>
      <c r="AC838" s="614"/>
    </row>
    <row r="839" spans="1:29" ht="12.75" customHeight="1">
      <c r="A839" s="319"/>
      <c r="B839" s="614"/>
      <c r="C839" s="319"/>
      <c r="D839" s="614"/>
      <c r="E839" s="614"/>
      <c r="F839" s="614"/>
      <c r="G839" s="614"/>
      <c r="H839" s="614"/>
      <c r="I839" s="614"/>
      <c r="J839" s="614"/>
      <c r="K839" s="614"/>
      <c r="L839" s="614"/>
      <c r="M839" s="614"/>
      <c r="N839" s="614"/>
      <c r="O839" s="614"/>
      <c r="P839" s="614"/>
      <c r="Q839" s="614"/>
      <c r="R839" s="614"/>
      <c r="S839" s="614"/>
      <c r="T839" s="614"/>
      <c r="U839" s="614"/>
      <c r="V839" s="614"/>
      <c r="W839" s="614"/>
      <c r="X839" s="614"/>
      <c r="Y839" s="614"/>
      <c r="Z839" s="614"/>
      <c r="AA839" s="614"/>
      <c r="AB839" s="614"/>
      <c r="AC839" s="614"/>
    </row>
    <row r="840" spans="1:29" ht="12.75" customHeight="1">
      <c r="A840" s="319"/>
      <c r="B840" s="614"/>
      <c r="C840" s="319"/>
      <c r="D840" s="614"/>
      <c r="E840" s="614"/>
      <c r="F840" s="614"/>
      <c r="G840" s="614"/>
      <c r="H840" s="614"/>
      <c r="I840" s="614"/>
      <c r="J840" s="614"/>
      <c r="K840" s="614"/>
      <c r="L840" s="614"/>
      <c r="M840" s="614"/>
      <c r="N840" s="614"/>
      <c r="O840" s="614"/>
      <c r="P840" s="614"/>
      <c r="Q840" s="614"/>
      <c r="R840" s="614"/>
      <c r="S840" s="614"/>
      <c r="T840" s="614"/>
      <c r="U840" s="614"/>
      <c r="V840" s="614"/>
      <c r="W840" s="614"/>
      <c r="X840" s="614"/>
      <c r="Y840" s="614"/>
      <c r="Z840" s="614"/>
      <c r="AA840" s="614"/>
      <c r="AB840" s="614"/>
      <c r="AC840" s="614"/>
    </row>
    <row r="841" spans="1:29" ht="12.75" customHeight="1">
      <c r="A841" s="319"/>
      <c r="B841" s="614"/>
      <c r="C841" s="319"/>
      <c r="D841" s="614"/>
      <c r="E841" s="614"/>
      <c r="F841" s="614"/>
      <c r="G841" s="614"/>
      <c r="H841" s="614"/>
      <c r="I841" s="614"/>
      <c r="J841" s="614"/>
      <c r="K841" s="614"/>
      <c r="L841" s="614"/>
      <c r="M841" s="614"/>
      <c r="N841" s="614"/>
      <c r="O841" s="614"/>
      <c r="P841" s="614"/>
      <c r="Q841" s="614"/>
      <c r="R841" s="614"/>
      <c r="S841" s="614"/>
      <c r="T841" s="614"/>
      <c r="U841" s="614"/>
      <c r="V841" s="614"/>
      <c r="W841" s="614"/>
      <c r="X841" s="614"/>
      <c r="Y841" s="614"/>
      <c r="Z841" s="614"/>
      <c r="AA841" s="614"/>
      <c r="AB841" s="614"/>
      <c r="AC841" s="614"/>
    </row>
    <row r="842" spans="1:29" ht="12.75" customHeight="1">
      <c r="A842" s="319"/>
      <c r="B842" s="614"/>
      <c r="C842" s="319"/>
      <c r="D842" s="614"/>
      <c r="E842" s="614"/>
      <c r="F842" s="614"/>
      <c r="G842" s="614"/>
      <c r="H842" s="614"/>
      <c r="I842" s="614"/>
      <c r="J842" s="614"/>
      <c r="K842" s="614"/>
      <c r="L842" s="614"/>
      <c r="M842" s="614"/>
      <c r="N842" s="614"/>
      <c r="O842" s="614"/>
      <c r="P842" s="614"/>
      <c r="Q842" s="614"/>
      <c r="R842" s="614"/>
      <c r="S842" s="614"/>
      <c r="T842" s="614"/>
      <c r="U842" s="614"/>
      <c r="V842" s="614"/>
      <c r="W842" s="614"/>
      <c r="X842" s="614"/>
      <c r="Y842" s="614"/>
      <c r="Z842" s="614"/>
      <c r="AA842" s="614"/>
      <c r="AB842" s="614"/>
      <c r="AC842" s="614"/>
    </row>
    <row r="843" spans="1:29" ht="12.75" customHeight="1">
      <c r="A843" s="319"/>
      <c r="B843" s="614"/>
      <c r="C843" s="319"/>
      <c r="D843" s="614"/>
      <c r="E843" s="614"/>
      <c r="F843" s="614"/>
      <c r="G843" s="614"/>
      <c r="H843" s="614"/>
      <c r="I843" s="614"/>
      <c r="J843" s="614"/>
      <c r="K843" s="614"/>
      <c r="L843" s="614"/>
      <c r="M843" s="614"/>
      <c r="N843" s="614"/>
      <c r="O843" s="614"/>
      <c r="P843" s="614"/>
      <c r="Q843" s="614"/>
      <c r="R843" s="614"/>
      <c r="S843" s="614"/>
      <c r="T843" s="614"/>
      <c r="U843" s="614"/>
      <c r="V843" s="614"/>
      <c r="W843" s="614"/>
      <c r="X843" s="614"/>
      <c r="Y843" s="614"/>
      <c r="Z843" s="614"/>
      <c r="AA843" s="614"/>
      <c r="AB843" s="614"/>
      <c r="AC843" s="614"/>
    </row>
    <row r="844" spans="1:29" ht="12.75" customHeight="1">
      <c r="A844" s="319"/>
      <c r="B844" s="614"/>
      <c r="C844" s="319"/>
      <c r="D844" s="614"/>
      <c r="E844" s="614"/>
      <c r="F844" s="614"/>
      <c r="G844" s="614"/>
      <c r="H844" s="614"/>
      <c r="I844" s="614"/>
      <c r="J844" s="614"/>
      <c r="K844" s="614"/>
      <c r="L844" s="614"/>
      <c r="M844" s="614"/>
      <c r="N844" s="614"/>
      <c r="O844" s="614"/>
      <c r="P844" s="614"/>
      <c r="Q844" s="614"/>
      <c r="R844" s="614"/>
      <c r="S844" s="614"/>
      <c r="T844" s="614"/>
      <c r="U844" s="614"/>
      <c r="V844" s="614"/>
      <c r="W844" s="614"/>
      <c r="X844" s="614"/>
      <c r="Y844" s="614"/>
      <c r="Z844" s="614"/>
      <c r="AA844" s="614"/>
      <c r="AB844" s="614"/>
      <c r="AC844" s="614"/>
    </row>
    <row r="845" spans="1:29" ht="12.75" customHeight="1">
      <c r="A845" s="319"/>
      <c r="B845" s="614"/>
      <c r="C845" s="319"/>
      <c r="D845" s="614"/>
      <c r="E845" s="614"/>
      <c r="F845" s="614"/>
      <c r="G845" s="614"/>
      <c r="H845" s="614"/>
      <c r="I845" s="614"/>
      <c r="J845" s="614"/>
      <c r="K845" s="614"/>
      <c r="L845" s="614"/>
      <c r="M845" s="614"/>
      <c r="N845" s="614"/>
      <c r="O845" s="614"/>
      <c r="P845" s="614"/>
      <c r="Q845" s="614"/>
      <c r="R845" s="614"/>
      <c r="S845" s="614"/>
      <c r="T845" s="614"/>
      <c r="U845" s="614"/>
      <c r="V845" s="614"/>
      <c r="W845" s="614"/>
      <c r="X845" s="614"/>
      <c r="Y845" s="614"/>
      <c r="Z845" s="614"/>
      <c r="AA845" s="614"/>
      <c r="AB845" s="614"/>
      <c r="AC845" s="614"/>
    </row>
    <row r="846" spans="1:29" ht="12.75" customHeight="1">
      <c r="A846" s="319"/>
      <c r="B846" s="614"/>
      <c r="C846" s="319"/>
      <c r="D846" s="614"/>
      <c r="E846" s="614"/>
      <c r="F846" s="614"/>
      <c r="G846" s="614"/>
      <c r="H846" s="614"/>
      <c r="I846" s="614"/>
      <c r="J846" s="614"/>
      <c r="K846" s="614"/>
      <c r="L846" s="614"/>
      <c r="M846" s="614"/>
      <c r="N846" s="614"/>
      <c r="O846" s="614"/>
      <c r="P846" s="614"/>
      <c r="Q846" s="614"/>
      <c r="R846" s="614"/>
      <c r="S846" s="614"/>
      <c r="T846" s="614"/>
      <c r="U846" s="614"/>
      <c r="V846" s="614"/>
      <c r="W846" s="614"/>
      <c r="X846" s="614"/>
      <c r="Y846" s="614"/>
      <c r="Z846" s="614"/>
      <c r="AA846" s="614"/>
      <c r="AB846" s="614"/>
      <c r="AC846" s="614"/>
    </row>
    <row r="847" spans="1:29" ht="12.75" customHeight="1">
      <c r="A847" s="319"/>
      <c r="B847" s="614"/>
      <c r="C847" s="319"/>
      <c r="D847" s="614"/>
      <c r="E847" s="614"/>
      <c r="F847" s="614"/>
      <c r="G847" s="614"/>
      <c r="H847" s="614"/>
      <c r="I847" s="614"/>
      <c r="J847" s="614"/>
      <c r="K847" s="614"/>
      <c r="L847" s="614"/>
      <c r="M847" s="614"/>
      <c r="N847" s="614"/>
      <c r="O847" s="614"/>
      <c r="P847" s="614"/>
      <c r="Q847" s="614"/>
      <c r="R847" s="614"/>
      <c r="S847" s="614"/>
      <c r="T847" s="614"/>
      <c r="U847" s="614"/>
      <c r="V847" s="614"/>
      <c r="W847" s="614"/>
      <c r="X847" s="614"/>
      <c r="Y847" s="614"/>
      <c r="Z847" s="614"/>
      <c r="AA847" s="614"/>
      <c r="AB847" s="614"/>
      <c r="AC847" s="614"/>
    </row>
    <row r="848" spans="1:29" ht="12.75" customHeight="1">
      <c r="A848" s="319"/>
      <c r="B848" s="614"/>
      <c r="C848" s="319"/>
      <c r="D848" s="614"/>
      <c r="E848" s="614"/>
      <c r="F848" s="614"/>
      <c r="G848" s="614"/>
      <c r="H848" s="614"/>
      <c r="I848" s="614"/>
      <c r="J848" s="614"/>
      <c r="K848" s="614"/>
      <c r="L848" s="614"/>
      <c r="M848" s="614"/>
      <c r="N848" s="614"/>
      <c r="O848" s="614"/>
      <c r="P848" s="614"/>
      <c r="Q848" s="614"/>
      <c r="R848" s="614"/>
      <c r="S848" s="614"/>
      <c r="T848" s="614"/>
      <c r="U848" s="614"/>
      <c r="V848" s="614"/>
      <c r="W848" s="614"/>
      <c r="X848" s="614"/>
      <c r="Y848" s="614"/>
      <c r="Z848" s="614"/>
      <c r="AA848" s="614"/>
      <c r="AB848" s="614"/>
      <c r="AC848" s="614"/>
    </row>
    <row r="849" spans="1:29" ht="12.75" customHeight="1">
      <c r="A849" s="319"/>
      <c r="B849" s="614"/>
      <c r="C849" s="319"/>
      <c r="D849" s="614"/>
      <c r="E849" s="614"/>
      <c r="F849" s="614"/>
      <c r="G849" s="614"/>
      <c r="H849" s="614"/>
      <c r="I849" s="614"/>
      <c r="J849" s="614"/>
      <c r="K849" s="614"/>
      <c r="L849" s="614"/>
      <c r="M849" s="614"/>
      <c r="N849" s="614"/>
      <c r="O849" s="614"/>
      <c r="P849" s="614"/>
      <c r="Q849" s="614"/>
      <c r="R849" s="614"/>
      <c r="S849" s="614"/>
      <c r="T849" s="614"/>
      <c r="U849" s="614"/>
      <c r="V849" s="614"/>
      <c r="W849" s="614"/>
      <c r="X849" s="614"/>
      <c r="Y849" s="614"/>
      <c r="Z849" s="614"/>
      <c r="AA849" s="614"/>
      <c r="AB849" s="614"/>
      <c r="AC849" s="614"/>
    </row>
    <row r="850" spans="1:29" ht="12.75" customHeight="1">
      <c r="A850" s="319"/>
      <c r="B850" s="614"/>
      <c r="C850" s="319"/>
      <c r="D850" s="614"/>
      <c r="E850" s="614"/>
      <c r="F850" s="614"/>
      <c r="G850" s="614"/>
      <c r="H850" s="614"/>
      <c r="I850" s="614"/>
      <c r="J850" s="614"/>
      <c r="K850" s="614"/>
      <c r="L850" s="614"/>
      <c r="M850" s="614"/>
      <c r="N850" s="614"/>
      <c r="O850" s="614"/>
      <c r="P850" s="614"/>
      <c r="Q850" s="614"/>
      <c r="R850" s="614"/>
      <c r="S850" s="614"/>
      <c r="T850" s="614"/>
      <c r="U850" s="614"/>
      <c r="V850" s="614"/>
      <c r="W850" s="614"/>
      <c r="X850" s="614"/>
      <c r="Y850" s="614"/>
      <c r="Z850" s="614"/>
      <c r="AA850" s="614"/>
      <c r="AB850" s="614"/>
      <c r="AC850" s="614"/>
    </row>
    <row r="851" spans="1:29" ht="12.75" customHeight="1">
      <c r="A851" s="319"/>
      <c r="B851" s="614"/>
      <c r="C851" s="319"/>
      <c r="D851" s="614"/>
      <c r="E851" s="614"/>
      <c r="F851" s="614"/>
      <c r="G851" s="614"/>
      <c r="H851" s="614"/>
      <c r="I851" s="614"/>
      <c r="J851" s="614"/>
      <c r="K851" s="614"/>
      <c r="L851" s="614"/>
      <c r="M851" s="614"/>
      <c r="N851" s="614"/>
      <c r="O851" s="614"/>
      <c r="P851" s="614"/>
      <c r="Q851" s="614"/>
      <c r="R851" s="614"/>
      <c r="S851" s="614"/>
      <c r="T851" s="614"/>
      <c r="U851" s="614"/>
      <c r="V851" s="614"/>
      <c r="W851" s="614"/>
      <c r="X851" s="614"/>
      <c r="Y851" s="614"/>
      <c r="Z851" s="614"/>
      <c r="AA851" s="614"/>
      <c r="AB851" s="614"/>
      <c r="AC851" s="614"/>
    </row>
    <row r="852" spans="1:29" ht="12.75" customHeight="1">
      <c r="A852" s="319"/>
      <c r="B852" s="614"/>
      <c r="C852" s="319"/>
      <c r="D852" s="614"/>
      <c r="E852" s="614"/>
      <c r="F852" s="614"/>
      <c r="G852" s="614"/>
      <c r="H852" s="614"/>
      <c r="I852" s="614"/>
      <c r="J852" s="614"/>
      <c r="K852" s="614"/>
      <c r="L852" s="614"/>
      <c r="M852" s="614"/>
      <c r="N852" s="614"/>
      <c r="O852" s="614"/>
      <c r="P852" s="614"/>
      <c r="Q852" s="614"/>
      <c r="R852" s="614"/>
      <c r="S852" s="614"/>
      <c r="T852" s="614"/>
      <c r="U852" s="614"/>
      <c r="V852" s="614"/>
      <c r="W852" s="614"/>
      <c r="X852" s="614"/>
      <c r="Y852" s="614"/>
      <c r="Z852" s="614"/>
      <c r="AA852" s="614"/>
      <c r="AB852" s="614"/>
      <c r="AC852" s="614"/>
    </row>
    <row r="853" spans="1:29" ht="12.75" customHeight="1">
      <c r="A853" s="319"/>
      <c r="B853" s="614"/>
      <c r="C853" s="319"/>
      <c r="D853" s="614"/>
      <c r="E853" s="614"/>
      <c r="F853" s="614"/>
      <c r="G853" s="614"/>
      <c r="H853" s="614"/>
      <c r="I853" s="614"/>
      <c r="J853" s="614"/>
      <c r="K853" s="614"/>
      <c r="L853" s="614"/>
      <c r="M853" s="614"/>
      <c r="N853" s="614"/>
      <c r="O853" s="614"/>
      <c r="P853" s="614"/>
      <c r="Q853" s="614"/>
      <c r="R853" s="614"/>
      <c r="S853" s="614"/>
      <c r="T853" s="614"/>
      <c r="U853" s="614"/>
      <c r="V853" s="614"/>
      <c r="W853" s="614"/>
      <c r="X853" s="614"/>
      <c r="Y853" s="614"/>
      <c r="Z853" s="614"/>
      <c r="AA853" s="614"/>
      <c r="AB853" s="614"/>
      <c r="AC853" s="614"/>
    </row>
    <row r="854" spans="1:29" ht="12.75" customHeight="1">
      <c r="A854" s="319"/>
      <c r="B854" s="614"/>
      <c r="C854" s="319"/>
      <c r="D854" s="614"/>
      <c r="E854" s="614"/>
      <c r="F854" s="614"/>
      <c r="G854" s="614"/>
      <c r="H854" s="614"/>
      <c r="I854" s="614"/>
      <c r="J854" s="614"/>
      <c r="K854" s="614"/>
      <c r="L854" s="614"/>
      <c r="M854" s="614"/>
      <c r="N854" s="614"/>
      <c r="O854" s="614"/>
      <c r="P854" s="614"/>
      <c r="Q854" s="614"/>
      <c r="R854" s="614"/>
      <c r="S854" s="614"/>
      <c r="T854" s="614"/>
      <c r="U854" s="614"/>
      <c r="V854" s="614"/>
      <c r="W854" s="614"/>
      <c r="X854" s="614"/>
      <c r="Y854" s="614"/>
      <c r="Z854" s="614"/>
      <c r="AA854" s="614"/>
      <c r="AB854" s="614"/>
      <c r="AC854" s="614"/>
    </row>
    <row r="855" spans="1:29" ht="12.75" customHeight="1">
      <c r="A855" s="319"/>
      <c r="B855" s="614"/>
      <c r="C855" s="319"/>
      <c r="D855" s="614"/>
      <c r="E855" s="614"/>
      <c r="F855" s="614"/>
      <c r="G855" s="614"/>
      <c r="H855" s="614"/>
      <c r="I855" s="614"/>
      <c r="J855" s="614"/>
      <c r="K855" s="614"/>
      <c r="L855" s="614"/>
      <c r="M855" s="614"/>
      <c r="N855" s="614"/>
      <c r="O855" s="614"/>
      <c r="P855" s="614"/>
      <c r="Q855" s="614"/>
      <c r="R855" s="614"/>
      <c r="S855" s="614"/>
      <c r="T855" s="614"/>
      <c r="U855" s="614"/>
      <c r="V855" s="614"/>
      <c r="W855" s="614"/>
      <c r="X855" s="614"/>
      <c r="Y855" s="614"/>
      <c r="Z855" s="614"/>
      <c r="AA855" s="614"/>
      <c r="AB855" s="614"/>
      <c r="AC855" s="614"/>
    </row>
    <row r="856" spans="1:29" ht="12.75" customHeight="1">
      <c r="A856" s="319"/>
      <c r="B856" s="614"/>
      <c r="C856" s="319"/>
      <c r="D856" s="614"/>
      <c r="E856" s="614"/>
      <c r="F856" s="614"/>
      <c r="G856" s="614"/>
      <c r="H856" s="614"/>
      <c r="I856" s="614"/>
      <c r="J856" s="614"/>
      <c r="K856" s="614"/>
      <c r="L856" s="614"/>
      <c r="M856" s="614"/>
      <c r="N856" s="614"/>
      <c r="O856" s="614"/>
      <c r="P856" s="614"/>
      <c r="Q856" s="614"/>
      <c r="R856" s="614"/>
      <c r="S856" s="614"/>
      <c r="T856" s="614"/>
      <c r="U856" s="614"/>
      <c r="V856" s="614"/>
      <c r="W856" s="614"/>
      <c r="X856" s="614"/>
      <c r="Y856" s="614"/>
      <c r="Z856" s="614"/>
      <c r="AA856" s="614"/>
      <c r="AB856" s="614"/>
      <c r="AC856" s="614"/>
    </row>
    <row r="857" spans="1:29" ht="12.75" customHeight="1">
      <c r="A857" s="319"/>
      <c r="B857" s="614"/>
      <c r="C857" s="319"/>
      <c r="D857" s="614"/>
      <c r="E857" s="614"/>
      <c r="F857" s="614"/>
      <c r="G857" s="614"/>
      <c r="H857" s="614"/>
      <c r="I857" s="614"/>
      <c r="J857" s="614"/>
      <c r="K857" s="614"/>
      <c r="L857" s="614"/>
      <c r="M857" s="614"/>
      <c r="N857" s="614"/>
      <c r="O857" s="614"/>
      <c r="P857" s="614"/>
      <c r="Q857" s="614"/>
      <c r="R857" s="614"/>
      <c r="S857" s="614"/>
      <c r="T857" s="614"/>
      <c r="U857" s="614"/>
      <c r="V857" s="614"/>
      <c r="W857" s="614"/>
      <c r="X857" s="614"/>
      <c r="Y857" s="614"/>
      <c r="Z857" s="614"/>
      <c r="AA857" s="614"/>
      <c r="AB857" s="614"/>
      <c r="AC857" s="614"/>
    </row>
    <row r="858" spans="1:29" ht="12.75" customHeight="1">
      <c r="A858" s="319"/>
      <c r="B858" s="614"/>
      <c r="C858" s="319"/>
      <c r="D858" s="614"/>
      <c r="E858" s="614"/>
      <c r="F858" s="614"/>
      <c r="G858" s="614"/>
      <c r="H858" s="614"/>
      <c r="I858" s="614"/>
      <c r="J858" s="614"/>
      <c r="K858" s="614"/>
      <c r="L858" s="614"/>
      <c r="M858" s="614"/>
      <c r="N858" s="614"/>
      <c r="O858" s="614"/>
      <c r="P858" s="614"/>
      <c r="Q858" s="614"/>
      <c r="R858" s="614"/>
      <c r="S858" s="614"/>
      <c r="T858" s="614"/>
      <c r="U858" s="614"/>
      <c r="V858" s="614"/>
      <c r="W858" s="614"/>
      <c r="X858" s="614"/>
      <c r="Y858" s="614"/>
      <c r="Z858" s="614"/>
      <c r="AA858" s="614"/>
      <c r="AB858" s="614"/>
      <c r="AC858" s="614"/>
    </row>
    <row r="859" spans="1:29" ht="12.75" customHeight="1">
      <c r="A859" s="319"/>
      <c r="B859" s="614"/>
      <c r="C859" s="319"/>
      <c r="D859" s="614"/>
      <c r="E859" s="614"/>
      <c r="F859" s="614"/>
      <c r="G859" s="614"/>
      <c r="H859" s="614"/>
      <c r="I859" s="614"/>
      <c r="J859" s="614"/>
      <c r="K859" s="614"/>
      <c r="L859" s="614"/>
      <c r="M859" s="614"/>
      <c r="N859" s="614"/>
      <c r="O859" s="614"/>
      <c r="P859" s="614"/>
      <c r="Q859" s="614"/>
      <c r="R859" s="614"/>
      <c r="S859" s="614"/>
      <c r="T859" s="614"/>
      <c r="U859" s="614"/>
      <c r="V859" s="614"/>
      <c r="W859" s="614"/>
      <c r="X859" s="614"/>
      <c r="Y859" s="614"/>
      <c r="Z859" s="614"/>
      <c r="AA859" s="614"/>
      <c r="AB859" s="614"/>
      <c r="AC859" s="614"/>
    </row>
    <row r="860" spans="1:29" ht="12.75" customHeight="1">
      <c r="A860" s="319"/>
      <c r="B860" s="614"/>
      <c r="C860" s="319"/>
      <c r="D860" s="614"/>
      <c r="E860" s="614"/>
      <c r="F860" s="614"/>
      <c r="G860" s="614"/>
      <c r="H860" s="614"/>
      <c r="I860" s="614"/>
      <c r="J860" s="614"/>
      <c r="K860" s="614"/>
      <c r="L860" s="614"/>
      <c r="M860" s="614"/>
      <c r="N860" s="614"/>
      <c r="O860" s="614"/>
      <c r="P860" s="614"/>
      <c r="Q860" s="614"/>
      <c r="R860" s="614"/>
      <c r="S860" s="614"/>
      <c r="T860" s="614"/>
      <c r="U860" s="614"/>
      <c r="V860" s="614"/>
      <c r="W860" s="614"/>
      <c r="X860" s="614"/>
      <c r="Y860" s="614"/>
      <c r="Z860" s="614"/>
      <c r="AA860" s="614"/>
      <c r="AB860" s="614"/>
      <c r="AC860" s="614"/>
    </row>
    <row r="861" spans="1:29" ht="12.75" customHeight="1">
      <c r="A861" s="319"/>
      <c r="B861" s="614"/>
      <c r="C861" s="319"/>
      <c r="D861" s="614"/>
      <c r="E861" s="614"/>
      <c r="F861" s="614"/>
      <c r="G861" s="614"/>
      <c r="H861" s="614"/>
      <c r="I861" s="614"/>
      <c r="J861" s="614"/>
      <c r="K861" s="614"/>
      <c r="L861" s="614"/>
      <c r="M861" s="614"/>
      <c r="N861" s="614"/>
      <c r="O861" s="614"/>
      <c r="P861" s="614"/>
      <c r="Q861" s="614"/>
      <c r="R861" s="614"/>
      <c r="S861" s="614"/>
      <c r="T861" s="614"/>
      <c r="U861" s="614"/>
      <c r="V861" s="614"/>
      <c r="W861" s="614"/>
      <c r="X861" s="614"/>
      <c r="Y861" s="614"/>
      <c r="Z861" s="614"/>
      <c r="AA861" s="614"/>
      <c r="AB861" s="614"/>
      <c r="AC861" s="614"/>
    </row>
    <row r="862" spans="1:29" ht="12.75" customHeight="1">
      <c r="A862" s="319"/>
      <c r="B862" s="614"/>
      <c r="C862" s="319"/>
      <c r="D862" s="614"/>
      <c r="E862" s="614"/>
      <c r="F862" s="614"/>
      <c r="G862" s="614"/>
      <c r="H862" s="614"/>
      <c r="I862" s="614"/>
      <c r="J862" s="614"/>
      <c r="K862" s="614"/>
      <c r="L862" s="614"/>
      <c r="M862" s="614"/>
      <c r="N862" s="614"/>
      <c r="O862" s="614"/>
      <c r="P862" s="614"/>
      <c r="Q862" s="614"/>
      <c r="R862" s="614"/>
      <c r="S862" s="614"/>
      <c r="T862" s="614"/>
      <c r="U862" s="614"/>
      <c r="V862" s="614"/>
      <c r="W862" s="614"/>
      <c r="X862" s="614"/>
      <c r="Y862" s="614"/>
      <c r="Z862" s="614"/>
      <c r="AA862" s="614"/>
      <c r="AB862" s="614"/>
      <c r="AC862" s="614"/>
    </row>
    <row r="863" spans="1:29" ht="12.75" customHeight="1">
      <c r="A863" s="319"/>
      <c r="B863" s="614"/>
      <c r="C863" s="319"/>
      <c r="D863" s="614"/>
      <c r="E863" s="614"/>
      <c r="F863" s="614"/>
      <c r="G863" s="614"/>
      <c r="H863" s="614"/>
      <c r="I863" s="614"/>
      <c r="J863" s="614"/>
      <c r="K863" s="614"/>
      <c r="L863" s="614"/>
      <c r="M863" s="614"/>
      <c r="N863" s="614"/>
      <c r="O863" s="614"/>
      <c r="P863" s="614"/>
      <c r="Q863" s="614"/>
      <c r="R863" s="614"/>
      <c r="S863" s="614"/>
      <c r="T863" s="614"/>
      <c r="U863" s="614"/>
      <c r="V863" s="614"/>
      <c r="W863" s="614"/>
      <c r="X863" s="614"/>
      <c r="Y863" s="614"/>
      <c r="Z863" s="614"/>
      <c r="AA863" s="614"/>
      <c r="AB863" s="614"/>
      <c r="AC863" s="614"/>
    </row>
    <row r="864" spans="1:29" ht="12.75" customHeight="1">
      <c r="A864" s="319"/>
      <c r="B864" s="614"/>
      <c r="C864" s="319"/>
      <c r="D864" s="614"/>
      <c r="E864" s="614"/>
      <c r="F864" s="614"/>
      <c r="G864" s="614"/>
      <c r="H864" s="614"/>
      <c r="I864" s="614"/>
      <c r="J864" s="614"/>
      <c r="K864" s="614"/>
      <c r="L864" s="614"/>
      <c r="M864" s="614"/>
      <c r="N864" s="614"/>
      <c r="O864" s="614"/>
      <c r="P864" s="614"/>
      <c r="Q864" s="614"/>
      <c r="R864" s="614"/>
      <c r="S864" s="614"/>
      <c r="T864" s="614"/>
      <c r="U864" s="614"/>
      <c r="V864" s="614"/>
      <c r="W864" s="614"/>
      <c r="X864" s="614"/>
      <c r="Y864" s="614"/>
      <c r="Z864" s="614"/>
      <c r="AA864" s="614"/>
      <c r="AB864" s="614"/>
      <c r="AC864" s="614"/>
    </row>
    <row r="865" spans="1:29" ht="12.75" customHeight="1">
      <c r="A865" s="319"/>
      <c r="B865" s="614"/>
      <c r="C865" s="319"/>
      <c r="D865" s="614"/>
      <c r="E865" s="614"/>
      <c r="F865" s="614"/>
      <c r="G865" s="614"/>
      <c r="H865" s="614"/>
      <c r="I865" s="614"/>
      <c r="J865" s="614"/>
      <c r="K865" s="614"/>
      <c r="L865" s="614"/>
      <c r="M865" s="614"/>
      <c r="N865" s="614"/>
      <c r="O865" s="614"/>
      <c r="P865" s="614"/>
      <c r="Q865" s="614"/>
      <c r="R865" s="614"/>
      <c r="S865" s="614"/>
      <c r="T865" s="614"/>
      <c r="U865" s="614"/>
      <c r="V865" s="614"/>
      <c r="W865" s="614"/>
      <c r="X865" s="614"/>
      <c r="Y865" s="614"/>
      <c r="Z865" s="614"/>
      <c r="AA865" s="614"/>
      <c r="AB865" s="614"/>
      <c r="AC865" s="614"/>
    </row>
    <row r="866" spans="1:29" ht="12.75" customHeight="1">
      <c r="A866" s="319"/>
      <c r="B866" s="614"/>
      <c r="C866" s="319"/>
      <c r="D866" s="614"/>
      <c r="E866" s="614"/>
      <c r="F866" s="614"/>
      <c r="G866" s="614"/>
      <c r="H866" s="614"/>
      <c r="I866" s="614"/>
      <c r="J866" s="614"/>
      <c r="K866" s="614"/>
      <c r="L866" s="614"/>
      <c r="M866" s="614"/>
      <c r="N866" s="614"/>
      <c r="O866" s="614"/>
      <c r="P866" s="614"/>
      <c r="Q866" s="614"/>
      <c r="R866" s="614"/>
      <c r="S866" s="614"/>
      <c r="T866" s="614"/>
      <c r="U866" s="614"/>
      <c r="V866" s="614"/>
      <c r="W866" s="614"/>
      <c r="X866" s="614"/>
      <c r="Y866" s="614"/>
      <c r="Z866" s="614"/>
      <c r="AA866" s="614"/>
      <c r="AB866" s="614"/>
      <c r="AC866" s="614"/>
    </row>
    <row r="867" spans="1:29" ht="12.75" customHeight="1">
      <c r="A867" s="319"/>
      <c r="B867" s="614"/>
      <c r="C867" s="319"/>
      <c r="D867" s="614"/>
      <c r="E867" s="614"/>
      <c r="F867" s="614"/>
      <c r="G867" s="614"/>
      <c r="H867" s="614"/>
      <c r="I867" s="614"/>
      <c r="J867" s="614"/>
      <c r="K867" s="614"/>
      <c r="L867" s="614"/>
      <c r="M867" s="614"/>
      <c r="N867" s="614"/>
      <c r="O867" s="614"/>
      <c r="P867" s="614"/>
      <c r="Q867" s="614"/>
      <c r="R867" s="614"/>
      <c r="S867" s="614"/>
      <c r="T867" s="614"/>
      <c r="U867" s="614"/>
      <c r="V867" s="614"/>
      <c r="W867" s="614"/>
      <c r="X867" s="614"/>
      <c r="Y867" s="614"/>
      <c r="Z867" s="614"/>
      <c r="AA867" s="614"/>
      <c r="AB867" s="614"/>
      <c r="AC867" s="614"/>
    </row>
    <row r="868" spans="1:29" ht="12.75" customHeight="1">
      <c r="A868" s="319"/>
      <c r="B868" s="614"/>
      <c r="C868" s="319"/>
      <c r="D868" s="614"/>
      <c r="E868" s="614"/>
      <c r="F868" s="614"/>
      <c r="G868" s="614"/>
      <c r="H868" s="614"/>
      <c r="I868" s="614"/>
      <c r="J868" s="614"/>
      <c r="K868" s="614"/>
      <c r="L868" s="614"/>
      <c r="M868" s="614"/>
      <c r="N868" s="614"/>
      <c r="O868" s="614"/>
      <c r="P868" s="614"/>
      <c r="Q868" s="614"/>
      <c r="R868" s="614"/>
      <c r="S868" s="614"/>
      <c r="T868" s="614"/>
      <c r="U868" s="614"/>
      <c r="V868" s="614"/>
      <c r="W868" s="614"/>
      <c r="X868" s="614"/>
      <c r="Y868" s="614"/>
      <c r="Z868" s="614"/>
      <c r="AA868" s="614"/>
      <c r="AB868" s="614"/>
      <c r="AC868" s="614"/>
    </row>
    <row r="869" spans="1:29" ht="12.75" customHeight="1">
      <c r="A869" s="319"/>
      <c r="B869" s="614"/>
      <c r="C869" s="319"/>
      <c r="D869" s="614"/>
      <c r="E869" s="614"/>
      <c r="F869" s="614"/>
      <c r="G869" s="614"/>
      <c r="H869" s="614"/>
      <c r="I869" s="614"/>
      <c r="J869" s="614"/>
      <c r="K869" s="614"/>
      <c r="L869" s="614"/>
      <c r="M869" s="614"/>
      <c r="N869" s="614"/>
      <c r="O869" s="614"/>
      <c r="P869" s="614"/>
      <c r="Q869" s="614"/>
      <c r="R869" s="614"/>
      <c r="S869" s="614"/>
      <c r="T869" s="614"/>
      <c r="U869" s="614"/>
      <c r="V869" s="614"/>
      <c r="W869" s="614"/>
      <c r="X869" s="614"/>
      <c r="Y869" s="614"/>
      <c r="Z869" s="614"/>
      <c r="AA869" s="614"/>
      <c r="AB869" s="614"/>
      <c r="AC869" s="614"/>
    </row>
    <row r="870" spans="1:29" ht="12.75" customHeight="1">
      <c r="A870" s="319"/>
      <c r="B870" s="614"/>
      <c r="C870" s="319"/>
      <c r="D870" s="614"/>
      <c r="E870" s="614"/>
      <c r="F870" s="614"/>
      <c r="G870" s="614"/>
      <c r="H870" s="614"/>
      <c r="I870" s="614"/>
      <c r="J870" s="614"/>
      <c r="K870" s="614"/>
      <c r="L870" s="614"/>
      <c r="M870" s="614"/>
      <c r="N870" s="614"/>
      <c r="O870" s="614"/>
      <c r="P870" s="614"/>
      <c r="Q870" s="614"/>
      <c r="R870" s="614"/>
      <c r="S870" s="614"/>
      <c r="T870" s="614"/>
      <c r="U870" s="614"/>
      <c r="V870" s="614"/>
      <c r="W870" s="614"/>
      <c r="X870" s="614"/>
      <c r="Y870" s="614"/>
      <c r="Z870" s="614"/>
      <c r="AA870" s="614"/>
      <c r="AB870" s="614"/>
      <c r="AC870" s="614"/>
    </row>
    <row r="871" spans="1:29" ht="12.75" customHeight="1">
      <c r="A871" s="319"/>
      <c r="B871" s="614"/>
      <c r="C871" s="319"/>
      <c r="D871" s="614"/>
      <c r="E871" s="614"/>
      <c r="F871" s="614"/>
      <c r="G871" s="614"/>
      <c r="H871" s="614"/>
      <c r="I871" s="614"/>
      <c r="J871" s="614"/>
      <c r="K871" s="614"/>
      <c r="L871" s="614"/>
      <c r="M871" s="614"/>
      <c r="N871" s="614"/>
      <c r="O871" s="614"/>
      <c r="P871" s="614"/>
      <c r="Q871" s="614"/>
      <c r="R871" s="614"/>
      <c r="S871" s="614"/>
      <c r="T871" s="614"/>
      <c r="U871" s="614"/>
      <c r="V871" s="614"/>
      <c r="W871" s="614"/>
      <c r="X871" s="614"/>
      <c r="Y871" s="614"/>
      <c r="Z871" s="614"/>
      <c r="AA871" s="614"/>
      <c r="AB871" s="614"/>
      <c r="AC871" s="614"/>
    </row>
    <row r="872" spans="1:29" ht="12.75" customHeight="1">
      <c r="A872" s="319"/>
      <c r="B872" s="614"/>
      <c r="C872" s="319"/>
      <c r="D872" s="614"/>
      <c r="E872" s="614"/>
      <c r="F872" s="614"/>
      <c r="G872" s="614"/>
      <c r="H872" s="614"/>
      <c r="I872" s="614"/>
      <c r="J872" s="614"/>
      <c r="K872" s="614"/>
      <c r="L872" s="614"/>
      <c r="M872" s="614"/>
      <c r="N872" s="614"/>
      <c r="O872" s="614"/>
      <c r="P872" s="614"/>
      <c r="Q872" s="614"/>
      <c r="R872" s="614"/>
      <c r="S872" s="614"/>
      <c r="T872" s="614"/>
      <c r="U872" s="614"/>
      <c r="V872" s="614"/>
      <c r="W872" s="614"/>
      <c r="X872" s="614"/>
      <c r="Y872" s="614"/>
      <c r="Z872" s="614"/>
      <c r="AA872" s="614"/>
      <c r="AB872" s="614"/>
      <c r="AC872" s="614"/>
    </row>
    <row r="873" spans="1:29" ht="12.75" customHeight="1">
      <c r="A873" s="319"/>
      <c r="B873" s="614"/>
      <c r="C873" s="319"/>
      <c r="D873" s="614"/>
      <c r="E873" s="614"/>
      <c r="F873" s="614"/>
      <c r="G873" s="614"/>
      <c r="H873" s="614"/>
      <c r="I873" s="614"/>
      <c r="J873" s="614"/>
      <c r="K873" s="614"/>
      <c r="L873" s="614"/>
      <c r="M873" s="614"/>
      <c r="N873" s="614"/>
      <c r="O873" s="614"/>
      <c r="P873" s="614"/>
      <c r="Q873" s="614"/>
      <c r="R873" s="614"/>
      <c r="S873" s="614"/>
      <c r="T873" s="614"/>
      <c r="U873" s="614"/>
      <c r="V873" s="614"/>
      <c r="W873" s="614"/>
      <c r="X873" s="614"/>
      <c r="Y873" s="614"/>
      <c r="Z873" s="614"/>
      <c r="AA873" s="614"/>
      <c r="AB873" s="614"/>
      <c r="AC873" s="614"/>
    </row>
    <row r="874" spans="1:29" ht="12.75" customHeight="1">
      <c r="A874" s="319"/>
      <c r="B874" s="614"/>
      <c r="C874" s="319"/>
      <c r="D874" s="614"/>
      <c r="E874" s="614"/>
      <c r="F874" s="614"/>
      <c r="G874" s="614"/>
      <c r="H874" s="614"/>
      <c r="I874" s="614"/>
      <c r="J874" s="614"/>
      <c r="K874" s="614"/>
      <c r="L874" s="614"/>
      <c r="M874" s="614"/>
      <c r="N874" s="614"/>
      <c r="O874" s="614"/>
      <c r="P874" s="614"/>
      <c r="Q874" s="614"/>
      <c r="R874" s="614"/>
      <c r="S874" s="614"/>
      <c r="T874" s="614"/>
      <c r="U874" s="614"/>
      <c r="V874" s="614"/>
      <c r="W874" s="614"/>
      <c r="X874" s="614"/>
      <c r="Y874" s="614"/>
      <c r="Z874" s="614"/>
      <c r="AA874" s="614"/>
      <c r="AB874" s="614"/>
      <c r="AC874" s="614"/>
    </row>
    <row r="875" spans="1:29" ht="12.75" customHeight="1">
      <c r="A875" s="319"/>
      <c r="B875" s="614"/>
      <c r="C875" s="319"/>
      <c r="D875" s="614"/>
      <c r="E875" s="614"/>
      <c r="F875" s="614"/>
      <c r="G875" s="614"/>
      <c r="H875" s="614"/>
      <c r="I875" s="614"/>
      <c r="J875" s="614"/>
      <c r="K875" s="614"/>
      <c r="L875" s="614"/>
      <c r="M875" s="614"/>
      <c r="N875" s="614"/>
      <c r="O875" s="614"/>
      <c r="P875" s="614"/>
      <c r="Q875" s="614"/>
      <c r="R875" s="614"/>
      <c r="S875" s="614"/>
      <c r="T875" s="614"/>
      <c r="U875" s="614"/>
      <c r="V875" s="614"/>
      <c r="W875" s="614"/>
      <c r="X875" s="614"/>
      <c r="Y875" s="614"/>
      <c r="Z875" s="614"/>
      <c r="AA875" s="614"/>
      <c r="AB875" s="614"/>
      <c r="AC875" s="614"/>
    </row>
    <row r="876" spans="1:29" ht="12.75" customHeight="1">
      <c r="A876" s="319"/>
      <c r="B876" s="614"/>
      <c r="C876" s="319"/>
      <c r="D876" s="614"/>
      <c r="E876" s="614"/>
      <c r="F876" s="614"/>
      <c r="G876" s="614"/>
      <c r="H876" s="614"/>
      <c r="I876" s="614"/>
      <c r="J876" s="614"/>
      <c r="K876" s="614"/>
      <c r="L876" s="614"/>
      <c r="M876" s="614"/>
      <c r="N876" s="614"/>
      <c r="O876" s="614"/>
      <c r="P876" s="614"/>
      <c r="Q876" s="614"/>
      <c r="R876" s="614"/>
      <c r="S876" s="614"/>
      <c r="T876" s="614"/>
      <c r="U876" s="614"/>
      <c r="V876" s="614"/>
      <c r="W876" s="614"/>
      <c r="X876" s="614"/>
      <c r="Y876" s="614"/>
      <c r="Z876" s="614"/>
      <c r="AA876" s="614"/>
      <c r="AB876" s="614"/>
      <c r="AC876" s="614"/>
    </row>
    <row r="877" spans="1:29" ht="12.75" customHeight="1">
      <c r="A877" s="319"/>
      <c r="B877" s="614"/>
      <c r="C877" s="319"/>
      <c r="D877" s="614"/>
      <c r="E877" s="614"/>
      <c r="F877" s="614"/>
      <c r="G877" s="614"/>
      <c r="H877" s="614"/>
      <c r="I877" s="614"/>
      <c r="J877" s="614"/>
      <c r="K877" s="614"/>
      <c r="L877" s="614"/>
      <c r="M877" s="614"/>
      <c r="N877" s="614"/>
      <c r="O877" s="614"/>
      <c r="P877" s="614"/>
      <c r="Q877" s="614"/>
      <c r="R877" s="614"/>
      <c r="S877" s="614"/>
      <c r="T877" s="614"/>
      <c r="U877" s="614"/>
      <c r="V877" s="614"/>
      <c r="W877" s="614"/>
      <c r="X877" s="614"/>
      <c r="Y877" s="614"/>
      <c r="Z877" s="614"/>
      <c r="AA877" s="614"/>
      <c r="AB877" s="614"/>
      <c r="AC877" s="614"/>
    </row>
    <row r="878" spans="1:29" ht="12.75" customHeight="1">
      <c r="A878" s="319"/>
      <c r="B878" s="614"/>
      <c r="C878" s="319"/>
      <c r="D878" s="614"/>
      <c r="E878" s="614"/>
      <c r="F878" s="614"/>
      <c r="G878" s="614"/>
      <c r="H878" s="614"/>
      <c r="I878" s="614"/>
      <c r="J878" s="614"/>
      <c r="K878" s="614"/>
      <c r="L878" s="614"/>
      <c r="M878" s="614"/>
      <c r="N878" s="614"/>
      <c r="O878" s="614"/>
      <c r="P878" s="614"/>
      <c r="Q878" s="614"/>
      <c r="R878" s="614"/>
      <c r="S878" s="614"/>
      <c r="T878" s="614"/>
      <c r="U878" s="614"/>
      <c r="V878" s="614"/>
      <c r="W878" s="614"/>
      <c r="X878" s="614"/>
      <c r="Y878" s="614"/>
      <c r="Z878" s="614"/>
      <c r="AA878" s="614"/>
      <c r="AB878" s="614"/>
      <c r="AC878" s="614"/>
    </row>
    <row r="879" spans="1:29" ht="12.75" customHeight="1">
      <c r="A879" s="319"/>
      <c r="B879" s="614"/>
      <c r="C879" s="319"/>
      <c r="D879" s="614"/>
      <c r="E879" s="614"/>
      <c r="F879" s="614"/>
      <c r="G879" s="614"/>
      <c r="H879" s="614"/>
      <c r="I879" s="614"/>
      <c r="J879" s="614"/>
      <c r="K879" s="614"/>
      <c r="L879" s="614"/>
      <c r="M879" s="614"/>
      <c r="N879" s="614"/>
      <c r="O879" s="614"/>
      <c r="P879" s="614"/>
      <c r="Q879" s="614"/>
      <c r="R879" s="614"/>
      <c r="S879" s="614"/>
      <c r="T879" s="614"/>
      <c r="U879" s="614"/>
      <c r="V879" s="614"/>
      <c r="W879" s="614"/>
      <c r="X879" s="614"/>
      <c r="Y879" s="614"/>
      <c r="Z879" s="614"/>
      <c r="AA879" s="614"/>
      <c r="AB879" s="614"/>
      <c r="AC879" s="614"/>
    </row>
    <row r="880" spans="1:29" ht="12.75" customHeight="1">
      <c r="A880" s="319"/>
      <c r="B880" s="614"/>
      <c r="C880" s="319"/>
      <c r="D880" s="614"/>
      <c r="E880" s="614"/>
      <c r="F880" s="614"/>
      <c r="G880" s="614"/>
      <c r="H880" s="614"/>
      <c r="I880" s="614"/>
      <c r="J880" s="614"/>
      <c r="K880" s="614"/>
      <c r="L880" s="614"/>
      <c r="M880" s="614"/>
      <c r="N880" s="614"/>
      <c r="O880" s="614"/>
      <c r="P880" s="614"/>
      <c r="Q880" s="614"/>
      <c r="R880" s="614"/>
      <c r="S880" s="614"/>
      <c r="T880" s="614"/>
      <c r="U880" s="614"/>
      <c r="V880" s="614"/>
      <c r="W880" s="614"/>
      <c r="X880" s="614"/>
      <c r="Y880" s="614"/>
      <c r="Z880" s="614"/>
      <c r="AA880" s="614"/>
      <c r="AB880" s="614"/>
      <c r="AC880" s="614"/>
    </row>
    <row r="881" spans="1:29" ht="12.75" customHeight="1">
      <c r="A881" s="319"/>
      <c r="B881" s="614"/>
      <c r="C881" s="319"/>
      <c r="D881" s="614"/>
      <c r="E881" s="614"/>
      <c r="F881" s="614"/>
      <c r="G881" s="614"/>
      <c r="H881" s="614"/>
      <c r="I881" s="614"/>
      <c r="J881" s="614"/>
      <c r="K881" s="614"/>
      <c r="L881" s="614"/>
      <c r="M881" s="614"/>
      <c r="N881" s="614"/>
      <c r="O881" s="614"/>
      <c r="P881" s="614"/>
      <c r="Q881" s="614"/>
      <c r="R881" s="614"/>
      <c r="S881" s="614"/>
      <c r="T881" s="614"/>
      <c r="U881" s="614"/>
      <c r="V881" s="614"/>
      <c r="W881" s="614"/>
      <c r="X881" s="614"/>
      <c r="Y881" s="614"/>
      <c r="Z881" s="614"/>
      <c r="AA881" s="614"/>
      <c r="AB881" s="614"/>
      <c r="AC881" s="614"/>
    </row>
    <row r="882" spans="1:29" ht="12.75" customHeight="1">
      <c r="A882" s="319"/>
      <c r="B882" s="614"/>
      <c r="C882" s="319"/>
      <c r="D882" s="614"/>
      <c r="E882" s="614"/>
      <c r="F882" s="614"/>
      <c r="G882" s="614"/>
      <c r="H882" s="614"/>
      <c r="I882" s="614"/>
      <c r="J882" s="614"/>
      <c r="K882" s="614"/>
      <c r="L882" s="614"/>
      <c r="M882" s="614"/>
      <c r="N882" s="614"/>
      <c r="O882" s="614"/>
      <c r="P882" s="614"/>
      <c r="Q882" s="614"/>
      <c r="R882" s="614"/>
      <c r="S882" s="614"/>
      <c r="T882" s="614"/>
      <c r="U882" s="614"/>
      <c r="V882" s="614"/>
      <c r="W882" s="614"/>
      <c r="X882" s="614"/>
      <c r="Y882" s="614"/>
      <c r="Z882" s="614"/>
      <c r="AA882" s="614"/>
      <c r="AB882" s="614"/>
      <c r="AC882" s="614"/>
    </row>
    <row r="883" spans="1:29" ht="12.75" customHeight="1">
      <c r="A883" s="319"/>
      <c r="B883" s="614"/>
      <c r="C883" s="319"/>
      <c r="D883" s="614"/>
      <c r="E883" s="614"/>
      <c r="F883" s="614"/>
      <c r="G883" s="614"/>
      <c r="H883" s="614"/>
      <c r="I883" s="614"/>
      <c r="J883" s="614"/>
      <c r="K883" s="614"/>
      <c r="L883" s="614"/>
      <c r="M883" s="614"/>
      <c r="N883" s="614"/>
      <c r="O883" s="614"/>
      <c r="P883" s="614"/>
      <c r="Q883" s="614"/>
      <c r="R883" s="614"/>
      <c r="S883" s="614"/>
      <c r="T883" s="614"/>
      <c r="U883" s="614"/>
      <c r="V883" s="614"/>
      <c r="W883" s="614"/>
      <c r="X883" s="614"/>
      <c r="Y883" s="614"/>
      <c r="Z883" s="614"/>
      <c r="AA883" s="614"/>
      <c r="AB883" s="614"/>
      <c r="AC883" s="614"/>
    </row>
    <row r="884" spans="1:29" ht="12.75" customHeight="1">
      <c r="A884" s="319"/>
      <c r="B884" s="614"/>
      <c r="C884" s="319"/>
      <c r="D884" s="614"/>
      <c r="E884" s="614"/>
      <c r="F884" s="614"/>
      <c r="G884" s="614"/>
      <c r="H884" s="614"/>
      <c r="I884" s="614"/>
      <c r="J884" s="614"/>
      <c r="K884" s="614"/>
      <c r="L884" s="614"/>
      <c r="M884" s="614"/>
      <c r="N884" s="614"/>
      <c r="O884" s="614"/>
      <c r="P884" s="614"/>
      <c r="Q884" s="614"/>
      <c r="R884" s="614"/>
      <c r="S884" s="614"/>
      <c r="T884" s="614"/>
      <c r="U884" s="614"/>
      <c r="V884" s="614"/>
      <c r="W884" s="614"/>
      <c r="X884" s="614"/>
      <c r="Y884" s="614"/>
      <c r="Z884" s="614"/>
      <c r="AA884" s="614"/>
      <c r="AB884" s="614"/>
      <c r="AC884" s="614"/>
    </row>
    <row r="885" spans="1:29" ht="12.75" customHeight="1">
      <c r="A885" s="319"/>
      <c r="B885" s="614"/>
      <c r="C885" s="319"/>
      <c r="D885" s="614"/>
      <c r="E885" s="614"/>
      <c r="F885" s="614"/>
      <c r="G885" s="614"/>
      <c r="H885" s="614"/>
      <c r="I885" s="614"/>
      <c r="J885" s="614"/>
      <c r="K885" s="614"/>
      <c r="L885" s="614"/>
      <c r="M885" s="614"/>
      <c r="N885" s="614"/>
      <c r="O885" s="614"/>
      <c r="P885" s="614"/>
      <c r="Q885" s="614"/>
      <c r="R885" s="614"/>
      <c r="S885" s="614"/>
      <c r="T885" s="614"/>
      <c r="U885" s="614"/>
      <c r="V885" s="614"/>
      <c r="W885" s="614"/>
      <c r="X885" s="614"/>
      <c r="Y885" s="614"/>
      <c r="Z885" s="614"/>
      <c r="AA885" s="614"/>
      <c r="AB885" s="614"/>
      <c r="AC885" s="614"/>
    </row>
    <row r="886" spans="1:29" ht="12.75" customHeight="1">
      <c r="A886" s="319"/>
      <c r="B886" s="614"/>
      <c r="C886" s="319"/>
      <c r="D886" s="614"/>
      <c r="E886" s="614"/>
      <c r="F886" s="614"/>
      <c r="G886" s="614"/>
      <c r="H886" s="614"/>
      <c r="I886" s="614"/>
      <c r="J886" s="614"/>
      <c r="K886" s="614"/>
      <c r="L886" s="614"/>
      <c r="M886" s="614"/>
      <c r="N886" s="614"/>
      <c r="O886" s="614"/>
      <c r="P886" s="614"/>
      <c r="Q886" s="614"/>
      <c r="R886" s="614"/>
      <c r="S886" s="614"/>
      <c r="T886" s="614"/>
      <c r="U886" s="614"/>
      <c r="V886" s="614"/>
      <c r="W886" s="614"/>
      <c r="X886" s="614"/>
      <c r="Y886" s="614"/>
      <c r="Z886" s="614"/>
      <c r="AA886" s="614"/>
      <c r="AB886" s="614"/>
      <c r="AC886" s="614"/>
    </row>
    <row r="887" spans="1:29" ht="12.75" customHeight="1">
      <c r="A887" s="319"/>
      <c r="B887" s="614"/>
      <c r="C887" s="319"/>
      <c r="D887" s="614"/>
      <c r="E887" s="614"/>
      <c r="F887" s="614"/>
      <c r="G887" s="614"/>
      <c r="H887" s="614"/>
      <c r="I887" s="614"/>
      <c r="J887" s="614"/>
      <c r="K887" s="614"/>
      <c r="L887" s="614"/>
      <c r="M887" s="614"/>
      <c r="N887" s="614"/>
      <c r="O887" s="614"/>
      <c r="P887" s="614"/>
      <c r="Q887" s="614"/>
      <c r="R887" s="614"/>
      <c r="S887" s="614"/>
      <c r="T887" s="614"/>
      <c r="U887" s="614"/>
      <c r="V887" s="614"/>
      <c r="W887" s="614"/>
      <c r="X887" s="614"/>
      <c r="Y887" s="614"/>
      <c r="Z887" s="614"/>
      <c r="AA887" s="614"/>
      <c r="AB887" s="614"/>
      <c r="AC887" s="614"/>
    </row>
    <row r="888" spans="1:29" ht="12.75" customHeight="1">
      <c r="A888" s="319"/>
      <c r="B888" s="614"/>
      <c r="C888" s="319"/>
      <c r="D888" s="614"/>
      <c r="E888" s="614"/>
      <c r="F888" s="614"/>
      <c r="G888" s="614"/>
      <c r="H888" s="614"/>
      <c r="I888" s="614"/>
      <c r="J888" s="614"/>
      <c r="K888" s="614"/>
      <c r="L888" s="614"/>
      <c r="M888" s="614"/>
      <c r="N888" s="614"/>
      <c r="O888" s="614"/>
      <c r="P888" s="614"/>
      <c r="Q888" s="614"/>
      <c r="R888" s="614"/>
      <c r="S888" s="614"/>
      <c r="T888" s="614"/>
      <c r="U888" s="614"/>
      <c r="V888" s="614"/>
      <c r="W888" s="614"/>
      <c r="X888" s="614"/>
      <c r="Y888" s="614"/>
      <c r="Z888" s="614"/>
      <c r="AA888" s="614"/>
      <c r="AB888" s="614"/>
      <c r="AC888" s="614"/>
    </row>
    <row r="889" spans="1:29" ht="12.75" customHeight="1">
      <c r="A889" s="319"/>
      <c r="B889" s="614"/>
      <c r="C889" s="319"/>
      <c r="D889" s="614"/>
      <c r="E889" s="614"/>
      <c r="F889" s="614"/>
      <c r="G889" s="614"/>
      <c r="H889" s="614"/>
      <c r="I889" s="614"/>
      <c r="J889" s="614"/>
      <c r="K889" s="614"/>
      <c r="L889" s="614"/>
      <c r="M889" s="614"/>
      <c r="N889" s="614"/>
      <c r="O889" s="614"/>
      <c r="P889" s="614"/>
      <c r="Q889" s="614"/>
      <c r="R889" s="614"/>
      <c r="S889" s="614"/>
      <c r="T889" s="614"/>
      <c r="U889" s="614"/>
      <c r="V889" s="614"/>
      <c r="W889" s="614"/>
      <c r="X889" s="614"/>
      <c r="Y889" s="614"/>
      <c r="Z889" s="614"/>
      <c r="AA889" s="614"/>
      <c r="AB889" s="614"/>
      <c r="AC889" s="614"/>
    </row>
    <row r="890" spans="1:29" ht="12.75" customHeight="1">
      <c r="A890" s="319"/>
      <c r="B890" s="614"/>
      <c r="C890" s="319"/>
      <c r="D890" s="614"/>
      <c r="E890" s="614"/>
      <c r="F890" s="614"/>
      <c r="G890" s="614"/>
      <c r="H890" s="614"/>
      <c r="I890" s="614"/>
      <c r="J890" s="614"/>
      <c r="K890" s="614"/>
      <c r="L890" s="614"/>
      <c r="M890" s="614"/>
      <c r="N890" s="614"/>
      <c r="O890" s="614"/>
      <c r="P890" s="614"/>
      <c r="Q890" s="614"/>
      <c r="R890" s="614"/>
      <c r="S890" s="614"/>
      <c r="T890" s="614"/>
      <c r="U890" s="614"/>
      <c r="V890" s="614"/>
      <c r="W890" s="614"/>
      <c r="X890" s="614"/>
      <c r="Y890" s="614"/>
      <c r="Z890" s="614"/>
      <c r="AA890" s="614"/>
      <c r="AB890" s="614"/>
      <c r="AC890" s="614"/>
    </row>
    <row r="891" spans="1:29" ht="12.75" customHeight="1">
      <c r="A891" s="319"/>
      <c r="B891" s="614"/>
      <c r="C891" s="319"/>
      <c r="D891" s="614"/>
      <c r="E891" s="614"/>
      <c r="F891" s="614"/>
      <c r="G891" s="614"/>
      <c r="H891" s="614"/>
      <c r="I891" s="614"/>
      <c r="J891" s="614"/>
      <c r="K891" s="614"/>
      <c r="L891" s="614"/>
      <c r="M891" s="614"/>
      <c r="N891" s="614"/>
      <c r="O891" s="614"/>
      <c r="P891" s="614"/>
      <c r="Q891" s="614"/>
      <c r="R891" s="614"/>
      <c r="S891" s="614"/>
      <c r="T891" s="614"/>
      <c r="U891" s="614"/>
      <c r="V891" s="614"/>
      <c r="W891" s="614"/>
      <c r="X891" s="614"/>
      <c r="Y891" s="614"/>
      <c r="Z891" s="614"/>
      <c r="AA891" s="614"/>
      <c r="AB891" s="614"/>
      <c r="AC891" s="614"/>
    </row>
    <row r="892" spans="1:29" ht="12.75" customHeight="1">
      <c r="A892" s="319"/>
      <c r="B892" s="614"/>
      <c r="C892" s="319"/>
      <c r="D892" s="614"/>
      <c r="E892" s="614"/>
      <c r="F892" s="614"/>
      <c r="G892" s="614"/>
      <c r="H892" s="614"/>
      <c r="I892" s="614"/>
      <c r="J892" s="614"/>
      <c r="K892" s="614"/>
      <c r="L892" s="614"/>
      <c r="M892" s="614"/>
      <c r="N892" s="614"/>
      <c r="O892" s="614"/>
      <c r="P892" s="614"/>
      <c r="Q892" s="614"/>
      <c r="R892" s="614"/>
      <c r="S892" s="614"/>
      <c r="T892" s="614"/>
      <c r="U892" s="614"/>
      <c r="V892" s="614"/>
      <c r="W892" s="614"/>
      <c r="X892" s="614"/>
      <c r="Y892" s="614"/>
      <c r="Z892" s="614"/>
      <c r="AA892" s="614"/>
      <c r="AB892" s="614"/>
      <c r="AC892" s="614"/>
    </row>
    <row r="893" spans="1:29" ht="12.75" customHeight="1">
      <c r="A893" s="319"/>
      <c r="B893" s="614"/>
      <c r="C893" s="319"/>
      <c r="D893" s="614"/>
      <c r="E893" s="614"/>
      <c r="F893" s="614"/>
      <c r="G893" s="614"/>
      <c r="H893" s="614"/>
      <c r="I893" s="614"/>
      <c r="J893" s="614"/>
      <c r="K893" s="614"/>
      <c r="L893" s="614"/>
      <c r="M893" s="614"/>
      <c r="N893" s="614"/>
      <c r="O893" s="614"/>
      <c r="P893" s="614"/>
      <c r="Q893" s="614"/>
      <c r="R893" s="614"/>
      <c r="S893" s="614"/>
      <c r="T893" s="614"/>
      <c r="U893" s="614"/>
      <c r="V893" s="614"/>
      <c r="W893" s="614"/>
      <c r="X893" s="614"/>
      <c r="Y893" s="614"/>
      <c r="Z893" s="614"/>
      <c r="AA893" s="614"/>
      <c r="AB893" s="614"/>
      <c r="AC893" s="614"/>
    </row>
    <row r="894" spans="1:29" ht="12.75" customHeight="1">
      <c r="A894" s="319"/>
      <c r="B894" s="614"/>
      <c r="C894" s="319"/>
      <c r="D894" s="614"/>
      <c r="E894" s="614"/>
      <c r="F894" s="614"/>
      <c r="G894" s="614"/>
      <c r="H894" s="614"/>
      <c r="I894" s="614"/>
      <c r="J894" s="614"/>
      <c r="K894" s="614"/>
      <c r="L894" s="614"/>
      <c r="M894" s="614"/>
      <c r="N894" s="614"/>
      <c r="O894" s="614"/>
      <c r="P894" s="614"/>
      <c r="Q894" s="614"/>
      <c r="R894" s="614"/>
      <c r="S894" s="614"/>
      <c r="T894" s="614"/>
      <c r="U894" s="614"/>
      <c r="V894" s="614"/>
      <c r="W894" s="614"/>
      <c r="X894" s="614"/>
      <c r="Y894" s="614"/>
      <c r="Z894" s="614"/>
      <c r="AA894" s="614"/>
      <c r="AB894" s="614"/>
      <c r="AC894" s="614"/>
    </row>
    <row r="895" spans="1:29" ht="12.75" customHeight="1">
      <c r="A895" s="319"/>
      <c r="B895" s="614"/>
      <c r="C895" s="319"/>
      <c r="D895" s="614"/>
      <c r="E895" s="614"/>
      <c r="F895" s="614"/>
      <c r="G895" s="614"/>
      <c r="H895" s="614"/>
      <c r="I895" s="614"/>
      <c r="J895" s="614"/>
      <c r="K895" s="614"/>
      <c r="L895" s="614"/>
      <c r="M895" s="614"/>
      <c r="N895" s="614"/>
      <c r="O895" s="614"/>
      <c r="P895" s="614"/>
      <c r="Q895" s="614"/>
      <c r="R895" s="614"/>
      <c r="S895" s="614"/>
      <c r="T895" s="614"/>
      <c r="U895" s="614"/>
      <c r="V895" s="614"/>
      <c r="W895" s="614"/>
      <c r="X895" s="614"/>
      <c r="Y895" s="614"/>
      <c r="Z895" s="614"/>
      <c r="AA895" s="614"/>
      <c r="AB895" s="614"/>
      <c r="AC895" s="614"/>
    </row>
    <row r="896" spans="1:29" ht="12.75" customHeight="1">
      <c r="A896" s="319"/>
      <c r="B896" s="614"/>
      <c r="C896" s="319"/>
      <c r="D896" s="614"/>
      <c r="E896" s="614"/>
      <c r="F896" s="614"/>
      <c r="G896" s="614"/>
      <c r="H896" s="614"/>
      <c r="I896" s="614"/>
      <c r="J896" s="614"/>
      <c r="K896" s="614"/>
      <c r="L896" s="614"/>
      <c r="M896" s="614"/>
      <c r="N896" s="614"/>
      <c r="O896" s="614"/>
      <c r="P896" s="614"/>
      <c r="Q896" s="614"/>
      <c r="R896" s="614"/>
      <c r="S896" s="614"/>
      <c r="T896" s="614"/>
      <c r="U896" s="614"/>
      <c r="V896" s="614"/>
      <c r="W896" s="614"/>
      <c r="X896" s="614"/>
      <c r="Y896" s="614"/>
      <c r="Z896" s="614"/>
      <c r="AA896" s="614"/>
      <c r="AB896" s="614"/>
      <c r="AC896" s="614"/>
    </row>
    <row r="897" spans="1:29" ht="12.75" customHeight="1">
      <c r="A897" s="319"/>
      <c r="B897" s="614"/>
      <c r="C897" s="319"/>
      <c r="D897" s="614"/>
      <c r="E897" s="614"/>
      <c r="F897" s="614"/>
      <c r="G897" s="614"/>
      <c r="H897" s="614"/>
      <c r="I897" s="614"/>
      <c r="J897" s="614"/>
      <c r="K897" s="614"/>
      <c r="L897" s="614"/>
      <c r="M897" s="614"/>
      <c r="N897" s="614"/>
      <c r="O897" s="614"/>
      <c r="P897" s="614"/>
      <c r="Q897" s="614"/>
      <c r="R897" s="614"/>
      <c r="S897" s="614"/>
      <c r="T897" s="614"/>
      <c r="U897" s="614"/>
      <c r="V897" s="614"/>
      <c r="W897" s="614"/>
      <c r="X897" s="614"/>
      <c r="Y897" s="614"/>
      <c r="Z897" s="614"/>
      <c r="AA897" s="614"/>
      <c r="AB897" s="614"/>
      <c r="AC897" s="614"/>
    </row>
    <row r="898" spans="1:29" ht="12.75" customHeight="1">
      <c r="A898" s="319"/>
      <c r="B898" s="614"/>
      <c r="C898" s="319"/>
      <c r="D898" s="614"/>
      <c r="E898" s="614"/>
      <c r="F898" s="614"/>
      <c r="G898" s="614"/>
      <c r="H898" s="614"/>
      <c r="I898" s="614"/>
      <c r="J898" s="614"/>
      <c r="K898" s="614"/>
      <c r="L898" s="614"/>
      <c r="M898" s="614"/>
      <c r="N898" s="614"/>
      <c r="O898" s="614"/>
      <c r="P898" s="614"/>
      <c r="Q898" s="614"/>
      <c r="R898" s="614"/>
      <c r="S898" s="614"/>
      <c r="T898" s="614"/>
      <c r="U898" s="614"/>
      <c r="V898" s="614"/>
      <c r="W898" s="614"/>
      <c r="X898" s="614"/>
      <c r="Y898" s="614"/>
      <c r="Z898" s="614"/>
      <c r="AA898" s="614"/>
      <c r="AB898" s="614"/>
      <c r="AC898" s="614"/>
    </row>
    <row r="899" spans="1:29" ht="12.75" customHeight="1">
      <c r="A899" s="319"/>
      <c r="B899" s="614"/>
      <c r="C899" s="319"/>
      <c r="D899" s="614"/>
      <c r="E899" s="614"/>
      <c r="F899" s="614"/>
      <c r="G899" s="614"/>
      <c r="H899" s="614"/>
      <c r="I899" s="614"/>
      <c r="J899" s="614"/>
      <c r="K899" s="614"/>
      <c r="L899" s="614"/>
      <c r="M899" s="614"/>
      <c r="N899" s="614"/>
      <c r="O899" s="614"/>
      <c r="P899" s="614"/>
      <c r="Q899" s="614"/>
      <c r="R899" s="614"/>
      <c r="S899" s="614"/>
      <c r="T899" s="614"/>
      <c r="U899" s="614"/>
      <c r="V899" s="614"/>
      <c r="W899" s="614"/>
      <c r="X899" s="614"/>
      <c r="Y899" s="614"/>
      <c r="Z899" s="614"/>
      <c r="AA899" s="614"/>
      <c r="AB899" s="614"/>
      <c r="AC899" s="614"/>
    </row>
    <row r="900" spans="1:29" ht="12.75" customHeight="1">
      <c r="A900" s="319"/>
      <c r="B900" s="614"/>
      <c r="C900" s="319"/>
      <c r="D900" s="614"/>
      <c r="E900" s="614"/>
      <c r="F900" s="614"/>
      <c r="G900" s="614"/>
      <c r="H900" s="614"/>
      <c r="I900" s="614"/>
      <c r="J900" s="614"/>
      <c r="K900" s="614"/>
      <c r="L900" s="614"/>
      <c r="M900" s="614"/>
      <c r="N900" s="614"/>
      <c r="O900" s="614"/>
      <c r="P900" s="614"/>
      <c r="Q900" s="614"/>
      <c r="R900" s="614"/>
      <c r="S900" s="614"/>
      <c r="T900" s="614"/>
      <c r="U900" s="614"/>
      <c r="V900" s="614"/>
      <c r="W900" s="614"/>
      <c r="X900" s="614"/>
      <c r="Y900" s="614"/>
      <c r="Z900" s="614"/>
      <c r="AA900" s="614"/>
      <c r="AB900" s="614"/>
      <c r="AC900" s="614"/>
    </row>
    <row r="901" spans="1:29" ht="12.75" customHeight="1">
      <c r="A901" s="319"/>
      <c r="B901" s="614"/>
      <c r="C901" s="319"/>
      <c r="D901" s="614"/>
      <c r="E901" s="614"/>
      <c r="F901" s="614"/>
      <c r="G901" s="614"/>
      <c r="H901" s="614"/>
      <c r="I901" s="614"/>
      <c r="J901" s="614"/>
      <c r="K901" s="614"/>
      <c r="L901" s="614"/>
      <c r="M901" s="614"/>
      <c r="N901" s="614"/>
      <c r="O901" s="614"/>
      <c r="P901" s="614"/>
      <c r="Q901" s="614"/>
      <c r="R901" s="614"/>
      <c r="S901" s="614"/>
      <c r="T901" s="614"/>
      <c r="U901" s="614"/>
      <c r="V901" s="614"/>
      <c r="W901" s="614"/>
      <c r="X901" s="614"/>
      <c r="Y901" s="614"/>
      <c r="Z901" s="614"/>
      <c r="AA901" s="614"/>
      <c r="AB901" s="614"/>
      <c r="AC901" s="614"/>
    </row>
    <row r="902" spans="1:29" ht="12.75" customHeight="1">
      <c r="A902" s="319"/>
      <c r="B902" s="614"/>
      <c r="C902" s="319"/>
      <c r="D902" s="614"/>
      <c r="E902" s="614"/>
      <c r="F902" s="614"/>
      <c r="G902" s="614"/>
      <c r="H902" s="614"/>
      <c r="I902" s="614"/>
      <c r="J902" s="614"/>
      <c r="K902" s="614"/>
      <c r="L902" s="614"/>
      <c r="M902" s="614"/>
      <c r="N902" s="614"/>
      <c r="O902" s="614"/>
      <c r="P902" s="614"/>
      <c r="Q902" s="614"/>
      <c r="R902" s="614"/>
      <c r="S902" s="614"/>
      <c r="T902" s="614"/>
      <c r="U902" s="614"/>
      <c r="V902" s="614"/>
      <c r="W902" s="614"/>
      <c r="X902" s="614"/>
      <c r="Y902" s="614"/>
      <c r="Z902" s="614"/>
      <c r="AA902" s="614"/>
      <c r="AB902" s="614"/>
      <c r="AC902" s="614"/>
    </row>
    <row r="903" spans="1:29" ht="12.75" customHeight="1">
      <c r="A903" s="319"/>
      <c r="B903" s="614"/>
      <c r="C903" s="319"/>
      <c r="D903" s="614"/>
      <c r="E903" s="614"/>
      <c r="F903" s="614"/>
      <c r="G903" s="614"/>
      <c r="H903" s="614"/>
      <c r="I903" s="614"/>
      <c r="J903" s="614"/>
      <c r="K903" s="614"/>
      <c r="L903" s="614"/>
      <c r="M903" s="614"/>
      <c r="N903" s="614"/>
      <c r="O903" s="614"/>
      <c r="P903" s="614"/>
      <c r="Q903" s="614"/>
      <c r="R903" s="614"/>
      <c r="S903" s="614"/>
      <c r="T903" s="614"/>
      <c r="U903" s="614"/>
      <c r="V903" s="614"/>
      <c r="W903" s="614"/>
      <c r="X903" s="614"/>
      <c r="Y903" s="614"/>
      <c r="Z903" s="614"/>
      <c r="AA903" s="614"/>
      <c r="AB903" s="614"/>
      <c r="AC903" s="614"/>
    </row>
    <row r="904" spans="1:29" ht="12.75" customHeight="1">
      <c r="A904" s="319"/>
      <c r="B904" s="614"/>
      <c r="C904" s="319"/>
      <c r="D904" s="614"/>
      <c r="E904" s="614"/>
      <c r="F904" s="614"/>
      <c r="G904" s="614"/>
      <c r="H904" s="614"/>
      <c r="I904" s="614"/>
      <c r="J904" s="614"/>
      <c r="K904" s="614"/>
      <c r="L904" s="614"/>
      <c r="M904" s="614"/>
      <c r="N904" s="614"/>
      <c r="O904" s="614"/>
      <c r="P904" s="614"/>
      <c r="Q904" s="614"/>
      <c r="R904" s="614"/>
      <c r="S904" s="614"/>
      <c r="T904" s="614"/>
      <c r="U904" s="614"/>
      <c r="V904" s="614"/>
      <c r="W904" s="614"/>
      <c r="X904" s="614"/>
      <c r="Y904" s="614"/>
      <c r="Z904" s="614"/>
      <c r="AA904" s="614"/>
      <c r="AB904" s="614"/>
      <c r="AC904" s="614"/>
    </row>
    <row r="905" spans="1:29" ht="12.75" customHeight="1">
      <c r="A905" s="319"/>
      <c r="B905" s="614"/>
      <c r="C905" s="319"/>
      <c r="D905" s="614"/>
      <c r="E905" s="614"/>
      <c r="F905" s="614"/>
      <c r="G905" s="614"/>
      <c r="H905" s="614"/>
      <c r="I905" s="614"/>
      <c r="J905" s="614"/>
      <c r="K905" s="614"/>
      <c r="L905" s="614"/>
      <c r="M905" s="614"/>
      <c r="N905" s="614"/>
      <c r="O905" s="614"/>
      <c r="P905" s="614"/>
      <c r="Q905" s="614"/>
      <c r="R905" s="614"/>
      <c r="S905" s="614"/>
      <c r="T905" s="614"/>
      <c r="U905" s="614"/>
      <c r="V905" s="614"/>
      <c r="W905" s="614"/>
      <c r="X905" s="614"/>
      <c r="Y905" s="614"/>
      <c r="Z905" s="614"/>
      <c r="AA905" s="614"/>
      <c r="AB905" s="614"/>
      <c r="AC905" s="614"/>
    </row>
    <row r="906" spans="1:29" ht="12.75" customHeight="1">
      <c r="A906" s="319"/>
      <c r="B906" s="614"/>
      <c r="C906" s="319"/>
      <c r="D906" s="614"/>
      <c r="E906" s="614"/>
      <c r="F906" s="614"/>
      <c r="G906" s="614"/>
      <c r="H906" s="614"/>
      <c r="I906" s="614"/>
      <c r="J906" s="614"/>
      <c r="K906" s="614"/>
      <c r="L906" s="614"/>
      <c r="M906" s="614"/>
      <c r="N906" s="614"/>
      <c r="O906" s="614"/>
      <c r="P906" s="614"/>
      <c r="Q906" s="614"/>
      <c r="R906" s="614"/>
      <c r="S906" s="614"/>
      <c r="T906" s="614"/>
      <c r="U906" s="614"/>
      <c r="V906" s="614"/>
      <c r="W906" s="614"/>
      <c r="X906" s="614"/>
      <c r="Y906" s="614"/>
      <c r="Z906" s="614"/>
      <c r="AA906" s="614"/>
      <c r="AB906" s="614"/>
      <c r="AC906" s="614"/>
    </row>
    <row r="907" spans="1:29" ht="12.75" customHeight="1">
      <c r="A907" s="319"/>
      <c r="B907" s="614"/>
      <c r="C907" s="319"/>
      <c r="D907" s="614"/>
      <c r="E907" s="614"/>
      <c r="F907" s="614"/>
      <c r="G907" s="614"/>
      <c r="H907" s="614"/>
      <c r="I907" s="614"/>
      <c r="J907" s="614"/>
      <c r="K907" s="614"/>
      <c r="L907" s="614"/>
      <c r="M907" s="614"/>
      <c r="N907" s="614"/>
      <c r="O907" s="614"/>
      <c r="P907" s="614"/>
      <c r="Q907" s="614"/>
      <c r="R907" s="614"/>
      <c r="S907" s="614"/>
      <c r="T907" s="614"/>
      <c r="U907" s="614"/>
      <c r="V907" s="614"/>
      <c r="W907" s="614"/>
      <c r="X907" s="614"/>
      <c r="Y907" s="614"/>
      <c r="Z907" s="614"/>
      <c r="AA907" s="614"/>
      <c r="AB907" s="614"/>
      <c r="AC907" s="614"/>
    </row>
    <row r="908" spans="1:29" ht="12.75" customHeight="1">
      <c r="A908" s="319"/>
      <c r="B908" s="614"/>
      <c r="C908" s="319"/>
      <c r="D908" s="614"/>
      <c r="E908" s="614"/>
      <c r="F908" s="614"/>
      <c r="G908" s="614"/>
      <c r="H908" s="614"/>
      <c r="I908" s="614"/>
      <c r="J908" s="614"/>
      <c r="K908" s="614"/>
      <c r="L908" s="614"/>
      <c r="M908" s="614"/>
      <c r="N908" s="614"/>
      <c r="O908" s="614"/>
      <c r="P908" s="614"/>
      <c r="Q908" s="614"/>
      <c r="R908" s="614"/>
      <c r="S908" s="614"/>
      <c r="T908" s="614"/>
      <c r="U908" s="614"/>
      <c r="V908" s="614"/>
      <c r="W908" s="614"/>
      <c r="X908" s="614"/>
      <c r="Y908" s="614"/>
      <c r="Z908" s="614"/>
      <c r="AA908" s="614"/>
      <c r="AB908" s="614"/>
      <c r="AC908" s="614"/>
    </row>
    <row r="909" spans="1:29" ht="12.75" customHeight="1">
      <c r="A909" s="319"/>
      <c r="B909" s="614"/>
      <c r="C909" s="319"/>
      <c r="D909" s="614"/>
      <c r="E909" s="614"/>
      <c r="F909" s="614"/>
      <c r="G909" s="614"/>
      <c r="H909" s="614"/>
      <c r="I909" s="614"/>
      <c r="J909" s="614"/>
      <c r="K909" s="614"/>
      <c r="L909" s="614"/>
      <c r="M909" s="614"/>
      <c r="N909" s="614"/>
      <c r="O909" s="614"/>
      <c r="P909" s="614"/>
      <c r="Q909" s="614"/>
      <c r="R909" s="614"/>
      <c r="S909" s="614"/>
      <c r="T909" s="614"/>
      <c r="U909" s="614"/>
      <c r="V909" s="614"/>
      <c r="W909" s="614"/>
      <c r="X909" s="614"/>
      <c r="Y909" s="614"/>
      <c r="Z909" s="614"/>
      <c r="AA909" s="614"/>
      <c r="AB909" s="614"/>
      <c r="AC909" s="614"/>
    </row>
    <row r="910" spans="1:29" ht="12.75" customHeight="1">
      <c r="A910" s="319"/>
      <c r="B910" s="614"/>
      <c r="C910" s="319"/>
      <c r="D910" s="614"/>
      <c r="E910" s="614"/>
      <c r="F910" s="614"/>
      <c r="G910" s="614"/>
      <c r="H910" s="614"/>
      <c r="I910" s="614"/>
      <c r="J910" s="614"/>
      <c r="K910" s="614"/>
      <c r="L910" s="614"/>
      <c r="M910" s="614"/>
      <c r="N910" s="614"/>
      <c r="O910" s="614"/>
      <c r="P910" s="614"/>
      <c r="Q910" s="614"/>
      <c r="R910" s="614"/>
      <c r="S910" s="614"/>
      <c r="T910" s="614"/>
      <c r="U910" s="614"/>
      <c r="V910" s="614"/>
      <c r="W910" s="614"/>
      <c r="X910" s="614"/>
      <c r="Y910" s="614"/>
      <c r="Z910" s="614"/>
      <c r="AA910" s="614"/>
      <c r="AB910" s="614"/>
      <c r="AC910" s="614"/>
    </row>
    <row r="911" spans="1:29" ht="12.75" customHeight="1">
      <c r="A911" s="319"/>
      <c r="B911" s="614"/>
      <c r="C911" s="319"/>
      <c r="D911" s="614"/>
      <c r="E911" s="614"/>
      <c r="F911" s="614"/>
      <c r="G911" s="614"/>
      <c r="H911" s="614"/>
      <c r="I911" s="614"/>
      <c r="J911" s="614"/>
      <c r="K911" s="614"/>
      <c r="L911" s="614"/>
      <c r="M911" s="614"/>
      <c r="N911" s="614"/>
      <c r="O911" s="614"/>
      <c r="P911" s="614"/>
      <c r="Q911" s="614"/>
      <c r="R911" s="614"/>
      <c r="S911" s="614"/>
      <c r="T911" s="614"/>
      <c r="U911" s="614"/>
      <c r="V911" s="614"/>
      <c r="W911" s="614"/>
      <c r="X911" s="614"/>
      <c r="Y911" s="614"/>
      <c r="Z911" s="614"/>
      <c r="AA911" s="614"/>
      <c r="AB911" s="614"/>
      <c r="AC911" s="614"/>
    </row>
    <row r="912" spans="1:29" ht="12.75" customHeight="1">
      <c r="A912" s="319"/>
      <c r="B912" s="614"/>
      <c r="C912" s="319"/>
      <c r="D912" s="614"/>
      <c r="E912" s="614"/>
      <c r="F912" s="614"/>
      <c r="G912" s="614"/>
      <c r="H912" s="614"/>
      <c r="I912" s="614"/>
      <c r="J912" s="614"/>
      <c r="K912" s="614"/>
      <c r="L912" s="614"/>
      <c r="M912" s="614"/>
      <c r="N912" s="614"/>
      <c r="O912" s="614"/>
      <c r="P912" s="614"/>
      <c r="Q912" s="614"/>
      <c r="R912" s="614"/>
      <c r="S912" s="614"/>
      <c r="T912" s="614"/>
      <c r="U912" s="614"/>
      <c r="V912" s="614"/>
      <c r="W912" s="614"/>
      <c r="X912" s="614"/>
      <c r="Y912" s="614"/>
      <c r="Z912" s="614"/>
      <c r="AA912" s="614"/>
      <c r="AB912" s="614"/>
      <c r="AC912" s="614"/>
    </row>
    <row r="913" spans="1:29" ht="12.75" customHeight="1">
      <c r="A913" s="319"/>
      <c r="B913" s="614"/>
      <c r="C913" s="319"/>
      <c r="D913" s="614"/>
      <c r="E913" s="614"/>
      <c r="F913" s="614"/>
      <c r="G913" s="614"/>
      <c r="H913" s="614"/>
      <c r="I913" s="614"/>
      <c r="J913" s="614"/>
      <c r="K913" s="614"/>
      <c r="L913" s="614"/>
      <c r="M913" s="614"/>
      <c r="N913" s="614"/>
      <c r="O913" s="614"/>
      <c r="P913" s="614"/>
      <c r="Q913" s="614"/>
      <c r="R913" s="614"/>
      <c r="S913" s="614"/>
      <c r="T913" s="614"/>
      <c r="U913" s="614"/>
      <c r="V913" s="614"/>
      <c r="W913" s="614"/>
      <c r="X913" s="614"/>
      <c r="Y913" s="614"/>
      <c r="Z913" s="614"/>
      <c r="AA913" s="614"/>
      <c r="AB913" s="614"/>
      <c r="AC913" s="614"/>
    </row>
    <row r="914" spans="1:29" ht="12.75" customHeight="1">
      <c r="A914" s="319"/>
      <c r="B914" s="614"/>
      <c r="C914" s="319"/>
      <c r="D914" s="614"/>
      <c r="E914" s="614"/>
      <c r="F914" s="614"/>
      <c r="G914" s="614"/>
      <c r="H914" s="614"/>
      <c r="I914" s="614"/>
      <c r="J914" s="614"/>
      <c r="K914" s="614"/>
      <c r="L914" s="614"/>
      <c r="M914" s="614"/>
      <c r="N914" s="614"/>
      <c r="O914" s="614"/>
      <c r="P914" s="614"/>
      <c r="Q914" s="614"/>
      <c r="R914" s="614"/>
      <c r="S914" s="614"/>
      <c r="T914" s="614"/>
      <c r="U914" s="614"/>
      <c r="V914" s="614"/>
      <c r="W914" s="614"/>
      <c r="X914" s="614"/>
      <c r="Y914" s="614"/>
      <c r="Z914" s="614"/>
      <c r="AA914" s="614"/>
      <c r="AB914" s="614"/>
      <c r="AC914" s="614"/>
    </row>
    <row r="915" spans="1:29" ht="12.75" customHeight="1">
      <c r="A915" s="319"/>
      <c r="B915" s="614"/>
      <c r="C915" s="319"/>
      <c r="D915" s="614"/>
      <c r="E915" s="614"/>
      <c r="F915" s="614"/>
      <c r="G915" s="614"/>
      <c r="H915" s="614"/>
      <c r="I915" s="614"/>
      <c r="J915" s="614"/>
      <c r="K915" s="614"/>
      <c r="L915" s="614"/>
      <c r="M915" s="614"/>
      <c r="N915" s="614"/>
      <c r="O915" s="614"/>
      <c r="P915" s="614"/>
      <c r="Q915" s="614"/>
      <c r="R915" s="614"/>
      <c r="S915" s="614"/>
      <c r="T915" s="614"/>
      <c r="U915" s="614"/>
      <c r="V915" s="614"/>
      <c r="W915" s="614"/>
      <c r="X915" s="614"/>
      <c r="Y915" s="614"/>
      <c r="Z915" s="614"/>
      <c r="AA915" s="614"/>
      <c r="AB915" s="614"/>
      <c r="AC915" s="614"/>
    </row>
    <row r="916" spans="1:29" ht="12.75" customHeight="1">
      <c r="A916" s="319"/>
      <c r="B916" s="614"/>
      <c r="C916" s="319"/>
      <c r="D916" s="614"/>
      <c r="E916" s="614"/>
      <c r="F916" s="614"/>
      <c r="G916" s="614"/>
      <c r="H916" s="614"/>
      <c r="I916" s="614"/>
      <c r="J916" s="614"/>
      <c r="K916" s="614"/>
      <c r="L916" s="614"/>
      <c r="M916" s="614"/>
      <c r="N916" s="614"/>
      <c r="O916" s="614"/>
      <c r="P916" s="614"/>
      <c r="Q916" s="614"/>
      <c r="R916" s="614"/>
      <c r="S916" s="614"/>
      <c r="T916" s="614"/>
      <c r="U916" s="614"/>
      <c r="V916" s="614"/>
      <c r="W916" s="614"/>
      <c r="X916" s="614"/>
      <c r="Y916" s="614"/>
      <c r="Z916" s="614"/>
      <c r="AA916" s="614"/>
      <c r="AB916" s="614"/>
      <c r="AC916" s="614"/>
    </row>
    <row r="917" spans="1:29" ht="12.75" customHeight="1">
      <c r="A917" s="319"/>
      <c r="B917" s="614"/>
      <c r="C917" s="319"/>
      <c r="D917" s="614"/>
      <c r="E917" s="614"/>
      <c r="F917" s="614"/>
      <c r="G917" s="614"/>
      <c r="H917" s="614"/>
      <c r="I917" s="614"/>
      <c r="J917" s="614"/>
      <c r="K917" s="614"/>
      <c r="L917" s="614"/>
      <c r="M917" s="614"/>
      <c r="N917" s="614"/>
      <c r="O917" s="614"/>
      <c r="P917" s="614"/>
      <c r="Q917" s="614"/>
      <c r="R917" s="614"/>
      <c r="S917" s="614"/>
      <c r="T917" s="614"/>
      <c r="U917" s="614"/>
      <c r="V917" s="614"/>
      <c r="W917" s="614"/>
      <c r="X917" s="614"/>
      <c r="Y917" s="614"/>
      <c r="Z917" s="614"/>
      <c r="AA917" s="614"/>
      <c r="AB917" s="614"/>
      <c r="AC917" s="614"/>
    </row>
    <row r="918" spans="1:29" ht="12.75" customHeight="1">
      <c r="A918" s="319"/>
      <c r="B918" s="614"/>
      <c r="C918" s="319"/>
      <c r="D918" s="614"/>
      <c r="E918" s="614"/>
      <c r="F918" s="614"/>
      <c r="G918" s="614"/>
      <c r="H918" s="614"/>
      <c r="I918" s="614"/>
      <c r="J918" s="614"/>
      <c r="K918" s="614"/>
      <c r="L918" s="614"/>
      <c r="M918" s="614"/>
      <c r="N918" s="614"/>
      <c r="O918" s="614"/>
      <c r="P918" s="614"/>
      <c r="Q918" s="614"/>
      <c r="R918" s="614"/>
      <c r="S918" s="614"/>
      <c r="T918" s="614"/>
      <c r="U918" s="614"/>
      <c r="V918" s="614"/>
      <c r="W918" s="614"/>
      <c r="X918" s="614"/>
      <c r="Y918" s="614"/>
      <c r="Z918" s="614"/>
      <c r="AA918" s="614"/>
      <c r="AB918" s="614"/>
      <c r="AC918" s="614"/>
    </row>
    <row r="919" spans="1:29" ht="12.75" customHeight="1">
      <c r="A919" s="319"/>
      <c r="B919" s="614"/>
      <c r="C919" s="319"/>
      <c r="D919" s="614"/>
      <c r="E919" s="614"/>
      <c r="F919" s="614"/>
      <c r="G919" s="614"/>
      <c r="H919" s="614"/>
      <c r="I919" s="614"/>
      <c r="J919" s="614"/>
      <c r="K919" s="614"/>
      <c r="L919" s="614"/>
      <c r="M919" s="614"/>
      <c r="N919" s="614"/>
      <c r="O919" s="614"/>
      <c r="P919" s="614"/>
      <c r="Q919" s="614"/>
      <c r="R919" s="614"/>
      <c r="S919" s="614"/>
      <c r="T919" s="614"/>
      <c r="U919" s="614"/>
      <c r="V919" s="614"/>
      <c r="W919" s="614"/>
      <c r="X919" s="614"/>
      <c r="Y919" s="614"/>
      <c r="Z919" s="614"/>
      <c r="AA919" s="614"/>
      <c r="AB919" s="614"/>
      <c r="AC919" s="614"/>
    </row>
    <row r="920" spans="1:29" ht="12.75" customHeight="1">
      <c r="A920" s="319"/>
      <c r="B920" s="614"/>
      <c r="C920" s="319"/>
      <c r="D920" s="614"/>
      <c r="E920" s="614"/>
      <c r="F920" s="614"/>
      <c r="G920" s="614"/>
      <c r="H920" s="614"/>
      <c r="I920" s="614"/>
      <c r="J920" s="614"/>
      <c r="K920" s="614"/>
      <c r="L920" s="614"/>
      <c r="M920" s="614"/>
      <c r="N920" s="614"/>
      <c r="O920" s="614"/>
      <c r="P920" s="614"/>
      <c r="Q920" s="614"/>
      <c r="R920" s="614"/>
      <c r="S920" s="614"/>
      <c r="T920" s="614"/>
      <c r="U920" s="614"/>
      <c r="V920" s="614"/>
      <c r="W920" s="614"/>
      <c r="X920" s="614"/>
      <c r="Y920" s="614"/>
      <c r="Z920" s="614"/>
      <c r="AA920" s="614"/>
      <c r="AB920" s="614"/>
      <c r="AC920" s="614"/>
    </row>
    <row r="921" spans="1:29" ht="12.75" customHeight="1">
      <c r="A921" s="319"/>
      <c r="B921" s="614"/>
      <c r="C921" s="319"/>
      <c r="D921" s="614"/>
      <c r="E921" s="614"/>
      <c r="F921" s="614"/>
      <c r="G921" s="614"/>
      <c r="H921" s="614"/>
      <c r="I921" s="614"/>
      <c r="J921" s="614"/>
      <c r="K921" s="614"/>
      <c r="L921" s="614"/>
      <c r="M921" s="614"/>
      <c r="N921" s="614"/>
      <c r="O921" s="614"/>
      <c r="P921" s="614"/>
      <c r="Q921" s="614"/>
      <c r="R921" s="614"/>
      <c r="S921" s="614"/>
      <c r="T921" s="614"/>
      <c r="U921" s="614"/>
      <c r="V921" s="614"/>
      <c r="W921" s="614"/>
      <c r="X921" s="614"/>
      <c r="Y921" s="614"/>
      <c r="Z921" s="614"/>
      <c r="AA921" s="614"/>
      <c r="AB921" s="614"/>
      <c r="AC921" s="614"/>
    </row>
    <row r="922" spans="1:29" ht="12.75" customHeight="1">
      <c r="A922" s="319"/>
      <c r="B922" s="614"/>
      <c r="C922" s="319"/>
      <c r="D922" s="614"/>
      <c r="E922" s="614"/>
      <c r="F922" s="614"/>
      <c r="G922" s="614"/>
      <c r="H922" s="614"/>
      <c r="I922" s="614"/>
      <c r="J922" s="614"/>
      <c r="K922" s="614"/>
      <c r="L922" s="614"/>
      <c r="M922" s="614"/>
      <c r="N922" s="614"/>
      <c r="O922" s="614"/>
      <c r="P922" s="614"/>
      <c r="Q922" s="614"/>
      <c r="R922" s="614"/>
      <c r="S922" s="614"/>
      <c r="T922" s="614"/>
      <c r="U922" s="614"/>
      <c r="V922" s="614"/>
      <c r="W922" s="614"/>
      <c r="X922" s="614"/>
      <c r="Y922" s="614"/>
      <c r="Z922" s="614"/>
      <c r="AA922" s="614"/>
      <c r="AB922" s="614"/>
      <c r="AC922" s="614"/>
    </row>
    <row r="923" spans="1:29" ht="12.75" customHeight="1">
      <c r="A923" s="319"/>
      <c r="B923" s="614"/>
      <c r="C923" s="319"/>
      <c r="D923" s="614"/>
      <c r="E923" s="614"/>
      <c r="F923" s="614"/>
      <c r="G923" s="614"/>
      <c r="H923" s="614"/>
      <c r="I923" s="614"/>
      <c r="J923" s="614"/>
      <c r="K923" s="614"/>
      <c r="L923" s="614"/>
      <c r="M923" s="614"/>
      <c r="N923" s="614"/>
      <c r="O923" s="614"/>
      <c r="P923" s="614"/>
      <c r="Q923" s="614"/>
      <c r="R923" s="614"/>
      <c r="S923" s="614"/>
      <c r="T923" s="614"/>
      <c r="U923" s="614"/>
      <c r="V923" s="614"/>
      <c r="W923" s="614"/>
      <c r="X923" s="614"/>
      <c r="Y923" s="614"/>
      <c r="Z923" s="614"/>
      <c r="AA923" s="614"/>
      <c r="AB923" s="614"/>
      <c r="AC923" s="614"/>
    </row>
    <row r="924" spans="1:29" ht="12.75" customHeight="1">
      <c r="A924" s="319"/>
      <c r="B924" s="614"/>
      <c r="C924" s="319"/>
      <c r="D924" s="614"/>
      <c r="E924" s="614"/>
      <c r="F924" s="614"/>
      <c r="G924" s="614"/>
      <c r="H924" s="614"/>
      <c r="I924" s="614"/>
      <c r="J924" s="614"/>
      <c r="K924" s="614"/>
      <c r="L924" s="614"/>
      <c r="M924" s="614"/>
      <c r="N924" s="614"/>
      <c r="O924" s="614"/>
      <c r="P924" s="614"/>
      <c r="Q924" s="614"/>
      <c r="R924" s="614"/>
      <c r="S924" s="614"/>
      <c r="T924" s="614"/>
      <c r="U924" s="614"/>
      <c r="V924" s="614"/>
      <c r="W924" s="614"/>
      <c r="X924" s="614"/>
      <c r="Y924" s="614"/>
      <c r="Z924" s="614"/>
      <c r="AA924" s="614"/>
      <c r="AB924" s="614"/>
      <c r="AC924" s="614"/>
    </row>
    <row r="925" spans="1:29" ht="12.75" customHeight="1">
      <c r="A925" s="319"/>
      <c r="B925" s="614"/>
      <c r="C925" s="319"/>
      <c r="D925" s="614"/>
      <c r="E925" s="614"/>
      <c r="F925" s="614"/>
      <c r="G925" s="614"/>
      <c r="H925" s="614"/>
      <c r="I925" s="614"/>
      <c r="J925" s="614"/>
      <c r="K925" s="614"/>
      <c r="L925" s="614"/>
      <c r="M925" s="614"/>
      <c r="N925" s="614"/>
      <c r="O925" s="614"/>
      <c r="P925" s="614"/>
      <c r="Q925" s="614"/>
      <c r="R925" s="614"/>
      <c r="S925" s="614"/>
      <c r="T925" s="614"/>
      <c r="U925" s="614"/>
      <c r="V925" s="614"/>
      <c r="W925" s="614"/>
      <c r="X925" s="614"/>
      <c r="Y925" s="614"/>
      <c r="Z925" s="614"/>
      <c r="AA925" s="614"/>
      <c r="AB925" s="614"/>
      <c r="AC925" s="614"/>
    </row>
    <row r="926" spans="1:29" ht="12.75" customHeight="1">
      <c r="A926" s="319"/>
      <c r="B926" s="614"/>
      <c r="C926" s="319"/>
      <c r="D926" s="614"/>
      <c r="E926" s="614"/>
      <c r="F926" s="614"/>
      <c r="G926" s="614"/>
      <c r="H926" s="614"/>
      <c r="I926" s="614"/>
      <c r="J926" s="614"/>
      <c r="K926" s="614"/>
      <c r="L926" s="614"/>
      <c r="M926" s="614"/>
      <c r="N926" s="614"/>
      <c r="O926" s="614"/>
      <c r="P926" s="614"/>
      <c r="Q926" s="614"/>
      <c r="R926" s="614"/>
      <c r="S926" s="614"/>
      <c r="T926" s="614"/>
      <c r="U926" s="614"/>
      <c r="V926" s="614"/>
      <c r="W926" s="614"/>
      <c r="X926" s="614"/>
      <c r="Y926" s="614"/>
      <c r="Z926" s="614"/>
      <c r="AA926" s="614"/>
      <c r="AB926" s="614"/>
      <c r="AC926" s="614"/>
    </row>
    <row r="927" spans="1:29" ht="12.75" customHeight="1">
      <c r="A927" s="319"/>
      <c r="B927" s="614"/>
      <c r="C927" s="319"/>
      <c r="D927" s="614"/>
      <c r="E927" s="614"/>
      <c r="F927" s="614"/>
      <c r="G927" s="614"/>
      <c r="H927" s="614"/>
      <c r="I927" s="614"/>
      <c r="J927" s="614"/>
      <c r="K927" s="614"/>
      <c r="L927" s="614"/>
      <c r="M927" s="614"/>
      <c r="N927" s="614"/>
      <c r="O927" s="614"/>
      <c r="P927" s="614"/>
      <c r="Q927" s="614"/>
      <c r="R927" s="614"/>
      <c r="S927" s="614"/>
      <c r="T927" s="614"/>
      <c r="U927" s="614"/>
      <c r="V927" s="614"/>
      <c r="W927" s="614"/>
      <c r="X927" s="614"/>
      <c r="Y927" s="614"/>
      <c r="Z927" s="614"/>
      <c r="AA927" s="614"/>
      <c r="AB927" s="614"/>
      <c r="AC927" s="614"/>
    </row>
    <row r="928" spans="1:29" ht="12.75" customHeight="1">
      <c r="A928" s="319"/>
      <c r="B928" s="614"/>
      <c r="C928" s="319"/>
      <c r="D928" s="614"/>
      <c r="E928" s="614"/>
      <c r="F928" s="614"/>
      <c r="G928" s="614"/>
      <c r="H928" s="614"/>
      <c r="I928" s="614"/>
      <c r="J928" s="614"/>
      <c r="K928" s="614"/>
      <c r="L928" s="614"/>
      <c r="M928" s="614"/>
      <c r="N928" s="614"/>
      <c r="O928" s="614"/>
      <c r="P928" s="614"/>
      <c r="Q928" s="614"/>
      <c r="R928" s="614"/>
      <c r="S928" s="614"/>
      <c r="T928" s="614"/>
      <c r="U928" s="614"/>
      <c r="V928" s="614"/>
      <c r="W928" s="614"/>
      <c r="X928" s="614"/>
      <c r="Y928" s="614"/>
      <c r="Z928" s="614"/>
      <c r="AA928" s="614"/>
      <c r="AB928" s="614"/>
      <c r="AC928" s="614"/>
    </row>
    <row r="929" spans="1:29" ht="12.75" customHeight="1">
      <c r="A929" s="319"/>
      <c r="B929" s="614"/>
      <c r="C929" s="319"/>
      <c r="D929" s="614"/>
      <c r="E929" s="614"/>
      <c r="F929" s="614"/>
      <c r="G929" s="614"/>
      <c r="H929" s="614"/>
      <c r="I929" s="614"/>
      <c r="J929" s="614"/>
      <c r="K929" s="614"/>
      <c r="L929" s="614"/>
      <c r="M929" s="614"/>
      <c r="N929" s="614"/>
      <c r="O929" s="614"/>
      <c r="P929" s="614"/>
      <c r="Q929" s="614"/>
      <c r="R929" s="614"/>
      <c r="S929" s="614"/>
      <c r="T929" s="614"/>
      <c r="U929" s="614"/>
      <c r="V929" s="614"/>
      <c r="W929" s="614"/>
      <c r="X929" s="614"/>
      <c r="Y929" s="614"/>
      <c r="Z929" s="614"/>
      <c r="AA929" s="614"/>
      <c r="AB929" s="614"/>
      <c r="AC929" s="614"/>
    </row>
    <row r="930" spans="1:29" ht="12.75" customHeight="1">
      <c r="A930" s="319"/>
      <c r="B930" s="614"/>
      <c r="C930" s="319"/>
      <c r="D930" s="614"/>
      <c r="E930" s="614"/>
      <c r="F930" s="614"/>
      <c r="G930" s="614"/>
      <c r="H930" s="614"/>
      <c r="I930" s="614"/>
      <c r="J930" s="614"/>
      <c r="K930" s="614"/>
      <c r="L930" s="614"/>
      <c r="M930" s="614"/>
      <c r="N930" s="614"/>
      <c r="O930" s="614"/>
      <c r="P930" s="614"/>
      <c r="Q930" s="614"/>
      <c r="R930" s="614"/>
      <c r="S930" s="614"/>
      <c r="T930" s="614"/>
      <c r="U930" s="614"/>
      <c r="V930" s="614"/>
      <c r="W930" s="614"/>
      <c r="X930" s="614"/>
      <c r="Y930" s="614"/>
      <c r="Z930" s="614"/>
      <c r="AA930" s="614"/>
      <c r="AB930" s="614"/>
      <c r="AC930" s="614"/>
    </row>
    <row r="931" spans="1:29" ht="12.75" customHeight="1">
      <c r="A931" s="319"/>
      <c r="B931" s="614"/>
      <c r="C931" s="319"/>
      <c r="D931" s="614"/>
      <c r="E931" s="614"/>
      <c r="F931" s="614"/>
      <c r="G931" s="614"/>
      <c r="H931" s="614"/>
      <c r="I931" s="614"/>
      <c r="J931" s="614"/>
      <c r="K931" s="614"/>
      <c r="L931" s="614"/>
      <c r="M931" s="614"/>
      <c r="N931" s="614"/>
      <c r="O931" s="614"/>
      <c r="P931" s="614"/>
      <c r="Q931" s="614"/>
      <c r="R931" s="614"/>
      <c r="S931" s="614"/>
      <c r="T931" s="614"/>
      <c r="U931" s="614"/>
      <c r="V931" s="614"/>
      <c r="W931" s="614"/>
      <c r="X931" s="614"/>
      <c r="Y931" s="614"/>
      <c r="Z931" s="614"/>
      <c r="AA931" s="614"/>
      <c r="AB931" s="614"/>
      <c r="AC931" s="614"/>
    </row>
    <row r="932" spans="1:29" ht="12.75" customHeight="1">
      <c r="A932" s="319"/>
      <c r="B932" s="614"/>
      <c r="C932" s="319"/>
      <c r="D932" s="614"/>
      <c r="E932" s="614"/>
      <c r="F932" s="614"/>
      <c r="G932" s="614"/>
      <c r="H932" s="614"/>
      <c r="I932" s="614"/>
      <c r="J932" s="614"/>
      <c r="K932" s="614"/>
      <c r="L932" s="614"/>
      <c r="M932" s="614"/>
      <c r="N932" s="614"/>
      <c r="O932" s="614"/>
      <c r="P932" s="614"/>
      <c r="Q932" s="614"/>
      <c r="R932" s="614"/>
      <c r="S932" s="614"/>
      <c r="T932" s="614"/>
      <c r="U932" s="614"/>
      <c r="V932" s="614"/>
      <c r="W932" s="614"/>
      <c r="X932" s="614"/>
      <c r="Y932" s="614"/>
      <c r="Z932" s="614"/>
      <c r="AA932" s="614"/>
      <c r="AB932" s="614"/>
      <c r="AC932" s="614"/>
    </row>
    <row r="933" spans="1:29" ht="12.75" customHeight="1">
      <c r="A933" s="319"/>
      <c r="B933" s="614"/>
      <c r="C933" s="319"/>
      <c r="D933" s="614"/>
      <c r="E933" s="614"/>
      <c r="F933" s="614"/>
      <c r="G933" s="614"/>
      <c r="H933" s="614"/>
      <c r="I933" s="614"/>
      <c r="J933" s="614"/>
      <c r="K933" s="614"/>
      <c r="L933" s="614"/>
      <c r="M933" s="614"/>
      <c r="N933" s="614"/>
      <c r="O933" s="614"/>
      <c r="P933" s="614"/>
      <c r="Q933" s="614"/>
      <c r="R933" s="614"/>
      <c r="S933" s="614"/>
      <c r="T933" s="614"/>
      <c r="U933" s="614"/>
      <c r="V933" s="614"/>
      <c r="W933" s="614"/>
      <c r="X933" s="614"/>
      <c r="Y933" s="614"/>
      <c r="Z933" s="614"/>
      <c r="AA933" s="614"/>
      <c r="AB933" s="614"/>
      <c r="AC933" s="614"/>
    </row>
    <row r="934" spans="1:29" ht="12.75" customHeight="1">
      <c r="A934" s="319"/>
      <c r="B934" s="614"/>
      <c r="C934" s="319"/>
      <c r="D934" s="614"/>
      <c r="E934" s="614"/>
      <c r="F934" s="614"/>
      <c r="G934" s="614"/>
      <c r="H934" s="614"/>
      <c r="I934" s="614"/>
      <c r="J934" s="614"/>
      <c r="K934" s="614"/>
      <c r="L934" s="614"/>
      <c r="M934" s="614"/>
      <c r="N934" s="614"/>
      <c r="O934" s="614"/>
      <c r="P934" s="614"/>
      <c r="Q934" s="614"/>
      <c r="R934" s="614"/>
      <c r="S934" s="614"/>
      <c r="T934" s="614"/>
      <c r="U934" s="614"/>
      <c r="V934" s="614"/>
      <c r="W934" s="614"/>
      <c r="X934" s="614"/>
      <c r="Y934" s="614"/>
      <c r="Z934" s="614"/>
      <c r="AA934" s="614"/>
      <c r="AB934" s="614"/>
      <c r="AC934" s="614"/>
    </row>
    <row r="935" spans="1:29" ht="12.75" customHeight="1">
      <c r="A935" s="319"/>
      <c r="B935" s="614"/>
      <c r="C935" s="319"/>
      <c r="D935" s="614"/>
      <c r="E935" s="614"/>
      <c r="F935" s="614"/>
      <c r="G935" s="614"/>
      <c r="H935" s="614"/>
      <c r="I935" s="614"/>
      <c r="J935" s="614"/>
      <c r="K935" s="614"/>
      <c r="L935" s="614"/>
      <c r="M935" s="614"/>
      <c r="N935" s="614"/>
      <c r="O935" s="614"/>
      <c r="P935" s="614"/>
      <c r="Q935" s="614"/>
      <c r="R935" s="614"/>
      <c r="S935" s="614"/>
      <c r="T935" s="614"/>
      <c r="U935" s="614"/>
      <c r="V935" s="614"/>
      <c r="W935" s="614"/>
      <c r="X935" s="614"/>
      <c r="Y935" s="614"/>
      <c r="Z935" s="614"/>
      <c r="AA935" s="614"/>
      <c r="AB935" s="614"/>
      <c r="AC935" s="614"/>
    </row>
    <row r="936" spans="1:29" ht="12.75" customHeight="1">
      <c r="A936" s="319"/>
      <c r="B936" s="614"/>
      <c r="C936" s="319"/>
      <c r="D936" s="614"/>
      <c r="E936" s="614"/>
      <c r="F936" s="614"/>
      <c r="G936" s="614"/>
      <c r="H936" s="614"/>
      <c r="I936" s="614"/>
      <c r="J936" s="614"/>
      <c r="K936" s="614"/>
      <c r="L936" s="614"/>
      <c r="M936" s="614"/>
      <c r="N936" s="614"/>
      <c r="O936" s="614"/>
      <c r="P936" s="614"/>
      <c r="Q936" s="614"/>
      <c r="R936" s="614"/>
      <c r="S936" s="614"/>
      <c r="T936" s="614"/>
      <c r="U936" s="614"/>
      <c r="V936" s="614"/>
      <c r="W936" s="614"/>
      <c r="X936" s="614"/>
      <c r="Y936" s="614"/>
      <c r="Z936" s="614"/>
      <c r="AA936" s="614"/>
      <c r="AB936" s="614"/>
      <c r="AC936" s="614"/>
    </row>
    <row r="937" spans="1:29" ht="12.75" customHeight="1">
      <c r="A937" s="319"/>
      <c r="B937" s="614"/>
      <c r="C937" s="319"/>
      <c r="D937" s="614"/>
      <c r="E937" s="614"/>
      <c r="F937" s="614"/>
      <c r="G937" s="614"/>
      <c r="H937" s="614"/>
      <c r="I937" s="614"/>
      <c r="J937" s="614"/>
      <c r="K937" s="614"/>
      <c r="L937" s="614"/>
      <c r="M937" s="614"/>
      <c r="N937" s="614"/>
      <c r="O937" s="614"/>
      <c r="P937" s="614"/>
      <c r="Q937" s="614"/>
      <c r="R937" s="614"/>
      <c r="S937" s="614"/>
      <c r="T937" s="614"/>
      <c r="U937" s="614"/>
      <c r="V937" s="614"/>
      <c r="W937" s="614"/>
      <c r="X937" s="614"/>
      <c r="Y937" s="614"/>
      <c r="Z937" s="614"/>
      <c r="AA937" s="614"/>
      <c r="AB937" s="614"/>
      <c r="AC937" s="614"/>
    </row>
    <row r="938" spans="1:29" ht="12.75" customHeight="1">
      <c r="A938" s="319"/>
      <c r="B938" s="614"/>
      <c r="C938" s="319"/>
      <c r="D938" s="614"/>
      <c r="E938" s="614"/>
      <c r="F938" s="614"/>
      <c r="G938" s="614"/>
      <c r="H938" s="614"/>
      <c r="I938" s="614"/>
      <c r="J938" s="614"/>
      <c r="K938" s="614"/>
      <c r="L938" s="614"/>
      <c r="M938" s="614"/>
      <c r="N938" s="614"/>
      <c r="O938" s="614"/>
      <c r="P938" s="614"/>
      <c r="Q938" s="614"/>
      <c r="R938" s="614"/>
      <c r="S938" s="614"/>
      <c r="T938" s="614"/>
      <c r="U938" s="614"/>
      <c r="V938" s="614"/>
      <c r="W938" s="614"/>
      <c r="X938" s="614"/>
      <c r="Y938" s="614"/>
      <c r="Z938" s="614"/>
      <c r="AA938" s="614"/>
      <c r="AB938" s="614"/>
      <c r="AC938" s="614"/>
    </row>
    <row r="939" spans="1:29" ht="12.75" customHeight="1">
      <c r="A939" s="319"/>
      <c r="B939" s="614"/>
      <c r="C939" s="319"/>
      <c r="D939" s="614"/>
      <c r="E939" s="614"/>
      <c r="F939" s="614"/>
      <c r="G939" s="614"/>
      <c r="H939" s="614"/>
      <c r="I939" s="614"/>
      <c r="J939" s="614"/>
      <c r="K939" s="614"/>
      <c r="L939" s="614"/>
      <c r="M939" s="614"/>
      <c r="N939" s="614"/>
      <c r="O939" s="614"/>
      <c r="P939" s="614"/>
      <c r="Q939" s="614"/>
      <c r="R939" s="614"/>
      <c r="S939" s="614"/>
      <c r="T939" s="614"/>
      <c r="U939" s="614"/>
      <c r="V939" s="614"/>
      <c r="W939" s="614"/>
      <c r="X939" s="614"/>
      <c r="Y939" s="614"/>
      <c r="Z939" s="614"/>
      <c r="AA939" s="614"/>
      <c r="AB939" s="614"/>
      <c r="AC939" s="614"/>
    </row>
    <row r="940" spans="1:29" ht="12.75" customHeight="1">
      <c r="A940" s="319"/>
      <c r="B940" s="614"/>
      <c r="C940" s="319"/>
      <c r="D940" s="614"/>
      <c r="E940" s="614"/>
      <c r="F940" s="614"/>
      <c r="G940" s="614"/>
      <c r="H940" s="614"/>
      <c r="I940" s="614"/>
      <c r="J940" s="614"/>
      <c r="K940" s="614"/>
      <c r="L940" s="614"/>
      <c r="M940" s="614"/>
      <c r="N940" s="614"/>
      <c r="O940" s="614"/>
      <c r="P940" s="614"/>
      <c r="Q940" s="614"/>
      <c r="R940" s="614"/>
      <c r="S940" s="614"/>
      <c r="T940" s="614"/>
      <c r="U940" s="614"/>
      <c r="V940" s="614"/>
      <c r="W940" s="614"/>
      <c r="X940" s="614"/>
      <c r="Y940" s="614"/>
      <c r="Z940" s="614"/>
      <c r="AA940" s="614"/>
      <c r="AB940" s="614"/>
      <c r="AC940" s="614"/>
    </row>
    <row r="941" spans="1:29" ht="12.75" customHeight="1">
      <c r="A941" s="319"/>
      <c r="B941" s="614"/>
      <c r="C941" s="319"/>
      <c r="D941" s="614"/>
      <c r="E941" s="614"/>
      <c r="F941" s="614"/>
      <c r="G941" s="614"/>
      <c r="H941" s="614"/>
      <c r="I941" s="614"/>
      <c r="J941" s="614"/>
      <c r="K941" s="614"/>
      <c r="L941" s="614"/>
      <c r="M941" s="614"/>
      <c r="N941" s="614"/>
      <c r="O941" s="614"/>
      <c r="P941" s="614"/>
      <c r="Q941" s="614"/>
      <c r="R941" s="614"/>
      <c r="S941" s="614"/>
      <c r="T941" s="614"/>
      <c r="U941" s="614"/>
      <c r="V941" s="614"/>
      <c r="W941" s="614"/>
      <c r="X941" s="614"/>
      <c r="Y941" s="614"/>
      <c r="Z941" s="614"/>
      <c r="AA941" s="614"/>
      <c r="AB941" s="614"/>
      <c r="AC941" s="614"/>
    </row>
    <row r="942" spans="1:29" ht="12.75" customHeight="1">
      <c r="A942" s="319"/>
      <c r="B942" s="614"/>
      <c r="C942" s="319"/>
      <c r="D942" s="614"/>
      <c r="E942" s="614"/>
      <c r="F942" s="614"/>
      <c r="G942" s="614"/>
      <c r="H942" s="614"/>
      <c r="I942" s="614"/>
      <c r="J942" s="614"/>
      <c r="K942" s="614"/>
      <c r="L942" s="614"/>
      <c r="M942" s="614"/>
      <c r="N942" s="614"/>
      <c r="O942" s="614"/>
      <c r="P942" s="614"/>
      <c r="Q942" s="614"/>
      <c r="R942" s="614"/>
      <c r="S942" s="614"/>
      <c r="T942" s="614"/>
      <c r="U942" s="614"/>
      <c r="V942" s="614"/>
      <c r="W942" s="614"/>
      <c r="X942" s="614"/>
      <c r="Y942" s="614"/>
      <c r="Z942" s="614"/>
      <c r="AA942" s="614"/>
      <c r="AB942" s="614"/>
      <c r="AC942" s="614"/>
    </row>
    <row r="943" spans="1:29" ht="12.75" customHeight="1">
      <c r="A943" s="319"/>
      <c r="B943" s="614"/>
      <c r="C943" s="319"/>
      <c r="D943" s="614"/>
      <c r="E943" s="614"/>
      <c r="F943" s="614"/>
      <c r="G943" s="614"/>
      <c r="H943" s="614"/>
      <c r="I943" s="614"/>
      <c r="J943" s="614"/>
      <c r="K943" s="614"/>
      <c r="L943" s="614"/>
      <c r="M943" s="614"/>
      <c r="N943" s="614"/>
      <c r="O943" s="614"/>
      <c r="P943" s="614"/>
      <c r="Q943" s="614"/>
      <c r="R943" s="614"/>
      <c r="S943" s="614"/>
      <c r="T943" s="614"/>
      <c r="U943" s="614"/>
      <c r="V943" s="614"/>
      <c r="W943" s="614"/>
      <c r="X943" s="614"/>
      <c r="Y943" s="614"/>
      <c r="Z943" s="614"/>
      <c r="AA943" s="614"/>
      <c r="AB943" s="614"/>
      <c r="AC943" s="614"/>
    </row>
    <row r="944" spans="1:29" ht="12.75" customHeight="1">
      <c r="A944" s="319"/>
      <c r="B944" s="614"/>
      <c r="C944" s="319"/>
      <c r="D944" s="614"/>
      <c r="E944" s="614"/>
      <c r="F944" s="614"/>
      <c r="G944" s="614"/>
      <c r="H944" s="614"/>
      <c r="I944" s="614"/>
      <c r="J944" s="614"/>
      <c r="K944" s="614"/>
      <c r="L944" s="614"/>
      <c r="M944" s="614"/>
      <c r="N944" s="614"/>
      <c r="O944" s="614"/>
      <c r="P944" s="614"/>
      <c r="Q944" s="614"/>
      <c r="R944" s="614"/>
      <c r="S944" s="614"/>
      <c r="T944" s="614"/>
      <c r="U944" s="614"/>
      <c r="V944" s="614"/>
      <c r="W944" s="614"/>
      <c r="X944" s="614"/>
      <c r="Y944" s="614"/>
      <c r="Z944" s="614"/>
      <c r="AA944" s="614"/>
      <c r="AB944" s="614"/>
      <c r="AC944" s="614"/>
    </row>
    <row r="945" spans="1:29" ht="12.75" customHeight="1">
      <c r="A945" s="319"/>
      <c r="B945" s="614"/>
      <c r="C945" s="319"/>
      <c r="D945" s="614"/>
      <c r="E945" s="614"/>
      <c r="F945" s="614"/>
      <c r="G945" s="614"/>
      <c r="H945" s="614"/>
      <c r="I945" s="614"/>
      <c r="J945" s="614"/>
      <c r="K945" s="614"/>
      <c r="L945" s="614"/>
      <c r="M945" s="614"/>
      <c r="N945" s="614"/>
      <c r="O945" s="614"/>
      <c r="P945" s="614"/>
      <c r="Q945" s="614"/>
      <c r="R945" s="614"/>
      <c r="S945" s="614"/>
      <c r="T945" s="614"/>
      <c r="U945" s="614"/>
      <c r="V945" s="614"/>
      <c r="W945" s="614"/>
      <c r="X945" s="614"/>
      <c r="Y945" s="614"/>
      <c r="Z945" s="614"/>
      <c r="AA945" s="614"/>
      <c r="AB945" s="614"/>
      <c r="AC945" s="614"/>
    </row>
    <row r="946" spans="1:29" ht="12.75" customHeight="1">
      <c r="A946" s="319"/>
      <c r="B946" s="614"/>
      <c r="C946" s="319"/>
      <c r="D946" s="614"/>
      <c r="E946" s="614"/>
      <c r="F946" s="614"/>
      <c r="G946" s="614"/>
      <c r="H946" s="614"/>
      <c r="I946" s="614"/>
      <c r="J946" s="614"/>
      <c r="K946" s="614"/>
      <c r="L946" s="614"/>
      <c r="M946" s="614"/>
      <c r="N946" s="614"/>
      <c r="O946" s="614"/>
      <c r="P946" s="614"/>
      <c r="Q946" s="614"/>
      <c r="R946" s="614"/>
      <c r="S946" s="614"/>
      <c r="T946" s="614"/>
      <c r="U946" s="614"/>
      <c r="V946" s="614"/>
      <c r="W946" s="614"/>
      <c r="X946" s="614"/>
      <c r="Y946" s="614"/>
      <c r="Z946" s="614"/>
      <c r="AA946" s="614"/>
      <c r="AB946" s="614"/>
      <c r="AC946" s="614"/>
    </row>
    <row r="947" spans="1:29" ht="12.75" customHeight="1">
      <c r="A947" s="319"/>
      <c r="B947" s="614"/>
      <c r="C947" s="319"/>
      <c r="D947" s="614"/>
      <c r="E947" s="614"/>
      <c r="F947" s="614"/>
      <c r="G947" s="614"/>
      <c r="H947" s="614"/>
      <c r="I947" s="614"/>
      <c r="J947" s="614"/>
      <c r="K947" s="614"/>
      <c r="L947" s="614"/>
      <c r="M947" s="614"/>
      <c r="N947" s="614"/>
      <c r="O947" s="614"/>
      <c r="P947" s="614"/>
      <c r="Q947" s="614"/>
      <c r="R947" s="614"/>
      <c r="S947" s="614"/>
      <c r="T947" s="614"/>
      <c r="U947" s="614"/>
      <c r="V947" s="614"/>
      <c r="W947" s="614"/>
      <c r="X947" s="614"/>
      <c r="Y947" s="614"/>
      <c r="Z947" s="614"/>
      <c r="AA947" s="614"/>
      <c r="AB947" s="614"/>
      <c r="AC947" s="614"/>
    </row>
    <row r="948" spans="1:29" ht="12.75" customHeight="1">
      <c r="A948" s="319"/>
      <c r="B948" s="614"/>
      <c r="C948" s="319"/>
      <c r="D948" s="614"/>
      <c r="E948" s="614"/>
      <c r="F948" s="614"/>
      <c r="G948" s="614"/>
      <c r="H948" s="614"/>
      <c r="I948" s="614"/>
      <c r="J948" s="614"/>
      <c r="K948" s="614"/>
      <c r="L948" s="614"/>
      <c r="M948" s="614"/>
      <c r="N948" s="614"/>
      <c r="O948" s="614"/>
      <c r="P948" s="614"/>
      <c r="Q948" s="614"/>
      <c r="R948" s="614"/>
      <c r="S948" s="614"/>
      <c r="T948" s="614"/>
      <c r="U948" s="614"/>
      <c r="V948" s="614"/>
      <c r="W948" s="614"/>
      <c r="X948" s="614"/>
      <c r="Y948" s="614"/>
      <c r="Z948" s="614"/>
      <c r="AA948" s="614"/>
      <c r="AB948" s="614"/>
      <c r="AC948" s="614"/>
    </row>
    <row r="949" spans="1:29" ht="12.75" customHeight="1">
      <c r="A949" s="319"/>
      <c r="B949" s="614"/>
      <c r="C949" s="319"/>
      <c r="D949" s="614"/>
      <c r="E949" s="614"/>
      <c r="F949" s="614"/>
      <c r="G949" s="614"/>
      <c r="H949" s="614"/>
      <c r="I949" s="614"/>
      <c r="J949" s="614"/>
      <c r="K949" s="614"/>
      <c r="L949" s="614"/>
      <c r="M949" s="614"/>
      <c r="N949" s="614"/>
      <c r="O949" s="614"/>
      <c r="P949" s="614"/>
      <c r="Q949" s="614"/>
      <c r="R949" s="614"/>
      <c r="S949" s="614"/>
      <c r="T949" s="614"/>
      <c r="U949" s="614"/>
      <c r="V949" s="614"/>
      <c r="W949" s="614"/>
      <c r="X949" s="614"/>
      <c r="Y949" s="614"/>
      <c r="Z949" s="614"/>
      <c r="AA949" s="614"/>
      <c r="AB949" s="614"/>
      <c r="AC949" s="614"/>
    </row>
    <row r="950" spans="1:29" ht="12.75" customHeight="1">
      <c r="A950" s="319"/>
      <c r="B950" s="614"/>
      <c r="C950" s="319"/>
      <c r="D950" s="614"/>
      <c r="E950" s="614"/>
      <c r="F950" s="614"/>
      <c r="G950" s="614"/>
      <c r="H950" s="614"/>
      <c r="I950" s="614"/>
      <c r="J950" s="614"/>
      <c r="K950" s="614"/>
      <c r="L950" s="614"/>
      <c r="M950" s="614"/>
      <c r="N950" s="614"/>
      <c r="O950" s="614"/>
      <c r="P950" s="614"/>
      <c r="Q950" s="614"/>
      <c r="R950" s="614"/>
      <c r="S950" s="614"/>
      <c r="T950" s="614"/>
      <c r="U950" s="614"/>
      <c r="V950" s="614"/>
      <c r="W950" s="614"/>
      <c r="X950" s="614"/>
      <c r="Y950" s="614"/>
      <c r="Z950" s="614"/>
      <c r="AA950" s="614"/>
      <c r="AB950" s="614"/>
      <c r="AC950" s="614"/>
    </row>
    <row r="951" spans="1:29" ht="12.75" customHeight="1">
      <c r="A951" s="319"/>
      <c r="B951" s="614"/>
      <c r="C951" s="319"/>
      <c r="D951" s="614"/>
      <c r="E951" s="614"/>
      <c r="F951" s="614"/>
      <c r="G951" s="614"/>
      <c r="H951" s="614"/>
      <c r="I951" s="614"/>
      <c r="J951" s="614"/>
      <c r="K951" s="614"/>
      <c r="L951" s="614"/>
      <c r="M951" s="614"/>
      <c r="N951" s="614"/>
      <c r="O951" s="614"/>
      <c r="P951" s="614"/>
      <c r="Q951" s="614"/>
      <c r="R951" s="614"/>
      <c r="S951" s="614"/>
      <c r="T951" s="614"/>
      <c r="U951" s="614"/>
      <c r="V951" s="614"/>
      <c r="W951" s="614"/>
      <c r="X951" s="614"/>
      <c r="Y951" s="614"/>
      <c r="Z951" s="614"/>
      <c r="AA951" s="614"/>
      <c r="AB951" s="614"/>
      <c r="AC951" s="614"/>
    </row>
    <row r="952" spans="1:29" ht="12.75" customHeight="1">
      <c r="A952" s="319"/>
      <c r="B952" s="614"/>
      <c r="C952" s="319"/>
      <c r="D952" s="614"/>
      <c r="E952" s="614"/>
      <c r="F952" s="614"/>
      <c r="G952" s="614"/>
      <c r="H952" s="614"/>
      <c r="I952" s="614"/>
      <c r="J952" s="614"/>
      <c r="K952" s="614"/>
      <c r="L952" s="614"/>
      <c r="M952" s="614"/>
      <c r="N952" s="614"/>
      <c r="O952" s="614"/>
      <c r="P952" s="614"/>
      <c r="Q952" s="614"/>
      <c r="R952" s="614"/>
      <c r="S952" s="614"/>
      <c r="T952" s="614"/>
      <c r="U952" s="614"/>
      <c r="V952" s="614"/>
      <c r="W952" s="614"/>
      <c r="X952" s="614"/>
      <c r="Y952" s="614"/>
      <c r="Z952" s="614"/>
      <c r="AA952" s="614"/>
      <c r="AB952" s="614"/>
      <c r="AC952" s="614"/>
    </row>
    <row r="953" spans="1:29" ht="12.75" customHeight="1">
      <c r="A953" s="319"/>
      <c r="B953" s="614"/>
      <c r="C953" s="319"/>
      <c r="D953" s="614"/>
      <c r="E953" s="614"/>
      <c r="F953" s="614"/>
      <c r="G953" s="614"/>
      <c r="H953" s="614"/>
      <c r="I953" s="614"/>
      <c r="J953" s="614"/>
      <c r="K953" s="614"/>
      <c r="L953" s="614"/>
      <c r="M953" s="614"/>
      <c r="N953" s="614"/>
      <c r="O953" s="614"/>
      <c r="P953" s="614"/>
      <c r="Q953" s="614"/>
      <c r="R953" s="614"/>
      <c r="S953" s="614"/>
      <c r="T953" s="614"/>
      <c r="U953" s="614"/>
      <c r="V953" s="614"/>
      <c r="W953" s="614"/>
      <c r="X953" s="614"/>
      <c r="Y953" s="614"/>
      <c r="Z953" s="614"/>
      <c r="AA953" s="614"/>
      <c r="AB953" s="614"/>
      <c r="AC953" s="614"/>
    </row>
    <row r="954" spans="1:29" ht="12.75" customHeight="1">
      <c r="A954" s="319"/>
      <c r="B954" s="614"/>
      <c r="C954" s="319"/>
      <c r="D954" s="614"/>
      <c r="E954" s="614"/>
      <c r="F954" s="614"/>
      <c r="G954" s="614"/>
      <c r="H954" s="614"/>
      <c r="I954" s="614"/>
      <c r="J954" s="614"/>
      <c r="K954" s="614"/>
      <c r="L954" s="614"/>
      <c r="M954" s="614"/>
      <c r="N954" s="614"/>
      <c r="O954" s="614"/>
      <c r="P954" s="614"/>
      <c r="Q954" s="614"/>
      <c r="R954" s="614"/>
      <c r="S954" s="614"/>
      <c r="T954" s="614"/>
      <c r="U954" s="614"/>
      <c r="V954" s="614"/>
      <c r="W954" s="614"/>
      <c r="X954" s="614"/>
      <c r="Y954" s="614"/>
      <c r="Z954" s="614"/>
      <c r="AA954" s="614"/>
      <c r="AB954" s="614"/>
      <c r="AC954" s="614"/>
    </row>
    <row r="955" spans="1:29" ht="12.75" customHeight="1">
      <c r="A955" s="319"/>
      <c r="B955" s="614"/>
      <c r="C955" s="319"/>
      <c r="D955" s="614"/>
      <c r="E955" s="614"/>
      <c r="F955" s="614"/>
      <c r="G955" s="614"/>
      <c r="H955" s="614"/>
      <c r="I955" s="614"/>
      <c r="J955" s="614"/>
      <c r="K955" s="614"/>
      <c r="L955" s="614"/>
      <c r="M955" s="614"/>
      <c r="N955" s="614"/>
      <c r="O955" s="614"/>
      <c r="P955" s="614"/>
      <c r="Q955" s="614"/>
      <c r="R955" s="614"/>
      <c r="S955" s="614"/>
      <c r="T955" s="614"/>
      <c r="U955" s="614"/>
      <c r="V955" s="614"/>
      <c r="W955" s="614"/>
      <c r="X955" s="614"/>
      <c r="Y955" s="614"/>
      <c r="Z955" s="614"/>
      <c r="AA955" s="614"/>
      <c r="AB955" s="614"/>
      <c r="AC955" s="614"/>
    </row>
    <row r="956" spans="1:29" ht="12.75" customHeight="1">
      <c r="A956" s="319"/>
      <c r="B956" s="614"/>
      <c r="C956" s="319"/>
      <c r="D956" s="614"/>
      <c r="E956" s="614"/>
      <c r="F956" s="614"/>
      <c r="G956" s="614"/>
      <c r="H956" s="614"/>
      <c r="I956" s="614"/>
      <c r="J956" s="614"/>
      <c r="K956" s="614"/>
      <c r="L956" s="614"/>
      <c r="M956" s="614"/>
      <c r="N956" s="614"/>
      <c r="O956" s="614"/>
      <c r="P956" s="614"/>
      <c r="Q956" s="614"/>
      <c r="R956" s="614"/>
      <c r="S956" s="614"/>
      <c r="T956" s="614"/>
      <c r="U956" s="614"/>
      <c r="V956" s="614"/>
      <c r="W956" s="614"/>
      <c r="X956" s="614"/>
      <c r="Y956" s="614"/>
      <c r="Z956" s="614"/>
      <c r="AA956" s="614"/>
      <c r="AB956" s="614"/>
      <c r="AC956" s="614"/>
    </row>
    <row r="957" spans="1:29" ht="12.75" customHeight="1">
      <c r="A957" s="319"/>
      <c r="B957" s="614"/>
      <c r="C957" s="319"/>
      <c r="D957" s="614"/>
      <c r="E957" s="614"/>
      <c r="F957" s="614"/>
      <c r="G957" s="614"/>
      <c r="H957" s="614"/>
      <c r="I957" s="614"/>
      <c r="J957" s="614"/>
      <c r="K957" s="614"/>
      <c r="L957" s="614"/>
      <c r="M957" s="614"/>
      <c r="N957" s="614"/>
      <c r="O957" s="614"/>
      <c r="P957" s="614"/>
      <c r="Q957" s="614"/>
      <c r="R957" s="614"/>
      <c r="S957" s="614"/>
      <c r="T957" s="614"/>
      <c r="U957" s="614"/>
      <c r="V957" s="614"/>
      <c r="W957" s="614"/>
      <c r="X957" s="614"/>
      <c r="Y957" s="614"/>
      <c r="Z957" s="614"/>
      <c r="AA957" s="614"/>
      <c r="AB957" s="614"/>
      <c r="AC957" s="614"/>
    </row>
    <row r="958" spans="1:29" ht="12.75" customHeight="1">
      <c r="A958" s="319"/>
      <c r="B958" s="614"/>
      <c r="C958" s="319"/>
      <c r="D958" s="614"/>
      <c r="E958" s="614"/>
      <c r="F958" s="614"/>
      <c r="G958" s="614"/>
      <c r="H958" s="614"/>
      <c r="I958" s="614"/>
      <c r="J958" s="614"/>
      <c r="K958" s="614"/>
      <c r="L958" s="614"/>
      <c r="M958" s="614"/>
      <c r="N958" s="614"/>
      <c r="O958" s="614"/>
      <c r="P958" s="614"/>
      <c r="Q958" s="614"/>
      <c r="R958" s="614"/>
      <c r="S958" s="614"/>
      <c r="T958" s="614"/>
      <c r="U958" s="614"/>
      <c r="V958" s="614"/>
      <c r="W958" s="614"/>
      <c r="X958" s="614"/>
      <c r="Y958" s="614"/>
      <c r="Z958" s="614"/>
      <c r="AA958" s="614"/>
      <c r="AB958" s="614"/>
      <c r="AC958" s="614"/>
    </row>
    <row r="959" spans="1:29" ht="12.75" customHeight="1">
      <c r="A959" s="319"/>
      <c r="B959" s="614"/>
      <c r="C959" s="319"/>
      <c r="D959" s="614"/>
      <c r="E959" s="614"/>
      <c r="F959" s="614"/>
      <c r="G959" s="614"/>
      <c r="H959" s="614"/>
      <c r="I959" s="614"/>
      <c r="J959" s="614"/>
      <c r="K959" s="614"/>
      <c r="L959" s="614"/>
      <c r="M959" s="614"/>
      <c r="N959" s="614"/>
      <c r="O959" s="614"/>
      <c r="P959" s="614"/>
      <c r="Q959" s="614"/>
      <c r="R959" s="614"/>
      <c r="S959" s="614"/>
      <c r="T959" s="614"/>
      <c r="U959" s="614"/>
      <c r="V959" s="614"/>
      <c r="W959" s="614"/>
      <c r="X959" s="614"/>
      <c r="Y959" s="614"/>
      <c r="Z959" s="614"/>
      <c r="AA959" s="614"/>
      <c r="AB959" s="614"/>
      <c r="AC959" s="614"/>
    </row>
    <row r="960" spans="1:29" ht="12.75" customHeight="1">
      <c r="A960" s="319"/>
      <c r="B960" s="614"/>
      <c r="C960" s="319"/>
      <c r="D960" s="614"/>
      <c r="E960" s="614"/>
      <c r="F960" s="614"/>
      <c r="G960" s="614"/>
      <c r="H960" s="614"/>
      <c r="I960" s="614"/>
      <c r="J960" s="614"/>
      <c r="K960" s="614"/>
      <c r="L960" s="614"/>
      <c r="M960" s="614"/>
      <c r="N960" s="614"/>
      <c r="O960" s="614"/>
      <c r="P960" s="614"/>
      <c r="Q960" s="614"/>
      <c r="R960" s="614"/>
      <c r="S960" s="614"/>
      <c r="T960" s="614"/>
      <c r="U960" s="614"/>
      <c r="V960" s="614"/>
      <c r="W960" s="614"/>
      <c r="X960" s="614"/>
      <c r="Y960" s="614"/>
      <c r="Z960" s="614"/>
      <c r="AA960" s="614"/>
      <c r="AB960" s="614"/>
      <c r="AC960" s="614"/>
    </row>
    <row r="961" spans="1:29" ht="12.75" customHeight="1">
      <c r="A961" s="319"/>
      <c r="B961" s="614"/>
      <c r="C961" s="319"/>
      <c r="D961" s="614"/>
      <c r="E961" s="614"/>
      <c r="F961" s="614"/>
      <c r="G961" s="614"/>
      <c r="H961" s="614"/>
      <c r="I961" s="614"/>
      <c r="J961" s="614"/>
      <c r="K961" s="614"/>
      <c r="L961" s="614"/>
      <c r="M961" s="614"/>
      <c r="N961" s="614"/>
      <c r="O961" s="614"/>
      <c r="P961" s="614"/>
      <c r="Q961" s="614"/>
      <c r="R961" s="614"/>
      <c r="S961" s="614"/>
      <c r="T961" s="614"/>
      <c r="U961" s="614"/>
      <c r="V961" s="614"/>
      <c r="W961" s="614"/>
      <c r="X961" s="614"/>
      <c r="Y961" s="614"/>
      <c r="Z961" s="614"/>
      <c r="AA961" s="614"/>
      <c r="AB961" s="614"/>
      <c r="AC961" s="614"/>
    </row>
    <row r="962" spans="1:29" ht="12.75" customHeight="1">
      <c r="A962" s="319"/>
      <c r="B962" s="614"/>
      <c r="C962" s="319"/>
      <c r="D962" s="614"/>
      <c r="E962" s="614"/>
      <c r="F962" s="614"/>
      <c r="G962" s="614"/>
      <c r="H962" s="614"/>
      <c r="I962" s="614"/>
      <c r="J962" s="614"/>
      <c r="K962" s="614"/>
      <c r="L962" s="614"/>
      <c r="M962" s="614"/>
      <c r="N962" s="614"/>
      <c r="O962" s="614"/>
      <c r="P962" s="614"/>
      <c r="Q962" s="614"/>
      <c r="R962" s="614"/>
      <c r="S962" s="614"/>
      <c r="T962" s="614"/>
      <c r="U962" s="614"/>
      <c r="V962" s="614"/>
      <c r="W962" s="614"/>
      <c r="X962" s="614"/>
      <c r="Y962" s="614"/>
      <c r="Z962" s="614"/>
      <c r="AA962" s="614"/>
      <c r="AB962" s="614"/>
      <c r="AC962" s="614"/>
    </row>
    <row r="963" spans="1:29" ht="12.75" customHeight="1">
      <c r="A963" s="319"/>
      <c r="B963" s="614"/>
      <c r="C963" s="319"/>
      <c r="D963" s="614"/>
      <c r="E963" s="614"/>
      <c r="F963" s="614"/>
      <c r="G963" s="614"/>
      <c r="H963" s="614"/>
      <c r="I963" s="614"/>
      <c r="J963" s="614"/>
      <c r="K963" s="614"/>
      <c r="L963" s="614"/>
      <c r="M963" s="614"/>
      <c r="N963" s="614"/>
      <c r="O963" s="614"/>
      <c r="P963" s="614"/>
      <c r="Q963" s="614"/>
      <c r="R963" s="614"/>
      <c r="S963" s="614"/>
      <c r="T963" s="614"/>
      <c r="U963" s="614"/>
      <c r="V963" s="614"/>
      <c r="W963" s="614"/>
      <c r="X963" s="614"/>
      <c r="Y963" s="614"/>
      <c r="Z963" s="614"/>
      <c r="AA963" s="614"/>
      <c r="AB963" s="614"/>
      <c r="AC963" s="614"/>
    </row>
    <row r="964" spans="1:29" ht="12.75" customHeight="1">
      <c r="A964" s="319"/>
      <c r="B964" s="614"/>
      <c r="C964" s="319"/>
      <c r="D964" s="614"/>
      <c r="E964" s="614"/>
      <c r="F964" s="614"/>
      <c r="G964" s="614"/>
      <c r="H964" s="614"/>
      <c r="I964" s="614"/>
      <c r="J964" s="614"/>
      <c r="K964" s="614"/>
      <c r="L964" s="614"/>
      <c r="M964" s="614"/>
      <c r="N964" s="614"/>
      <c r="O964" s="614"/>
      <c r="P964" s="614"/>
      <c r="Q964" s="614"/>
      <c r="R964" s="614"/>
      <c r="S964" s="614"/>
      <c r="T964" s="614"/>
      <c r="U964" s="614"/>
      <c r="V964" s="614"/>
      <c r="W964" s="614"/>
      <c r="X964" s="614"/>
      <c r="Y964" s="614"/>
      <c r="Z964" s="614"/>
      <c r="AA964" s="614"/>
      <c r="AB964" s="614"/>
      <c r="AC964" s="614"/>
    </row>
    <row r="965" spans="1:29" ht="12.75" customHeight="1">
      <c r="A965" s="319"/>
      <c r="B965" s="614"/>
      <c r="C965" s="319"/>
      <c r="D965" s="614"/>
      <c r="E965" s="614"/>
      <c r="F965" s="614"/>
      <c r="G965" s="614"/>
      <c r="H965" s="614"/>
      <c r="I965" s="614"/>
      <c r="J965" s="614"/>
      <c r="K965" s="614"/>
      <c r="L965" s="614"/>
      <c r="M965" s="614"/>
      <c r="N965" s="614"/>
      <c r="O965" s="614"/>
      <c r="P965" s="614"/>
      <c r="Q965" s="614"/>
      <c r="R965" s="614"/>
      <c r="S965" s="614"/>
      <c r="T965" s="614"/>
      <c r="U965" s="614"/>
      <c r="V965" s="614"/>
      <c r="W965" s="614"/>
      <c r="X965" s="614"/>
      <c r="Y965" s="614"/>
      <c r="Z965" s="614"/>
      <c r="AA965" s="614"/>
      <c r="AB965" s="614"/>
      <c r="AC965" s="614"/>
    </row>
    <row r="966" spans="1:29" ht="12.75" customHeight="1">
      <c r="A966" s="319"/>
      <c r="B966" s="614"/>
      <c r="C966" s="319"/>
      <c r="D966" s="614"/>
      <c r="E966" s="614"/>
      <c r="F966" s="614"/>
      <c r="G966" s="614"/>
      <c r="H966" s="614"/>
      <c r="I966" s="614"/>
      <c r="J966" s="614"/>
      <c r="K966" s="614"/>
      <c r="L966" s="614"/>
      <c r="M966" s="614"/>
      <c r="N966" s="614"/>
      <c r="O966" s="614"/>
      <c r="P966" s="614"/>
      <c r="Q966" s="614"/>
      <c r="R966" s="614"/>
      <c r="S966" s="614"/>
      <c r="T966" s="614"/>
      <c r="U966" s="614"/>
      <c r="V966" s="614"/>
      <c r="W966" s="614"/>
      <c r="X966" s="614"/>
      <c r="Y966" s="614"/>
      <c r="Z966" s="614"/>
      <c r="AA966" s="614"/>
      <c r="AB966" s="614"/>
      <c r="AC966" s="614"/>
    </row>
    <row r="967" spans="1:29" ht="12.75" customHeight="1">
      <c r="A967" s="319"/>
      <c r="B967" s="614"/>
      <c r="C967" s="319"/>
      <c r="D967" s="614"/>
      <c r="E967" s="614"/>
      <c r="F967" s="614"/>
      <c r="G967" s="614"/>
      <c r="H967" s="614"/>
      <c r="I967" s="614"/>
      <c r="J967" s="614"/>
      <c r="K967" s="614"/>
      <c r="L967" s="614"/>
      <c r="M967" s="614"/>
      <c r="N967" s="614"/>
      <c r="O967" s="614"/>
      <c r="P967" s="614"/>
      <c r="Q967" s="614"/>
      <c r="R967" s="614"/>
      <c r="S967" s="614"/>
      <c r="T967" s="614"/>
      <c r="U967" s="614"/>
      <c r="V967" s="614"/>
      <c r="W967" s="614"/>
      <c r="X967" s="614"/>
      <c r="Y967" s="614"/>
      <c r="Z967" s="614"/>
      <c r="AA967" s="614"/>
      <c r="AB967" s="614"/>
      <c r="AC967" s="614"/>
    </row>
    <row r="968" spans="1:29" ht="12.75" customHeight="1">
      <c r="A968" s="319"/>
      <c r="B968" s="614"/>
      <c r="C968" s="319"/>
      <c r="D968" s="614"/>
      <c r="E968" s="614"/>
      <c r="F968" s="614"/>
      <c r="G968" s="614"/>
      <c r="H968" s="614"/>
      <c r="I968" s="614"/>
      <c r="J968" s="614"/>
      <c r="K968" s="614"/>
      <c r="L968" s="614"/>
      <c r="M968" s="614"/>
      <c r="N968" s="614"/>
      <c r="O968" s="614"/>
      <c r="P968" s="614"/>
      <c r="Q968" s="614"/>
      <c r="R968" s="614"/>
      <c r="S968" s="614"/>
      <c r="T968" s="614"/>
      <c r="U968" s="614"/>
      <c r="V968" s="614"/>
      <c r="W968" s="614"/>
      <c r="X968" s="614"/>
      <c r="Y968" s="614"/>
      <c r="Z968" s="614"/>
      <c r="AA968" s="614"/>
      <c r="AB968" s="614"/>
      <c r="AC968" s="614"/>
    </row>
    <row r="969" spans="1:29" ht="12.75" customHeight="1">
      <c r="A969" s="319"/>
      <c r="B969" s="614"/>
      <c r="C969" s="319"/>
      <c r="D969" s="614"/>
      <c r="E969" s="614"/>
      <c r="F969" s="614"/>
      <c r="G969" s="614"/>
      <c r="H969" s="614"/>
      <c r="I969" s="614"/>
      <c r="J969" s="614"/>
      <c r="K969" s="614"/>
      <c r="L969" s="614"/>
      <c r="M969" s="614"/>
      <c r="N969" s="614"/>
      <c r="O969" s="614"/>
      <c r="P969" s="614"/>
      <c r="Q969" s="614"/>
      <c r="R969" s="614"/>
      <c r="S969" s="614"/>
      <c r="T969" s="614"/>
      <c r="U969" s="614"/>
      <c r="V969" s="614"/>
      <c r="W969" s="614"/>
      <c r="X969" s="614"/>
      <c r="Y969" s="614"/>
      <c r="Z969" s="614"/>
      <c r="AA969" s="614"/>
      <c r="AB969" s="614"/>
      <c r="AC969" s="614"/>
    </row>
    <row r="970" spans="1:29" ht="12.75" customHeight="1">
      <c r="A970" s="319"/>
      <c r="B970" s="614"/>
      <c r="C970" s="319"/>
      <c r="D970" s="614"/>
      <c r="E970" s="614"/>
      <c r="F970" s="614"/>
      <c r="G970" s="614"/>
      <c r="H970" s="614"/>
      <c r="I970" s="614"/>
      <c r="J970" s="614"/>
      <c r="K970" s="614"/>
      <c r="L970" s="614"/>
      <c r="M970" s="614"/>
      <c r="N970" s="614"/>
      <c r="O970" s="614"/>
      <c r="P970" s="614"/>
      <c r="Q970" s="614"/>
      <c r="R970" s="614"/>
      <c r="S970" s="614"/>
      <c r="T970" s="614"/>
      <c r="U970" s="614"/>
      <c r="V970" s="614"/>
      <c r="W970" s="614"/>
      <c r="X970" s="614"/>
      <c r="Y970" s="614"/>
      <c r="Z970" s="614"/>
      <c r="AA970" s="614"/>
      <c r="AB970" s="614"/>
      <c r="AC970" s="614"/>
    </row>
    <row r="971" spans="1:29" ht="12.75" customHeight="1">
      <c r="A971" s="319"/>
      <c r="B971" s="614"/>
      <c r="C971" s="319"/>
      <c r="D971" s="614"/>
      <c r="E971" s="614"/>
      <c r="F971" s="614"/>
      <c r="G971" s="614"/>
      <c r="H971" s="614"/>
      <c r="I971" s="614"/>
      <c r="J971" s="614"/>
      <c r="K971" s="614"/>
      <c r="L971" s="614"/>
      <c r="M971" s="614"/>
      <c r="N971" s="614"/>
      <c r="O971" s="614"/>
      <c r="P971" s="614"/>
      <c r="Q971" s="614"/>
      <c r="R971" s="614"/>
      <c r="S971" s="614"/>
      <c r="T971" s="614"/>
      <c r="U971" s="614"/>
      <c r="V971" s="614"/>
      <c r="W971" s="614"/>
      <c r="X971" s="614"/>
      <c r="Y971" s="614"/>
      <c r="Z971" s="614"/>
      <c r="AA971" s="614"/>
      <c r="AB971" s="614"/>
      <c r="AC971" s="614"/>
    </row>
    <row r="972" spans="1:29" ht="12.75" customHeight="1">
      <c r="A972" s="319"/>
      <c r="B972" s="614"/>
      <c r="C972" s="319"/>
      <c r="D972" s="614"/>
      <c r="E972" s="614"/>
      <c r="F972" s="614"/>
      <c r="G972" s="614"/>
      <c r="H972" s="614"/>
      <c r="I972" s="614"/>
      <c r="J972" s="614"/>
      <c r="K972" s="614"/>
      <c r="L972" s="614"/>
      <c r="M972" s="614"/>
      <c r="N972" s="614"/>
      <c r="O972" s="614"/>
      <c r="P972" s="614"/>
      <c r="Q972" s="614"/>
      <c r="R972" s="614"/>
      <c r="S972" s="614"/>
      <c r="T972" s="614"/>
      <c r="U972" s="614"/>
      <c r="V972" s="614"/>
      <c r="W972" s="614"/>
      <c r="X972" s="614"/>
      <c r="Y972" s="614"/>
      <c r="Z972" s="614"/>
      <c r="AA972" s="614"/>
      <c r="AB972" s="614"/>
      <c r="AC972" s="614"/>
    </row>
    <row r="973" spans="1:29" ht="12.75" customHeight="1">
      <c r="A973" s="319"/>
      <c r="B973" s="614"/>
      <c r="C973" s="319"/>
      <c r="D973" s="614"/>
      <c r="E973" s="614"/>
      <c r="F973" s="614"/>
      <c r="G973" s="614"/>
      <c r="H973" s="614"/>
      <c r="I973" s="614"/>
      <c r="J973" s="614"/>
      <c r="K973" s="614"/>
      <c r="L973" s="614"/>
      <c r="M973" s="614"/>
      <c r="N973" s="614"/>
      <c r="O973" s="614"/>
      <c r="P973" s="614"/>
      <c r="Q973" s="614"/>
      <c r="R973" s="614"/>
      <c r="S973" s="614"/>
      <c r="T973" s="614"/>
      <c r="U973" s="614"/>
      <c r="V973" s="614"/>
      <c r="W973" s="614"/>
      <c r="X973" s="614"/>
      <c r="Y973" s="614"/>
      <c r="Z973" s="614"/>
      <c r="AA973" s="614"/>
      <c r="AB973" s="614"/>
      <c r="AC973" s="614"/>
    </row>
    <row r="974" spans="1:29" ht="12.75" customHeight="1">
      <c r="A974" s="319"/>
      <c r="B974" s="614"/>
      <c r="C974" s="319"/>
      <c r="D974" s="614"/>
      <c r="E974" s="614"/>
      <c r="F974" s="614"/>
      <c r="G974" s="614"/>
      <c r="H974" s="614"/>
      <c r="I974" s="614"/>
      <c r="J974" s="614"/>
      <c r="K974" s="614"/>
      <c r="L974" s="614"/>
      <c r="M974" s="614"/>
      <c r="N974" s="614"/>
      <c r="O974" s="614"/>
      <c r="P974" s="614"/>
      <c r="Q974" s="614"/>
      <c r="R974" s="614"/>
      <c r="S974" s="614"/>
      <c r="T974" s="614"/>
      <c r="U974" s="614"/>
      <c r="V974" s="614"/>
      <c r="W974" s="614"/>
      <c r="X974" s="614"/>
      <c r="Y974" s="614"/>
      <c r="Z974" s="614"/>
      <c r="AA974" s="614"/>
      <c r="AB974" s="614"/>
      <c r="AC974" s="614"/>
    </row>
    <row r="975" spans="1:29" ht="12.75" customHeight="1">
      <c r="A975" s="319"/>
      <c r="B975" s="614"/>
      <c r="C975" s="319"/>
      <c r="D975" s="614"/>
      <c r="E975" s="614"/>
      <c r="F975" s="614"/>
      <c r="G975" s="614"/>
      <c r="H975" s="614"/>
      <c r="I975" s="614"/>
      <c r="J975" s="614"/>
      <c r="K975" s="614"/>
      <c r="L975" s="614"/>
      <c r="M975" s="614"/>
      <c r="N975" s="614"/>
      <c r="O975" s="614"/>
      <c r="P975" s="614"/>
      <c r="Q975" s="614"/>
      <c r="R975" s="614"/>
      <c r="S975" s="614"/>
      <c r="T975" s="614"/>
      <c r="U975" s="614"/>
      <c r="V975" s="614"/>
      <c r="W975" s="614"/>
      <c r="X975" s="614"/>
      <c r="Y975" s="614"/>
      <c r="Z975" s="614"/>
      <c r="AA975" s="614"/>
      <c r="AB975" s="614"/>
      <c r="AC975" s="614"/>
    </row>
    <row r="976" spans="1:29" ht="12.75" customHeight="1">
      <c r="A976" s="319"/>
      <c r="B976" s="614"/>
      <c r="C976" s="319"/>
      <c r="D976" s="614"/>
      <c r="E976" s="614"/>
      <c r="F976" s="614"/>
      <c r="G976" s="614"/>
      <c r="H976" s="614"/>
      <c r="I976" s="614"/>
      <c r="J976" s="614"/>
      <c r="K976" s="614"/>
      <c r="L976" s="614"/>
      <c r="M976" s="614"/>
      <c r="N976" s="614"/>
      <c r="O976" s="614"/>
      <c r="P976" s="614"/>
      <c r="Q976" s="614"/>
      <c r="R976" s="614"/>
      <c r="S976" s="614"/>
      <c r="T976" s="614"/>
      <c r="U976" s="614"/>
      <c r="V976" s="614"/>
      <c r="W976" s="614"/>
      <c r="X976" s="614"/>
      <c r="Y976" s="614"/>
      <c r="Z976" s="614"/>
      <c r="AA976" s="614"/>
      <c r="AB976" s="614"/>
      <c r="AC976" s="614"/>
    </row>
    <row r="977" spans="1:29" ht="12.75" customHeight="1">
      <c r="A977" s="319"/>
      <c r="B977" s="614"/>
      <c r="C977" s="319"/>
      <c r="D977" s="614"/>
      <c r="E977" s="614"/>
      <c r="F977" s="614"/>
      <c r="G977" s="614"/>
      <c r="H977" s="614"/>
      <c r="I977" s="614"/>
      <c r="J977" s="614"/>
      <c r="K977" s="614"/>
      <c r="L977" s="614"/>
      <c r="M977" s="614"/>
      <c r="N977" s="614"/>
      <c r="O977" s="614"/>
      <c r="P977" s="614"/>
      <c r="Q977" s="614"/>
      <c r="R977" s="614"/>
      <c r="S977" s="614"/>
      <c r="T977" s="614"/>
      <c r="U977" s="614"/>
      <c r="V977" s="614"/>
      <c r="W977" s="614"/>
      <c r="X977" s="614"/>
      <c r="Y977" s="614"/>
      <c r="Z977" s="614"/>
      <c r="AA977" s="614"/>
      <c r="AB977" s="614"/>
      <c r="AC977" s="614"/>
    </row>
    <row r="978" spans="1:29" ht="12.75" customHeight="1">
      <c r="A978" s="319"/>
      <c r="B978" s="614"/>
      <c r="C978" s="319"/>
      <c r="D978" s="614"/>
      <c r="E978" s="614"/>
      <c r="F978" s="614"/>
      <c r="G978" s="614"/>
      <c r="H978" s="614"/>
      <c r="I978" s="614"/>
      <c r="J978" s="614"/>
      <c r="K978" s="614"/>
      <c r="L978" s="614"/>
      <c r="M978" s="614"/>
      <c r="N978" s="614"/>
      <c r="O978" s="614"/>
      <c r="P978" s="614"/>
      <c r="Q978" s="614"/>
      <c r="R978" s="614"/>
      <c r="S978" s="614"/>
      <c r="T978" s="614"/>
      <c r="U978" s="614"/>
      <c r="V978" s="614"/>
      <c r="W978" s="614"/>
      <c r="X978" s="614"/>
      <c r="Y978" s="614"/>
      <c r="Z978" s="614"/>
      <c r="AA978" s="614"/>
      <c r="AB978" s="614"/>
      <c r="AC978" s="614"/>
    </row>
    <row r="979" spans="1:29" ht="12.75" customHeight="1">
      <c r="A979" s="319"/>
      <c r="B979" s="614"/>
      <c r="C979" s="319"/>
      <c r="D979" s="614"/>
      <c r="E979" s="614"/>
      <c r="F979" s="614"/>
      <c r="G979" s="614"/>
      <c r="H979" s="614"/>
      <c r="I979" s="614"/>
      <c r="J979" s="614"/>
      <c r="K979" s="614"/>
      <c r="L979" s="614"/>
      <c r="M979" s="614"/>
      <c r="N979" s="614"/>
      <c r="O979" s="614"/>
      <c r="P979" s="614"/>
      <c r="Q979" s="614"/>
      <c r="R979" s="614"/>
      <c r="S979" s="614"/>
      <c r="T979" s="614"/>
      <c r="U979" s="614"/>
      <c r="V979" s="614"/>
      <c r="W979" s="614"/>
      <c r="X979" s="614"/>
      <c r="Y979" s="614"/>
      <c r="Z979" s="614"/>
      <c r="AA979" s="614"/>
      <c r="AB979" s="614"/>
      <c r="AC979" s="614"/>
    </row>
    <row r="980" spans="1:29" ht="12.75" customHeight="1">
      <c r="A980" s="319"/>
      <c r="B980" s="614"/>
      <c r="C980" s="319"/>
      <c r="D980" s="614"/>
      <c r="E980" s="614"/>
      <c r="F980" s="614"/>
      <c r="G980" s="614"/>
      <c r="H980" s="614"/>
      <c r="I980" s="614"/>
      <c r="J980" s="614"/>
      <c r="K980" s="614"/>
      <c r="L980" s="614"/>
      <c r="M980" s="614"/>
      <c r="N980" s="614"/>
      <c r="O980" s="614"/>
      <c r="P980" s="614"/>
      <c r="Q980" s="614"/>
      <c r="R980" s="614"/>
      <c r="S980" s="614"/>
      <c r="T980" s="614"/>
      <c r="U980" s="614"/>
      <c r="V980" s="614"/>
      <c r="W980" s="614"/>
      <c r="X980" s="614"/>
      <c r="Y980" s="614"/>
      <c r="Z980" s="614"/>
      <c r="AA980" s="614"/>
      <c r="AB980" s="614"/>
      <c r="AC980" s="614"/>
    </row>
    <row r="981" spans="1:29" ht="12.75" customHeight="1">
      <c r="A981" s="319"/>
      <c r="B981" s="614"/>
      <c r="C981" s="319"/>
      <c r="D981" s="614"/>
      <c r="E981" s="614"/>
      <c r="F981" s="614"/>
      <c r="G981" s="614"/>
      <c r="H981" s="614"/>
      <c r="I981" s="614"/>
      <c r="J981" s="614"/>
      <c r="K981" s="614"/>
      <c r="L981" s="614"/>
      <c r="M981" s="614"/>
      <c r="N981" s="614"/>
      <c r="O981" s="614"/>
      <c r="P981" s="614"/>
      <c r="Q981" s="614"/>
      <c r="R981" s="614"/>
      <c r="S981" s="614"/>
      <c r="T981" s="614"/>
      <c r="U981" s="614"/>
      <c r="V981" s="614"/>
      <c r="W981" s="614"/>
      <c r="X981" s="614"/>
      <c r="Y981" s="614"/>
      <c r="Z981" s="614"/>
      <c r="AA981" s="614"/>
      <c r="AB981" s="614"/>
      <c r="AC981" s="614"/>
    </row>
    <row r="982" spans="1:29" ht="12.75" customHeight="1">
      <c r="A982" s="319"/>
      <c r="B982" s="614"/>
      <c r="C982" s="319"/>
      <c r="D982" s="614"/>
      <c r="E982" s="614"/>
      <c r="F982" s="614"/>
      <c r="G982" s="614"/>
      <c r="H982" s="614"/>
      <c r="I982" s="614"/>
      <c r="J982" s="614"/>
      <c r="K982" s="614"/>
      <c r="L982" s="614"/>
      <c r="M982" s="614"/>
      <c r="N982" s="614"/>
      <c r="O982" s="614"/>
      <c r="P982" s="614"/>
      <c r="Q982" s="614"/>
      <c r="R982" s="614"/>
      <c r="S982" s="614"/>
      <c r="T982" s="614"/>
      <c r="U982" s="614"/>
      <c r="V982" s="614"/>
      <c r="W982" s="614"/>
      <c r="X982" s="614"/>
      <c r="Y982" s="614"/>
      <c r="Z982" s="614"/>
      <c r="AA982" s="614"/>
      <c r="AB982" s="614"/>
      <c r="AC982" s="614"/>
    </row>
    <row r="983" spans="1:29" ht="12.75" customHeight="1">
      <c r="A983" s="319"/>
      <c r="B983" s="614"/>
      <c r="C983" s="319"/>
      <c r="D983" s="614"/>
      <c r="E983" s="614"/>
      <c r="F983" s="614"/>
      <c r="G983" s="614"/>
      <c r="H983" s="614"/>
      <c r="I983" s="614"/>
      <c r="J983" s="614"/>
      <c r="K983" s="614"/>
      <c r="L983" s="614"/>
      <c r="M983" s="614"/>
      <c r="N983" s="614"/>
      <c r="O983" s="614"/>
      <c r="P983" s="614"/>
      <c r="Q983" s="614"/>
      <c r="R983" s="614"/>
      <c r="S983" s="614"/>
      <c r="T983" s="614"/>
      <c r="U983" s="614"/>
      <c r="V983" s="614"/>
      <c r="W983" s="614"/>
      <c r="X983" s="614"/>
      <c r="Y983" s="614"/>
      <c r="Z983" s="614"/>
      <c r="AA983" s="614"/>
      <c r="AB983" s="614"/>
      <c r="AC983" s="614"/>
    </row>
    <row r="984" spans="1:29" ht="12.75" customHeight="1">
      <c r="A984" s="319"/>
      <c r="B984" s="614"/>
      <c r="C984" s="319"/>
      <c r="D984" s="614"/>
      <c r="E984" s="614"/>
      <c r="F984" s="614"/>
      <c r="G984" s="614"/>
      <c r="H984" s="614"/>
      <c r="I984" s="614"/>
      <c r="J984" s="614"/>
      <c r="K984" s="614"/>
      <c r="L984" s="614"/>
      <c r="M984" s="614"/>
      <c r="N984" s="614"/>
      <c r="O984" s="614"/>
      <c r="P984" s="614"/>
      <c r="Q984" s="614"/>
      <c r="R984" s="614"/>
      <c r="S984" s="614"/>
      <c r="T984" s="614"/>
      <c r="U984" s="614"/>
      <c r="V984" s="614"/>
      <c r="W984" s="614"/>
      <c r="X984" s="614"/>
      <c r="Y984" s="614"/>
      <c r="Z984" s="614"/>
      <c r="AA984" s="614"/>
      <c r="AB984" s="614"/>
      <c r="AC984" s="614"/>
    </row>
    <row r="985" spans="1:29" ht="12.75" customHeight="1">
      <c r="A985" s="319"/>
      <c r="B985" s="614"/>
      <c r="C985" s="319"/>
      <c r="D985" s="614"/>
      <c r="E985" s="614"/>
      <c r="F985" s="614"/>
      <c r="G985" s="614"/>
      <c r="H985" s="614"/>
      <c r="I985" s="614"/>
      <c r="J985" s="614"/>
      <c r="K985" s="614"/>
      <c r="L985" s="614"/>
      <c r="M985" s="614"/>
      <c r="N985" s="614"/>
      <c r="O985" s="614"/>
      <c r="P985" s="614"/>
      <c r="Q985" s="614"/>
      <c r="R985" s="614"/>
      <c r="S985" s="614"/>
      <c r="T985" s="614"/>
      <c r="U985" s="614"/>
      <c r="V985" s="614"/>
      <c r="W985" s="614"/>
      <c r="X985" s="614"/>
      <c r="Y985" s="614"/>
      <c r="Z985" s="614"/>
      <c r="AA985" s="614"/>
      <c r="AB985" s="614"/>
      <c r="AC985" s="614"/>
    </row>
    <row r="986" spans="1:29" ht="12.75" customHeight="1">
      <c r="A986" s="319"/>
      <c r="B986" s="614"/>
      <c r="C986" s="319"/>
      <c r="D986" s="614"/>
      <c r="E986" s="614"/>
      <c r="F986" s="614"/>
      <c r="G986" s="614"/>
      <c r="H986" s="614"/>
      <c r="I986" s="614"/>
      <c r="J986" s="614"/>
      <c r="K986" s="614"/>
      <c r="L986" s="614"/>
      <c r="M986" s="614"/>
      <c r="N986" s="614"/>
      <c r="O986" s="614"/>
      <c r="P986" s="614"/>
      <c r="Q986" s="614"/>
      <c r="R986" s="614"/>
      <c r="S986" s="614"/>
      <c r="T986" s="614"/>
      <c r="U986" s="614"/>
      <c r="V986" s="614"/>
      <c r="W986" s="614"/>
      <c r="X986" s="614"/>
      <c r="Y986" s="614"/>
      <c r="Z986" s="614"/>
      <c r="AA986" s="614"/>
      <c r="AB986" s="614"/>
      <c r="AC986" s="614"/>
    </row>
    <row r="987" spans="1:29" ht="12.75" customHeight="1">
      <c r="A987" s="319"/>
      <c r="B987" s="614"/>
      <c r="C987" s="319"/>
      <c r="D987" s="614"/>
      <c r="E987" s="614"/>
      <c r="F987" s="614"/>
      <c r="G987" s="614"/>
      <c r="H987" s="614"/>
      <c r="I987" s="614"/>
      <c r="J987" s="614"/>
      <c r="K987" s="614"/>
      <c r="L987" s="614"/>
      <c r="M987" s="614"/>
      <c r="N987" s="614"/>
      <c r="O987" s="614"/>
      <c r="P987" s="614"/>
      <c r="Q987" s="614"/>
      <c r="R987" s="614"/>
      <c r="S987" s="614"/>
      <c r="T987" s="614"/>
      <c r="U987" s="614"/>
      <c r="V987" s="614"/>
      <c r="W987" s="614"/>
      <c r="X987" s="614"/>
      <c r="Y987" s="614"/>
      <c r="Z987" s="614"/>
      <c r="AA987" s="614"/>
      <c r="AB987" s="614"/>
      <c r="AC987" s="614"/>
    </row>
    <row r="988" spans="1:29" ht="12.75" customHeight="1">
      <c r="A988" s="319"/>
      <c r="B988" s="614"/>
      <c r="C988" s="319"/>
      <c r="D988" s="614"/>
      <c r="E988" s="614"/>
      <c r="F988" s="614"/>
      <c r="G988" s="614"/>
      <c r="H988" s="614"/>
      <c r="I988" s="614"/>
      <c r="J988" s="614"/>
      <c r="K988" s="614"/>
      <c r="L988" s="614"/>
      <c r="M988" s="614"/>
      <c r="N988" s="614"/>
      <c r="O988" s="614"/>
      <c r="P988" s="614"/>
      <c r="Q988" s="614"/>
      <c r="R988" s="614"/>
      <c r="S988" s="614"/>
      <c r="T988" s="614"/>
      <c r="U988" s="614"/>
      <c r="V988" s="614"/>
      <c r="W988" s="614"/>
      <c r="X988" s="614"/>
      <c r="Y988" s="614"/>
      <c r="Z988" s="614"/>
      <c r="AA988" s="614"/>
      <c r="AB988" s="614"/>
      <c r="AC988" s="614"/>
    </row>
    <row r="989" spans="1:29" ht="12.75" customHeight="1">
      <c r="A989" s="319"/>
      <c r="B989" s="614"/>
      <c r="C989" s="319"/>
      <c r="D989" s="614"/>
      <c r="E989" s="614"/>
      <c r="F989" s="614"/>
      <c r="G989" s="614"/>
      <c r="H989" s="614"/>
      <c r="I989" s="614"/>
      <c r="J989" s="614"/>
      <c r="K989" s="614"/>
      <c r="L989" s="614"/>
      <c r="M989" s="614"/>
      <c r="N989" s="614"/>
      <c r="O989" s="614"/>
      <c r="P989" s="614"/>
      <c r="Q989" s="614"/>
      <c r="R989" s="614"/>
      <c r="S989" s="614"/>
      <c r="T989" s="614"/>
      <c r="U989" s="614"/>
      <c r="V989" s="614"/>
      <c r="W989" s="614"/>
      <c r="X989" s="614"/>
      <c r="Y989" s="614"/>
      <c r="Z989" s="614"/>
      <c r="AA989" s="614"/>
      <c r="AB989" s="614"/>
      <c r="AC989" s="614"/>
    </row>
    <row r="990" spans="1:29" ht="12.75" customHeight="1">
      <c r="A990" s="319"/>
      <c r="B990" s="614"/>
      <c r="C990" s="319"/>
      <c r="D990" s="614"/>
      <c r="E990" s="614"/>
      <c r="F990" s="614"/>
      <c r="G990" s="614"/>
      <c r="H990" s="614"/>
      <c r="I990" s="614"/>
      <c r="J990" s="614"/>
      <c r="K990" s="614"/>
      <c r="L990" s="614"/>
      <c r="M990" s="614"/>
      <c r="N990" s="614"/>
      <c r="O990" s="614"/>
      <c r="P990" s="614"/>
      <c r="Q990" s="614"/>
      <c r="R990" s="614"/>
      <c r="S990" s="614"/>
      <c r="T990" s="614"/>
      <c r="U990" s="614"/>
      <c r="V990" s="614"/>
      <c r="W990" s="614"/>
      <c r="X990" s="614"/>
      <c r="Y990" s="614"/>
      <c r="Z990" s="614"/>
      <c r="AA990" s="614"/>
      <c r="AB990" s="614"/>
      <c r="AC990" s="614"/>
    </row>
    <row r="991" spans="1:29" ht="12.75" customHeight="1">
      <c r="A991" s="319"/>
      <c r="B991" s="614"/>
      <c r="C991" s="319"/>
      <c r="D991" s="614"/>
      <c r="E991" s="614"/>
      <c r="F991" s="614"/>
      <c r="G991" s="614"/>
      <c r="H991" s="614"/>
      <c r="I991" s="614"/>
      <c r="J991" s="614"/>
      <c r="K991" s="614"/>
      <c r="L991" s="614"/>
      <c r="M991" s="614"/>
      <c r="N991" s="614"/>
      <c r="O991" s="614"/>
      <c r="P991" s="614"/>
      <c r="Q991" s="614"/>
      <c r="R991" s="614"/>
      <c r="S991" s="614"/>
      <c r="T991" s="614"/>
      <c r="U991" s="614"/>
      <c r="V991" s="614"/>
      <c r="W991" s="614"/>
      <c r="X991" s="614"/>
      <c r="Y991" s="614"/>
      <c r="Z991" s="614"/>
      <c r="AA991" s="614"/>
      <c r="AB991" s="614"/>
      <c r="AC991" s="614"/>
    </row>
    <row r="992" spans="1:29" ht="12.75" customHeight="1">
      <c r="A992" s="319"/>
      <c r="B992" s="614"/>
      <c r="C992" s="319"/>
      <c r="D992" s="614"/>
      <c r="E992" s="614"/>
      <c r="F992" s="614"/>
      <c r="G992" s="614"/>
      <c r="H992" s="614"/>
      <c r="I992" s="614"/>
      <c r="J992" s="614"/>
      <c r="K992" s="614"/>
      <c r="L992" s="614"/>
      <c r="M992" s="614"/>
      <c r="N992" s="614"/>
      <c r="O992" s="614"/>
      <c r="P992" s="614"/>
      <c r="Q992" s="614"/>
      <c r="R992" s="614"/>
      <c r="S992" s="614"/>
      <c r="T992" s="614"/>
      <c r="U992" s="614"/>
      <c r="V992" s="614"/>
      <c r="W992" s="614"/>
      <c r="X992" s="614"/>
      <c r="Y992" s="614"/>
      <c r="Z992" s="614"/>
      <c r="AA992" s="614"/>
      <c r="AB992" s="614"/>
      <c r="AC992" s="614"/>
    </row>
    <row r="993" spans="1:29" ht="12.75" customHeight="1">
      <c r="A993" s="319"/>
      <c r="B993" s="614"/>
      <c r="C993" s="319"/>
      <c r="D993" s="614"/>
      <c r="E993" s="614"/>
      <c r="F993" s="614"/>
      <c r="G993" s="614"/>
      <c r="H993" s="614"/>
      <c r="I993" s="614"/>
      <c r="J993" s="614"/>
      <c r="K993" s="614"/>
      <c r="L993" s="614"/>
      <c r="M993" s="614"/>
      <c r="N993" s="614"/>
      <c r="O993" s="614"/>
      <c r="P993" s="614"/>
      <c r="Q993" s="614"/>
      <c r="R993" s="614"/>
      <c r="S993" s="614"/>
      <c r="T993" s="614"/>
      <c r="U993" s="614"/>
      <c r="V993" s="614"/>
      <c r="W993" s="614"/>
      <c r="X993" s="614"/>
      <c r="Y993" s="614"/>
      <c r="Z993" s="614"/>
      <c r="AA993" s="614"/>
      <c r="AB993" s="614"/>
      <c r="AC993" s="614"/>
    </row>
    <row r="994" spans="1:29" ht="12.75" customHeight="1">
      <c r="A994" s="319"/>
      <c r="B994" s="614"/>
      <c r="C994" s="319"/>
      <c r="D994" s="614"/>
      <c r="E994" s="614"/>
      <c r="F994" s="614"/>
      <c r="G994" s="614"/>
      <c r="H994" s="614"/>
      <c r="I994" s="614"/>
      <c r="J994" s="614"/>
      <c r="K994" s="614"/>
      <c r="L994" s="614"/>
      <c r="M994" s="614"/>
      <c r="N994" s="614"/>
      <c r="O994" s="614"/>
      <c r="P994" s="614"/>
      <c r="Q994" s="614"/>
      <c r="R994" s="614"/>
      <c r="S994" s="614"/>
      <c r="T994" s="614"/>
      <c r="U994" s="614"/>
      <c r="V994" s="614"/>
      <c r="W994" s="614"/>
      <c r="X994" s="614"/>
      <c r="Y994" s="614"/>
      <c r="Z994" s="614"/>
      <c r="AA994" s="614"/>
      <c r="AB994" s="614"/>
      <c r="AC994" s="614"/>
    </row>
    <row r="995" spans="1:29" ht="12.75" customHeight="1">
      <c r="A995" s="319"/>
      <c r="B995" s="614"/>
      <c r="C995" s="319"/>
      <c r="D995" s="614"/>
      <c r="E995" s="614"/>
      <c r="F995" s="614"/>
      <c r="G995" s="614"/>
      <c r="H995" s="614"/>
      <c r="I995" s="614"/>
      <c r="J995" s="614"/>
      <c r="K995" s="614"/>
      <c r="L995" s="614"/>
      <c r="M995" s="614"/>
      <c r="N995" s="614"/>
      <c r="O995" s="614"/>
      <c r="P995" s="614"/>
      <c r="Q995" s="614"/>
      <c r="R995" s="614"/>
      <c r="S995" s="614"/>
      <c r="T995" s="614"/>
      <c r="U995" s="614"/>
      <c r="V995" s="614"/>
      <c r="W995" s="614"/>
      <c r="X995" s="614"/>
      <c r="Y995" s="614"/>
      <c r="Z995" s="614"/>
      <c r="AA995" s="614"/>
      <c r="AB995" s="614"/>
      <c r="AC995" s="614"/>
    </row>
    <row r="996" spans="1:29" ht="12.75" customHeight="1">
      <c r="A996" s="319"/>
      <c r="B996" s="614"/>
      <c r="C996" s="319"/>
      <c r="D996" s="614"/>
      <c r="E996" s="614"/>
      <c r="F996" s="614"/>
      <c r="G996" s="614"/>
      <c r="H996" s="614"/>
      <c r="I996" s="614"/>
      <c r="J996" s="614"/>
      <c r="K996" s="614"/>
      <c r="L996" s="614"/>
      <c r="M996" s="614"/>
      <c r="N996" s="614"/>
      <c r="O996" s="614"/>
      <c r="P996" s="614"/>
      <c r="Q996" s="614"/>
      <c r="R996" s="614"/>
      <c r="S996" s="614"/>
      <c r="T996" s="614"/>
      <c r="U996" s="614"/>
      <c r="V996" s="614"/>
      <c r="W996" s="614"/>
      <c r="X996" s="614"/>
      <c r="Y996" s="614"/>
      <c r="Z996" s="614"/>
      <c r="AA996" s="614"/>
      <c r="AB996" s="614"/>
      <c r="AC996" s="614"/>
    </row>
    <row r="997" spans="1:29" ht="12.75" customHeight="1">
      <c r="A997" s="319"/>
      <c r="B997" s="614"/>
      <c r="C997" s="319"/>
      <c r="D997" s="614"/>
      <c r="E997" s="614"/>
      <c r="F997" s="614"/>
      <c r="G997" s="614"/>
      <c r="H997" s="614"/>
      <c r="I997" s="614"/>
      <c r="J997" s="614"/>
      <c r="K997" s="614"/>
      <c r="L997" s="614"/>
      <c r="M997" s="614"/>
      <c r="N997" s="614"/>
      <c r="O997" s="614"/>
      <c r="P997" s="614"/>
      <c r="Q997" s="614"/>
      <c r="R997" s="614"/>
      <c r="S997" s="614"/>
      <c r="T997" s="614"/>
      <c r="U997" s="614"/>
      <c r="V997" s="614"/>
      <c r="W997" s="614"/>
      <c r="X997" s="614"/>
      <c r="Y997" s="614"/>
      <c r="Z997" s="614"/>
      <c r="AA997" s="614"/>
      <c r="AB997" s="614"/>
      <c r="AC997" s="614"/>
    </row>
    <row r="998" spans="1:29" ht="12.75" customHeight="1">
      <c r="A998" s="319"/>
      <c r="B998" s="614"/>
      <c r="C998" s="319"/>
      <c r="D998" s="614"/>
      <c r="E998" s="614"/>
      <c r="F998" s="614"/>
      <c r="G998" s="614"/>
      <c r="H998" s="614"/>
      <c r="I998" s="614"/>
      <c r="J998" s="614"/>
      <c r="K998" s="614"/>
      <c r="L998" s="614"/>
      <c r="M998" s="614"/>
      <c r="N998" s="614"/>
      <c r="O998" s="614"/>
      <c r="P998" s="614"/>
      <c r="Q998" s="614"/>
      <c r="R998" s="614"/>
      <c r="S998" s="614"/>
      <c r="T998" s="614"/>
      <c r="U998" s="614"/>
      <c r="V998" s="614"/>
      <c r="W998" s="614"/>
      <c r="X998" s="614"/>
      <c r="Y998" s="614"/>
      <c r="Z998" s="614"/>
      <c r="AA998" s="614"/>
      <c r="AB998" s="614"/>
      <c r="AC998" s="614"/>
    </row>
    <row r="999" spans="1:29" ht="12.75" customHeight="1">
      <c r="A999" s="319"/>
      <c r="B999" s="614"/>
      <c r="C999" s="319"/>
      <c r="D999" s="614"/>
      <c r="E999" s="614"/>
      <c r="F999" s="614"/>
      <c r="G999" s="614"/>
      <c r="H999" s="614"/>
      <c r="I999" s="614"/>
      <c r="J999" s="614"/>
      <c r="K999" s="614"/>
      <c r="L999" s="614"/>
      <c r="M999" s="614"/>
      <c r="N999" s="614"/>
      <c r="O999" s="614"/>
      <c r="P999" s="614"/>
      <c r="Q999" s="614"/>
      <c r="R999" s="614"/>
      <c r="S999" s="614"/>
      <c r="T999" s="614"/>
      <c r="U999" s="614"/>
      <c r="V999" s="614"/>
      <c r="W999" s="614"/>
      <c r="X999" s="614"/>
      <c r="Y999" s="614"/>
      <c r="Z999" s="614"/>
      <c r="AA999" s="614"/>
      <c r="AB999" s="614"/>
      <c r="AC999" s="614"/>
    </row>
    <row r="1000" spans="1:29" ht="12.75" customHeight="1">
      <c r="A1000" s="319"/>
      <c r="B1000" s="614"/>
      <c r="C1000" s="319"/>
      <c r="D1000" s="614"/>
      <c r="E1000" s="614"/>
      <c r="F1000" s="614"/>
      <c r="G1000" s="614"/>
      <c r="H1000" s="614"/>
      <c r="I1000" s="614"/>
      <c r="J1000" s="614"/>
      <c r="K1000" s="614"/>
      <c r="L1000" s="614"/>
      <c r="M1000" s="614"/>
      <c r="N1000" s="614"/>
      <c r="O1000" s="614"/>
      <c r="P1000" s="614"/>
      <c r="Q1000" s="614"/>
      <c r="R1000" s="614"/>
      <c r="S1000" s="614"/>
      <c r="T1000" s="614"/>
      <c r="U1000" s="614"/>
      <c r="V1000" s="614"/>
      <c r="W1000" s="614"/>
      <c r="X1000" s="614"/>
      <c r="Y1000" s="614"/>
      <c r="Z1000" s="614"/>
      <c r="AA1000" s="614"/>
      <c r="AB1000" s="614"/>
      <c r="AC1000" s="614"/>
    </row>
    <row r="1001" spans="1:29" ht="12.75" customHeight="1">
      <c r="A1001" s="319"/>
      <c r="B1001" s="614"/>
      <c r="C1001" s="319"/>
      <c r="D1001" s="614"/>
      <c r="E1001" s="614"/>
      <c r="F1001" s="614"/>
      <c r="G1001" s="614"/>
      <c r="H1001" s="614"/>
      <c r="I1001" s="614"/>
      <c r="J1001" s="614"/>
      <c r="K1001" s="614"/>
      <c r="L1001" s="614"/>
      <c r="M1001" s="614"/>
      <c r="N1001" s="614"/>
      <c r="O1001" s="614"/>
      <c r="P1001" s="614"/>
      <c r="Q1001" s="614"/>
      <c r="R1001" s="614"/>
      <c r="S1001" s="614"/>
      <c r="T1001" s="614"/>
      <c r="U1001" s="614"/>
      <c r="V1001" s="614"/>
      <c r="W1001" s="614"/>
      <c r="X1001" s="614"/>
      <c r="Y1001" s="614"/>
      <c r="Z1001" s="614"/>
      <c r="AA1001" s="614"/>
      <c r="AB1001" s="614"/>
      <c r="AC1001" s="614"/>
    </row>
    <row r="1002" spans="1:29" ht="12.75" customHeight="1">
      <c r="A1002" s="319"/>
      <c r="B1002" s="614"/>
      <c r="C1002" s="319"/>
      <c r="D1002" s="614"/>
      <c r="E1002" s="614"/>
      <c r="F1002" s="614"/>
      <c r="G1002" s="614"/>
      <c r="H1002" s="614"/>
      <c r="I1002" s="614"/>
      <c r="J1002" s="614"/>
      <c r="K1002" s="614"/>
      <c r="L1002" s="614"/>
      <c r="M1002" s="614"/>
      <c r="N1002" s="614"/>
      <c r="O1002" s="614"/>
      <c r="P1002" s="614"/>
      <c r="Q1002" s="614"/>
      <c r="R1002" s="614"/>
      <c r="S1002" s="614"/>
      <c r="T1002" s="614"/>
      <c r="U1002" s="614"/>
      <c r="V1002" s="614"/>
      <c r="W1002" s="614"/>
      <c r="X1002" s="614"/>
      <c r="Y1002" s="614"/>
      <c r="Z1002" s="614"/>
      <c r="AA1002" s="614"/>
      <c r="AB1002" s="614"/>
      <c r="AC1002" s="614"/>
    </row>
  </sheetData>
  <sheetProtection password="CA9F" sheet="1"/>
  <mergeCells count="19">
    <mergeCell ref="Q6:R6"/>
    <mergeCell ref="D7:D8"/>
    <mergeCell ref="K7:K8"/>
    <mergeCell ref="A5:D5"/>
    <mergeCell ref="M7:M8"/>
    <mergeCell ref="B7:B8"/>
    <mergeCell ref="J7:J8"/>
    <mergeCell ref="C7:C8"/>
    <mergeCell ref="A7:A8"/>
    <mergeCell ref="L1:S2"/>
    <mergeCell ref="N7:P7"/>
    <mergeCell ref="Q7:S7"/>
    <mergeCell ref="A3:R3"/>
    <mergeCell ref="O5:R5"/>
    <mergeCell ref="H5:K5"/>
    <mergeCell ref="L7:L8"/>
    <mergeCell ref="E7:G7"/>
    <mergeCell ref="H7:H8"/>
    <mergeCell ref="I7:I8"/>
  </mergeCells>
  <dataValidations count="3">
    <dataValidation type="decimal" allowBlank="1" showInputMessage="1" showErrorMessage="1" sqref="D10:D41 E41:S41 E10:K40">
      <formula1>0</formula1>
      <formula2>1E+34</formula2>
    </dataValidation>
    <dataValidation type="whole" allowBlank="1" showInputMessage="1" showErrorMessage="1" sqref="M10:S40">
      <formula1>1</formula1>
      <formula2>1E+30</formula2>
    </dataValidation>
    <dataValidation type="decimal" allowBlank="1" showInputMessage="1" showErrorMessage="1" sqref="L10:L40">
      <formula1>-1.11111111111111E+30</formula1>
      <formula2>1E+34</formula2>
    </dataValidation>
  </dataValidations>
  <pageMargins left="0.7" right="0.7" top="0.75" bottom="0.75" header="0.3" footer="0.3"/>
  <pageSetup scale="51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A1011"/>
  <sheetViews>
    <sheetView workbookViewId="0">
      <selection activeCell="F10" sqref="F10"/>
    </sheetView>
  </sheetViews>
  <sheetFormatPr defaultColWidth="15.1796875" defaultRowHeight="14.5"/>
  <cols>
    <col min="1" max="1" width="4.81640625" style="637" customWidth="1"/>
    <col min="2" max="2" width="22" style="637" customWidth="1"/>
    <col min="3" max="3" width="8.453125" style="637" customWidth="1"/>
    <col min="4" max="4" width="39.1796875" style="637" customWidth="1"/>
    <col min="5" max="7" width="16.54296875" style="637" customWidth="1"/>
    <col min="8" max="9" width="8" style="637" customWidth="1"/>
    <col min="10" max="26" width="7.453125" style="637" customWidth="1"/>
    <col min="27" max="16384" width="15.1796875" style="637"/>
  </cols>
  <sheetData>
    <row r="1" spans="1:27" ht="12.75" customHeight="1">
      <c r="A1" s="242"/>
      <c r="C1" s="284"/>
      <c r="D1" s="284"/>
      <c r="E1" s="1042" t="s">
        <v>1008</v>
      </c>
      <c r="F1" s="1042"/>
      <c r="G1" s="1042"/>
      <c r="H1" s="284"/>
      <c r="I1" s="284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7" ht="24" customHeight="1">
      <c r="A2" s="242"/>
      <c r="B2" s="284"/>
      <c r="C2" s="284"/>
      <c r="D2" s="284"/>
      <c r="E2" s="1042"/>
      <c r="F2" s="1042"/>
      <c r="G2" s="1042"/>
      <c r="H2" s="284"/>
      <c r="I2" s="284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7" ht="27" customHeight="1">
      <c r="A3" s="1194" t="s">
        <v>736</v>
      </c>
      <c r="B3" s="1194"/>
      <c r="C3" s="1194"/>
      <c r="D3" s="1194"/>
      <c r="E3" s="1194"/>
      <c r="F3" s="1194"/>
      <c r="G3" s="1194"/>
      <c r="H3" s="242"/>
      <c r="I3" s="242"/>
      <c r="J3" s="242"/>
      <c r="K3" s="242"/>
      <c r="L3" s="242"/>
      <c r="M3" s="242"/>
      <c r="N3" s="242"/>
      <c r="O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7" ht="12.75" customHeight="1">
      <c r="A4" s="639"/>
      <c r="B4" s="639"/>
      <c r="C4" s="639"/>
      <c r="D4" s="639"/>
      <c r="E4" s="639"/>
      <c r="F4" s="639"/>
      <c r="G4" s="242"/>
      <c r="H4" s="242"/>
      <c r="I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7" ht="15.75" customHeight="1">
      <c r="A5" s="1195" t="str">
        <f>+i.04108!A7</f>
        <v>Даатгагчийн нэр:</v>
      </c>
      <c r="B5" s="1196"/>
      <c r="C5" s="1196"/>
      <c r="D5" s="1196"/>
      <c r="E5" s="1197" t="str">
        <f>+i.04108!F7</f>
        <v>..... оны .... сарын ...-ны өдөр</v>
      </c>
      <c r="F5" s="1197"/>
      <c r="G5" s="1197"/>
      <c r="H5" s="640"/>
      <c r="I5" s="640"/>
      <c r="R5" s="242"/>
      <c r="S5" s="242"/>
      <c r="T5" s="242"/>
      <c r="U5" s="242"/>
      <c r="V5" s="242"/>
      <c r="W5" s="242"/>
      <c r="X5" s="242"/>
      <c r="Y5" s="242"/>
      <c r="Z5" s="242"/>
      <c r="AA5" s="242"/>
    </row>
    <row r="6" spans="1:27" ht="12.75" customHeight="1">
      <c r="A6" s="641"/>
      <c r="B6" s="242"/>
      <c r="C6" s="635"/>
      <c r="D6" s="242"/>
      <c r="E6" s="242"/>
      <c r="F6" s="1193" t="s">
        <v>1</v>
      </c>
      <c r="G6" s="1173"/>
      <c r="H6" s="242"/>
      <c r="I6" s="242"/>
      <c r="J6" s="242"/>
      <c r="K6" s="242"/>
      <c r="L6" s="242"/>
      <c r="M6" s="242"/>
      <c r="N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</row>
    <row r="7" spans="1:27" ht="27" customHeight="1">
      <c r="A7" s="427" t="s">
        <v>2</v>
      </c>
      <c r="B7" s="427" t="s">
        <v>737</v>
      </c>
      <c r="C7" s="427" t="s">
        <v>4</v>
      </c>
      <c r="D7" s="427" t="s">
        <v>738</v>
      </c>
      <c r="E7" s="427" t="s">
        <v>739</v>
      </c>
      <c r="F7" s="642" t="s">
        <v>740</v>
      </c>
      <c r="G7" s="642" t="s">
        <v>741</v>
      </c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  <c r="V7" s="592"/>
      <c r="W7" s="592"/>
      <c r="X7" s="592"/>
      <c r="Y7" s="592"/>
      <c r="Z7" s="592"/>
    </row>
    <row r="8" spans="1:27">
      <c r="A8" s="428" t="s">
        <v>6</v>
      </c>
      <c r="B8" s="428" t="s">
        <v>7</v>
      </c>
      <c r="C8" s="428" t="s">
        <v>8</v>
      </c>
      <c r="D8" s="428">
        <v>1</v>
      </c>
      <c r="E8" s="428">
        <v>2</v>
      </c>
      <c r="F8" s="643">
        <v>3</v>
      </c>
      <c r="G8" s="643">
        <v>4</v>
      </c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2"/>
      <c r="Z8" s="592"/>
    </row>
    <row r="9" spans="1:27" ht="15" customHeight="1">
      <c r="A9" s="644"/>
      <c r="B9" s="645" t="s">
        <v>518</v>
      </c>
      <c r="C9" s="644">
        <v>1</v>
      </c>
      <c r="D9" s="431"/>
      <c r="E9" s="431">
        <f>SUM(E10:INDEX(E:E,ROWS(E:E)))</f>
        <v>0</v>
      </c>
      <c r="F9" s="431">
        <f>SUM(F10:INDEX(F:F,ROWS(F:F)))</f>
        <v>0</v>
      </c>
      <c r="G9" s="431">
        <f>SUM(G10:INDEX(G:G,ROWS(G:G)))</f>
        <v>0</v>
      </c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</row>
    <row r="10" spans="1:27" ht="12.75" customHeight="1">
      <c r="A10" s="984">
        <v>1</v>
      </c>
      <c r="B10" s="62" t="s">
        <v>742</v>
      </c>
      <c r="C10" s="984">
        <v>2</v>
      </c>
      <c r="D10" s="58"/>
      <c r="E10" s="58"/>
      <c r="F10" s="58"/>
      <c r="G10" s="58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</row>
    <row r="11" spans="1:27" ht="12.75" customHeight="1">
      <c r="A11" s="984">
        <f>+A10+1</f>
        <v>2</v>
      </c>
      <c r="B11" s="62" t="s">
        <v>742</v>
      </c>
      <c r="C11" s="984">
        <v>3</v>
      </c>
      <c r="D11" s="58"/>
      <c r="E11" s="58"/>
      <c r="F11" s="58"/>
      <c r="G11" s="58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</row>
    <row r="12" spans="1:27" ht="12.75" customHeight="1">
      <c r="A12" s="984">
        <f t="shared" ref="A12:A29" si="0">+A11+1</f>
        <v>3</v>
      </c>
      <c r="B12" s="62" t="s">
        <v>742</v>
      </c>
      <c r="C12" s="984">
        <v>4</v>
      </c>
      <c r="D12" s="58"/>
      <c r="E12" s="58"/>
      <c r="F12" s="58"/>
      <c r="G12" s="58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</row>
    <row r="13" spans="1:27" ht="12.75" customHeight="1">
      <c r="A13" s="984">
        <f t="shared" si="0"/>
        <v>4</v>
      </c>
      <c r="B13" s="62" t="s">
        <v>742</v>
      </c>
      <c r="C13" s="984">
        <v>5</v>
      </c>
      <c r="D13" s="58"/>
      <c r="E13" s="58"/>
      <c r="F13" s="58"/>
      <c r="G13" s="58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</row>
    <row r="14" spans="1:27" ht="12.75" customHeight="1">
      <c r="A14" s="984">
        <f t="shared" si="0"/>
        <v>5</v>
      </c>
      <c r="B14" s="62" t="s">
        <v>742</v>
      </c>
      <c r="C14" s="984">
        <v>6</v>
      </c>
      <c r="D14" s="58"/>
      <c r="E14" s="58"/>
      <c r="F14" s="58"/>
      <c r="G14" s="58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</row>
    <row r="15" spans="1:27" ht="12.75" customHeight="1">
      <c r="A15" s="984">
        <f t="shared" si="0"/>
        <v>6</v>
      </c>
      <c r="B15" s="62" t="s">
        <v>742</v>
      </c>
      <c r="C15" s="984">
        <v>7</v>
      </c>
      <c r="D15" s="58"/>
      <c r="E15" s="58"/>
      <c r="F15" s="58"/>
      <c r="G15" s="58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 spans="1:27" ht="12.75" customHeight="1">
      <c r="A16" s="984">
        <f t="shared" si="0"/>
        <v>7</v>
      </c>
      <c r="B16" s="62" t="s">
        <v>742</v>
      </c>
      <c r="C16" s="984">
        <v>8</v>
      </c>
      <c r="D16" s="58"/>
      <c r="E16" s="58"/>
      <c r="F16" s="58"/>
      <c r="G16" s="58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 spans="1:26" ht="12.75" customHeight="1">
      <c r="A17" s="984">
        <f t="shared" si="0"/>
        <v>8</v>
      </c>
      <c r="B17" s="62" t="s">
        <v>742</v>
      </c>
      <c r="C17" s="984">
        <v>9</v>
      </c>
      <c r="D17" s="58"/>
      <c r="E17" s="58"/>
      <c r="F17" s="58"/>
      <c r="G17" s="58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1:26" ht="12.75" customHeight="1">
      <c r="A18" s="984">
        <f>+A17+1</f>
        <v>9</v>
      </c>
      <c r="B18" s="62" t="s">
        <v>742</v>
      </c>
      <c r="C18" s="984">
        <v>10</v>
      </c>
      <c r="D18" s="58"/>
      <c r="E18" s="58"/>
      <c r="F18" s="58"/>
      <c r="G18" s="58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</row>
    <row r="19" spans="1:26" ht="12.75" customHeight="1">
      <c r="A19" s="984">
        <f t="shared" si="0"/>
        <v>10</v>
      </c>
      <c r="B19" s="62" t="s">
        <v>742</v>
      </c>
      <c r="C19" s="984">
        <v>11</v>
      </c>
      <c r="D19" s="58"/>
      <c r="E19" s="58"/>
      <c r="F19" s="58"/>
      <c r="G19" s="58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1:26" ht="12.75" customHeight="1">
      <c r="A20" s="984">
        <f t="shared" si="0"/>
        <v>11</v>
      </c>
      <c r="B20" s="62" t="s">
        <v>742</v>
      </c>
      <c r="C20" s="984">
        <v>12</v>
      </c>
      <c r="D20" s="58"/>
      <c r="E20" s="58"/>
      <c r="F20" s="58"/>
      <c r="G20" s="58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</row>
    <row r="21" spans="1:26" ht="12.75" customHeight="1">
      <c r="A21" s="984">
        <f t="shared" si="0"/>
        <v>12</v>
      </c>
      <c r="B21" s="62" t="s">
        <v>742</v>
      </c>
      <c r="C21" s="984">
        <v>13</v>
      </c>
      <c r="D21" s="58"/>
      <c r="E21" s="58"/>
      <c r="F21" s="58"/>
      <c r="G21" s="58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</row>
    <row r="22" spans="1:26" ht="12.75" customHeight="1">
      <c r="A22" s="984">
        <f t="shared" si="0"/>
        <v>13</v>
      </c>
      <c r="B22" s="62" t="s">
        <v>742</v>
      </c>
      <c r="C22" s="984">
        <v>14</v>
      </c>
      <c r="D22" s="58"/>
      <c r="E22" s="58"/>
      <c r="F22" s="58"/>
      <c r="G22" s="58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</row>
    <row r="23" spans="1:26" ht="12.75" customHeight="1">
      <c r="A23" s="984">
        <f t="shared" si="0"/>
        <v>14</v>
      </c>
      <c r="B23" s="62" t="s">
        <v>742</v>
      </c>
      <c r="C23" s="984">
        <v>15</v>
      </c>
      <c r="D23" s="58"/>
      <c r="E23" s="58"/>
      <c r="F23" s="58"/>
      <c r="G23" s="58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12.75" customHeight="1">
      <c r="A24" s="984">
        <f t="shared" si="0"/>
        <v>15</v>
      </c>
      <c r="B24" s="62" t="s">
        <v>742</v>
      </c>
      <c r="C24" s="984">
        <v>16</v>
      </c>
      <c r="D24" s="58"/>
      <c r="E24" s="58"/>
      <c r="F24" s="58"/>
      <c r="G24" s="58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</row>
    <row r="25" spans="1:26" ht="12.75" customHeight="1">
      <c r="A25" s="984">
        <f t="shared" si="0"/>
        <v>16</v>
      </c>
      <c r="B25" s="62" t="s">
        <v>742</v>
      </c>
      <c r="C25" s="984">
        <v>17</v>
      </c>
      <c r="D25" s="58"/>
      <c r="E25" s="58"/>
      <c r="F25" s="58"/>
      <c r="G25" s="58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</row>
    <row r="26" spans="1:26" ht="12.75" customHeight="1">
      <c r="A26" s="984">
        <f t="shared" si="0"/>
        <v>17</v>
      </c>
      <c r="B26" s="62" t="s">
        <v>742</v>
      </c>
      <c r="C26" s="984">
        <v>18</v>
      </c>
      <c r="D26" s="58"/>
      <c r="E26" s="58"/>
      <c r="F26" s="58"/>
      <c r="G26" s="58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</row>
    <row r="27" spans="1:26" ht="12.75" customHeight="1">
      <c r="A27" s="984">
        <f t="shared" si="0"/>
        <v>18</v>
      </c>
      <c r="B27" s="62" t="s">
        <v>742</v>
      </c>
      <c r="C27" s="984">
        <v>19</v>
      </c>
      <c r="D27" s="58"/>
      <c r="E27" s="58"/>
      <c r="F27" s="58"/>
      <c r="G27" s="58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</row>
    <row r="28" spans="1:26" ht="12.75" customHeight="1">
      <c r="A28" s="984">
        <f t="shared" si="0"/>
        <v>19</v>
      </c>
      <c r="B28" s="62" t="s">
        <v>742</v>
      </c>
      <c r="C28" s="984">
        <v>20</v>
      </c>
      <c r="D28" s="58"/>
      <c r="E28" s="58"/>
      <c r="F28" s="58"/>
      <c r="G28" s="58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</row>
    <row r="29" spans="1:26" ht="12.75" customHeight="1">
      <c r="A29" s="989">
        <f t="shared" si="0"/>
        <v>20</v>
      </c>
      <c r="B29" s="990" t="s">
        <v>742</v>
      </c>
      <c r="C29" s="989">
        <v>21</v>
      </c>
      <c r="D29" s="991"/>
      <c r="E29" s="991"/>
      <c r="F29" s="991"/>
      <c r="G29" s="991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</row>
    <row r="30" spans="1:26" s="963" customFormat="1" ht="12.75" customHeight="1">
      <c r="A30" s="992"/>
      <c r="B30" s="993"/>
      <c r="C30" s="992"/>
      <c r="D30" s="994"/>
      <c r="E30" s="994"/>
      <c r="F30" s="994"/>
      <c r="G30" s="99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</row>
    <row r="31" spans="1:26" s="986" customFormat="1" ht="12.75" customHeight="1">
      <c r="A31" s="992"/>
      <c r="B31" s="992"/>
      <c r="C31" s="992"/>
      <c r="D31" s="993"/>
      <c r="E31" s="993"/>
      <c r="F31" s="993"/>
      <c r="G31" s="993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s="34" customFormat="1" ht="15" customHeight="1">
      <c r="A32" s="995"/>
      <c r="B32" s="998"/>
      <c r="C32" s="998"/>
      <c r="D32" s="998"/>
      <c r="E32" s="998"/>
      <c r="F32" s="995"/>
      <c r="G32" s="995"/>
    </row>
    <row r="33" spans="1:26">
      <c r="A33" s="995"/>
      <c r="B33" s="997"/>
      <c r="C33" s="997"/>
      <c r="D33" s="997"/>
      <c r="E33" s="997"/>
      <c r="F33" s="995"/>
      <c r="G33" s="995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</row>
    <row r="34" spans="1:26">
      <c r="A34" s="992"/>
      <c r="B34" s="997"/>
      <c r="C34" s="997"/>
      <c r="D34" s="997"/>
      <c r="E34" s="997"/>
      <c r="F34" s="992"/>
      <c r="G34" s="99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</row>
    <row r="35" spans="1:26">
      <c r="A35" s="995"/>
      <c r="B35" s="997"/>
      <c r="C35" s="997"/>
      <c r="D35" s="997"/>
      <c r="E35" s="997"/>
      <c r="F35" s="995"/>
      <c r="G35" s="995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</row>
    <row r="36" spans="1:26">
      <c r="A36" s="995"/>
      <c r="B36" s="997"/>
      <c r="C36" s="997"/>
      <c r="D36" s="997"/>
      <c r="E36" s="997"/>
      <c r="F36" s="995"/>
      <c r="G36" s="995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</row>
    <row r="37" spans="1:26">
      <c r="A37" s="996"/>
      <c r="B37" s="997"/>
      <c r="C37" s="997"/>
      <c r="D37" s="997"/>
      <c r="E37" s="997"/>
      <c r="F37" s="993"/>
      <c r="G37" s="993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</row>
    <row r="38" spans="1:26">
      <c r="A38" s="993"/>
      <c r="B38" s="997"/>
      <c r="C38" s="997"/>
      <c r="D38" s="997"/>
      <c r="E38" s="997"/>
      <c r="F38" s="993"/>
      <c r="G38" s="993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</row>
    <row r="39" spans="1:26">
      <c r="A39" s="993"/>
      <c r="B39" s="997"/>
      <c r="C39" s="997"/>
      <c r="D39" s="997"/>
      <c r="E39" s="997"/>
      <c r="F39" s="993"/>
      <c r="G39" s="993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</row>
    <row r="40" spans="1:26">
      <c r="A40" s="993"/>
      <c r="B40" s="997"/>
      <c r="C40" s="997"/>
      <c r="D40" s="997"/>
      <c r="E40" s="997"/>
      <c r="F40" s="993"/>
      <c r="G40" s="993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</row>
    <row r="41" spans="1:26">
      <c r="A41" s="993"/>
      <c r="B41" s="997"/>
      <c r="C41" s="997"/>
      <c r="D41" s="997"/>
      <c r="E41" s="997"/>
      <c r="F41" s="997"/>
      <c r="G41" s="997"/>
      <c r="R41" s="242"/>
      <c r="S41" s="242"/>
      <c r="T41" s="242"/>
      <c r="U41" s="242"/>
      <c r="V41" s="242"/>
      <c r="W41" s="242"/>
      <c r="X41" s="242"/>
      <c r="Y41" s="242"/>
      <c r="Z41" s="242"/>
    </row>
    <row r="42" spans="1:26">
      <c r="A42" s="993"/>
      <c r="B42" s="993"/>
      <c r="C42" s="992"/>
      <c r="D42" s="993"/>
      <c r="E42" s="993"/>
      <c r="F42" s="993"/>
      <c r="G42" s="993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</row>
    <row r="43" spans="1:26">
      <c r="A43" s="993"/>
      <c r="B43" s="993"/>
      <c r="C43" s="992"/>
      <c r="D43" s="993"/>
      <c r="E43" s="993"/>
      <c r="F43" s="993"/>
      <c r="G43" s="993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</row>
    <row r="44" spans="1:26">
      <c r="A44" s="993"/>
      <c r="B44" s="993"/>
      <c r="C44" s="992"/>
      <c r="D44" s="993"/>
      <c r="E44" s="993"/>
      <c r="F44" s="993"/>
      <c r="G44" s="993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</row>
    <row r="45" spans="1:26">
      <c r="A45" s="993"/>
      <c r="B45" s="993"/>
      <c r="C45" s="992"/>
      <c r="D45" s="993"/>
      <c r="E45" s="993"/>
      <c r="F45" s="993"/>
      <c r="G45" s="993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</row>
    <row r="46" spans="1:26">
      <c r="A46" s="993"/>
      <c r="B46" s="993"/>
      <c r="C46" s="992"/>
      <c r="D46" s="993"/>
      <c r="E46" s="993"/>
      <c r="F46" s="993"/>
      <c r="G46" s="993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</row>
    <row r="47" spans="1:26">
      <c r="A47" s="993"/>
      <c r="B47" s="993"/>
      <c r="C47" s="992"/>
      <c r="D47" s="993"/>
      <c r="E47" s="993"/>
      <c r="F47" s="993"/>
      <c r="G47" s="993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</row>
    <row r="48" spans="1:26">
      <c r="A48" s="993"/>
      <c r="B48" s="993"/>
      <c r="C48" s="992"/>
      <c r="D48" s="993"/>
      <c r="E48" s="993"/>
      <c r="F48" s="993"/>
      <c r="G48" s="993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</row>
    <row r="49" spans="1:26">
      <c r="A49" s="993"/>
      <c r="B49" s="993"/>
      <c r="C49" s="992"/>
      <c r="D49" s="993"/>
      <c r="E49" s="993"/>
      <c r="F49" s="993"/>
      <c r="G49" s="993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</row>
    <row r="50" spans="1:26">
      <c r="A50" s="993"/>
      <c r="B50" s="993"/>
      <c r="C50" s="992"/>
      <c r="D50" s="993"/>
      <c r="E50" s="993"/>
      <c r="F50" s="993"/>
      <c r="G50" s="993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</row>
    <row r="51" spans="1:26">
      <c r="A51" s="993"/>
      <c r="B51" s="993"/>
      <c r="C51" s="992"/>
      <c r="D51" s="993"/>
      <c r="E51" s="993"/>
      <c r="F51" s="993"/>
      <c r="G51" s="993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</row>
    <row r="52" spans="1:26">
      <c r="A52" s="993"/>
      <c r="B52" s="997"/>
      <c r="C52" s="997"/>
      <c r="D52" s="997"/>
      <c r="E52" s="997"/>
      <c r="F52" s="993"/>
      <c r="G52" s="993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</row>
    <row r="53" spans="1:26">
      <c r="A53" s="993"/>
      <c r="B53" s="997"/>
      <c r="C53" s="997"/>
      <c r="D53" s="997"/>
      <c r="E53" s="997"/>
      <c r="F53" s="993"/>
      <c r="G53" s="993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</row>
    <row r="54" spans="1:26">
      <c r="A54" s="993"/>
      <c r="B54" s="997"/>
      <c r="C54" s="997"/>
      <c r="D54" s="997"/>
      <c r="E54" s="997"/>
      <c r="F54" s="993"/>
      <c r="G54" s="993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</row>
    <row r="55" spans="1:26">
      <c r="A55" s="993"/>
      <c r="B55" s="997"/>
      <c r="C55" s="997"/>
      <c r="D55" s="997"/>
      <c r="E55" s="997"/>
      <c r="F55" s="993"/>
      <c r="G55" s="993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</row>
    <row r="56" spans="1:26">
      <c r="A56" s="993"/>
      <c r="B56" s="997"/>
      <c r="C56" s="997"/>
      <c r="D56" s="997"/>
      <c r="E56" s="997"/>
      <c r="F56" s="993"/>
      <c r="G56" s="993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</row>
    <row r="57" spans="1:26">
      <c r="A57" s="993"/>
      <c r="B57" s="997"/>
      <c r="C57" s="997"/>
      <c r="D57" s="997"/>
      <c r="E57" s="997"/>
      <c r="F57" s="993"/>
      <c r="G57" s="993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</row>
    <row r="58" spans="1:26">
      <c r="A58" s="993"/>
      <c r="B58" s="997"/>
      <c r="C58" s="997"/>
      <c r="D58" s="997"/>
      <c r="E58" s="997"/>
      <c r="F58" s="993"/>
      <c r="G58" s="993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</row>
    <row r="59" spans="1:26">
      <c r="A59" s="993"/>
      <c r="B59" s="997"/>
      <c r="C59" s="997"/>
      <c r="D59" s="997"/>
      <c r="E59" s="997"/>
      <c r="F59" s="993"/>
      <c r="G59" s="993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</row>
    <row r="60" spans="1:26">
      <c r="A60" s="993"/>
      <c r="B60" s="997"/>
      <c r="C60" s="997"/>
      <c r="D60" s="997"/>
      <c r="E60" s="997"/>
      <c r="F60" s="993"/>
      <c r="G60" s="993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</row>
    <row r="61" spans="1:26">
      <c r="A61" s="31"/>
      <c r="B61" s="31"/>
      <c r="C61" s="985"/>
      <c r="D61" s="31"/>
      <c r="E61" s="31"/>
      <c r="F61" s="31"/>
      <c r="G61" s="31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</row>
    <row r="62" spans="1:26">
      <c r="A62" s="31"/>
      <c r="B62" s="31"/>
      <c r="C62" s="985"/>
      <c r="D62" s="31"/>
      <c r="E62" s="31"/>
      <c r="F62" s="31"/>
      <c r="G62" s="31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</row>
    <row r="63" spans="1:26">
      <c r="A63" s="31"/>
      <c r="B63" s="988" t="str">
        <f>+i.04108!C32</f>
        <v>тамга тэмдэг</v>
      </c>
      <c r="C63" s="987"/>
      <c r="D63" s="987"/>
      <c r="E63" s="987"/>
      <c r="F63" s="31"/>
      <c r="G63" s="31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</row>
    <row r="64" spans="1:26">
      <c r="A64" s="31"/>
      <c r="B64" s="987"/>
      <c r="C64" s="987"/>
      <c r="D64" s="987"/>
      <c r="E64" s="987"/>
      <c r="F64" s="31"/>
      <c r="G64" s="31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</row>
    <row r="65" spans="1:26">
      <c r="A65" s="31"/>
      <c r="B65" s="987" t="str">
        <f>+i.04108!C34</f>
        <v xml:space="preserve">ТАЙЛАН ГАРГАСАН:    </v>
      </c>
      <c r="C65" s="987"/>
      <c r="D65" s="987"/>
      <c r="E65" s="987"/>
      <c r="F65" s="31"/>
      <c r="G65" s="31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</row>
    <row r="66" spans="1:26">
      <c r="A66" s="31"/>
      <c r="B66" s="987"/>
      <c r="C66" s="987"/>
      <c r="D66" s="987"/>
      <c r="E66" s="987"/>
      <c r="F66" s="31"/>
      <c r="G66" s="31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</row>
    <row r="67" spans="1:26">
      <c r="A67" s="31"/>
      <c r="B67" s="987" t="str">
        <f>+i.04108!C36</f>
        <v xml:space="preserve"> Гүйцэтгэх захирал</v>
      </c>
      <c r="C67" s="986"/>
      <c r="D67" s="987" t="str">
        <f>+i.04108!D36</f>
        <v xml:space="preserve">/................................../   </v>
      </c>
      <c r="E67" s="987" t="str">
        <f>+i.04108!F36</f>
        <v>/................................./</v>
      </c>
      <c r="F67" s="31"/>
      <c r="G67" s="31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</row>
    <row r="68" spans="1:26">
      <c r="A68" s="31"/>
      <c r="B68" s="987"/>
      <c r="C68" s="986"/>
      <c r="D68" s="987"/>
      <c r="E68" s="987"/>
      <c r="F68" s="31"/>
      <c r="G68" s="31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</row>
    <row r="69" spans="1:26">
      <c r="A69" s="31"/>
      <c r="B69" s="987" t="str">
        <f>+i.04108!C38</f>
        <v xml:space="preserve"> Ерөнхий нягтлан бодогч  </v>
      </c>
      <c r="C69" s="986"/>
      <c r="D69" s="987" t="str">
        <f>+i.04108!D38</f>
        <v xml:space="preserve">/.................................../   </v>
      </c>
      <c r="E69" s="987" t="str">
        <f>+i.04108!F38</f>
        <v>/................................/</v>
      </c>
      <c r="F69" s="31"/>
      <c r="G69" s="31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</row>
    <row r="70" spans="1:26">
      <c r="A70" s="31"/>
      <c r="B70" s="987"/>
      <c r="C70" s="986"/>
      <c r="D70" s="987"/>
      <c r="E70" s="987"/>
      <c r="F70" s="31"/>
      <c r="G70" s="31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</row>
    <row r="71" spans="1:26">
      <c r="A71" s="31"/>
      <c r="B71" s="987" t="str">
        <f>+i.04108!C40</f>
        <v>...................................................</v>
      </c>
      <c r="C71" s="986"/>
      <c r="D71" s="987" t="str">
        <f>+i.04108!D40</f>
        <v xml:space="preserve">/................................../   </v>
      </c>
      <c r="E71" s="987" t="str">
        <f>+i.04108!F40</f>
        <v>/................................/</v>
      </c>
      <c r="F71" s="31"/>
      <c r="G71" s="31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</row>
    <row r="72" spans="1:26">
      <c r="A72" s="31"/>
      <c r="B72" s="31"/>
      <c r="C72" s="985"/>
      <c r="D72" s="31"/>
      <c r="E72" s="31"/>
      <c r="F72" s="31"/>
      <c r="G72" s="31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</row>
    <row r="73" spans="1:26">
      <c r="A73" s="31"/>
      <c r="B73" s="31"/>
      <c r="C73" s="985"/>
      <c r="D73" s="31"/>
      <c r="E73" s="31"/>
      <c r="F73" s="31"/>
      <c r="G73" s="31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</row>
    <row r="74" spans="1:26">
      <c r="A74" s="31"/>
      <c r="B74" s="31"/>
      <c r="C74" s="985"/>
      <c r="D74" s="31"/>
      <c r="E74" s="31"/>
      <c r="F74" s="31"/>
      <c r="G74" s="31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</row>
    <row r="75" spans="1:26">
      <c r="A75" s="31"/>
      <c r="B75" s="31"/>
      <c r="C75" s="985"/>
      <c r="D75" s="31"/>
      <c r="E75" s="31"/>
      <c r="F75" s="31"/>
      <c r="G75" s="31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</row>
    <row r="76" spans="1:26">
      <c r="A76" s="31"/>
      <c r="B76" s="31"/>
      <c r="C76" s="985"/>
      <c r="D76" s="31"/>
      <c r="E76" s="31"/>
      <c r="F76" s="31"/>
      <c r="G76" s="31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</row>
    <row r="77" spans="1:26">
      <c r="A77" s="31"/>
      <c r="B77" s="31"/>
      <c r="C77" s="985"/>
      <c r="D77" s="31"/>
      <c r="E77" s="31"/>
      <c r="F77" s="31"/>
      <c r="G77" s="31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</row>
    <row r="78" spans="1:26">
      <c r="A78" s="31"/>
      <c r="B78" s="31"/>
      <c r="C78" s="985"/>
      <c r="D78" s="31"/>
      <c r="E78" s="31"/>
      <c r="F78" s="31"/>
      <c r="G78" s="31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</row>
    <row r="79" spans="1:26">
      <c r="A79" s="31"/>
      <c r="B79" s="31"/>
      <c r="C79" s="985"/>
      <c r="D79" s="31"/>
      <c r="E79" s="31"/>
      <c r="F79" s="31"/>
      <c r="G79" s="31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</row>
    <row r="80" spans="1:26">
      <c r="A80" s="31"/>
      <c r="B80" s="31"/>
      <c r="C80" s="985"/>
      <c r="D80" s="31"/>
      <c r="E80" s="31"/>
      <c r="F80" s="31"/>
      <c r="G80" s="31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</row>
    <row r="81" spans="1:26">
      <c r="A81" s="31"/>
      <c r="B81" s="31"/>
      <c r="C81" s="985"/>
      <c r="D81" s="31"/>
      <c r="E81" s="31"/>
      <c r="F81" s="31"/>
      <c r="G81" s="31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</row>
    <row r="82" spans="1:26">
      <c r="A82" s="31"/>
      <c r="B82" s="31"/>
      <c r="C82" s="985"/>
      <c r="D82" s="31"/>
      <c r="E82" s="31"/>
      <c r="F82" s="31"/>
      <c r="G82" s="31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</row>
    <row r="83" spans="1:26">
      <c r="A83" s="31"/>
      <c r="B83" s="31"/>
      <c r="C83" s="985"/>
      <c r="D83" s="31"/>
      <c r="E83" s="31"/>
      <c r="F83" s="31"/>
      <c r="G83" s="31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</row>
    <row r="84" spans="1:26">
      <c r="A84" s="31"/>
      <c r="B84" s="31"/>
      <c r="C84" s="985"/>
      <c r="D84" s="31"/>
      <c r="E84" s="31"/>
      <c r="F84" s="31"/>
      <c r="G84" s="31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</row>
    <row r="85" spans="1:26">
      <c r="A85" s="31"/>
      <c r="B85" s="31"/>
      <c r="C85" s="985"/>
      <c r="D85" s="31"/>
      <c r="E85" s="31"/>
      <c r="F85" s="31"/>
      <c r="G85" s="31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</row>
    <row r="86" spans="1:26">
      <c r="A86" s="31"/>
      <c r="B86" s="31"/>
      <c r="C86" s="985"/>
      <c r="D86" s="31"/>
      <c r="E86" s="31"/>
      <c r="F86" s="31"/>
      <c r="G86" s="31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</row>
    <row r="87" spans="1:26">
      <c r="A87" s="31"/>
      <c r="B87" s="31"/>
      <c r="C87" s="985"/>
      <c r="D87" s="31"/>
      <c r="E87" s="31"/>
      <c r="F87" s="31"/>
      <c r="G87" s="31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</row>
    <row r="88" spans="1:26">
      <c r="A88" s="31"/>
      <c r="B88" s="31"/>
      <c r="C88" s="985"/>
      <c r="D88" s="31"/>
      <c r="E88" s="31"/>
      <c r="F88" s="31"/>
      <c r="G88" s="31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</row>
    <row r="89" spans="1:26">
      <c r="A89" s="31"/>
      <c r="B89" s="31"/>
      <c r="C89" s="985"/>
      <c r="D89" s="31"/>
      <c r="E89" s="31"/>
      <c r="F89" s="31"/>
      <c r="G89" s="31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</row>
    <row r="90" spans="1:26">
      <c r="A90" s="31"/>
      <c r="B90" s="31"/>
      <c r="C90" s="985"/>
      <c r="D90" s="31"/>
      <c r="E90" s="31"/>
      <c r="F90" s="31"/>
      <c r="G90" s="31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</row>
    <row r="91" spans="1:26">
      <c r="A91" s="31"/>
      <c r="B91" s="31"/>
      <c r="C91" s="985"/>
      <c r="D91" s="31"/>
      <c r="E91" s="31"/>
      <c r="F91" s="31"/>
      <c r="G91" s="31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</row>
    <row r="92" spans="1:26">
      <c r="A92" s="31"/>
      <c r="B92" s="31"/>
      <c r="C92" s="985"/>
      <c r="D92" s="31"/>
      <c r="E92" s="31"/>
      <c r="F92" s="31"/>
      <c r="G92" s="31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</row>
    <row r="93" spans="1:26">
      <c r="A93" s="31"/>
      <c r="B93" s="31"/>
      <c r="C93" s="985"/>
      <c r="D93" s="31"/>
      <c r="E93" s="31"/>
      <c r="F93" s="31"/>
      <c r="G93" s="31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</row>
    <row r="94" spans="1:26">
      <c r="A94" s="31"/>
      <c r="B94" s="31"/>
      <c r="C94" s="985"/>
      <c r="D94" s="31"/>
      <c r="E94" s="31"/>
      <c r="F94" s="31"/>
      <c r="G94" s="31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</row>
    <row r="95" spans="1:26">
      <c r="A95" s="31"/>
      <c r="B95" s="31"/>
      <c r="C95" s="985"/>
      <c r="D95" s="31"/>
      <c r="E95" s="31"/>
      <c r="F95" s="31"/>
      <c r="G95" s="31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</row>
    <row r="96" spans="1:26">
      <c r="A96" s="31"/>
      <c r="B96" s="31"/>
      <c r="C96" s="985"/>
      <c r="D96" s="31"/>
      <c r="E96" s="31"/>
      <c r="F96" s="31"/>
      <c r="G96" s="31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</row>
    <row r="97" spans="1:26">
      <c r="A97" s="31"/>
      <c r="B97" s="31"/>
      <c r="C97" s="985"/>
      <c r="D97" s="31"/>
      <c r="E97" s="31"/>
      <c r="F97" s="31"/>
      <c r="G97" s="31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</row>
    <row r="98" spans="1:26">
      <c r="A98" s="31"/>
      <c r="B98" s="31"/>
      <c r="C98" s="985"/>
      <c r="D98" s="31"/>
      <c r="E98" s="31"/>
      <c r="F98" s="31"/>
      <c r="G98" s="31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</row>
    <row r="99" spans="1:26">
      <c r="A99" s="31"/>
      <c r="B99" s="31"/>
      <c r="C99" s="985"/>
      <c r="D99" s="31"/>
      <c r="E99" s="31"/>
      <c r="F99" s="31"/>
      <c r="G99" s="31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</row>
    <row r="100" spans="1:26">
      <c r="A100" s="31"/>
      <c r="B100" s="31"/>
      <c r="C100" s="985"/>
      <c r="D100" s="31"/>
      <c r="E100" s="31"/>
      <c r="F100" s="31"/>
      <c r="G100" s="31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</row>
    <row r="101" spans="1:26">
      <c r="A101" s="31"/>
      <c r="B101" s="31"/>
      <c r="C101" s="985"/>
      <c r="D101" s="31"/>
      <c r="E101" s="31"/>
      <c r="F101" s="31"/>
      <c r="G101" s="31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</row>
    <row r="102" spans="1:26">
      <c r="A102" s="31"/>
      <c r="B102" s="31"/>
      <c r="C102" s="985"/>
      <c r="D102" s="31"/>
      <c r="E102" s="31"/>
      <c r="F102" s="31"/>
      <c r="G102" s="31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</row>
    <row r="103" spans="1:26">
      <c r="A103" s="31"/>
      <c r="B103" s="31"/>
      <c r="C103" s="985"/>
      <c r="D103" s="31"/>
      <c r="E103" s="31"/>
      <c r="F103" s="31"/>
      <c r="G103" s="31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</row>
    <row r="104" spans="1:26">
      <c r="A104" s="31"/>
      <c r="B104" s="31"/>
      <c r="C104" s="985"/>
      <c r="D104" s="31"/>
      <c r="E104" s="31"/>
      <c r="F104" s="31"/>
      <c r="G104" s="31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</row>
    <row r="105" spans="1:26">
      <c r="A105" s="31"/>
      <c r="B105" s="31"/>
      <c r="C105" s="985"/>
      <c r="D105" s="31"/>
      <c r="E105" s="31"/>
      <c r="F105" s="31"/>
      <c r="G105" s="31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</row>
    <row r="106" spans="1:26">
      <c r="A106" s="31"/>
      <c r="B106" s="31"/>
      <c r="C106" s="985"/>
      <c r="D106" s="31"/>
      <c r="E106" s="31"/>
      <c r="F106" s="31"/>
      <c r="G106" s="31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</row>
    <row r="107" spans="1:26">
      <c r="A107" s="31"/>
      <c r="B107" s="31"/>
      <c r="C107" s="985"/>
      <c r="D107" s="31"/>
      <c r="E107" s="31"/>
      <c r="F107" s="31"/>
      <c r="G107" s="31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</row>
    <row r="108" spans="1:26">
      <c r="A108" s="31"/>
      <c r="B108" s="31"/>
      <c r="C108" s="985"/>
      <c r="D108" s="31"/>
      <c r="E108" s="31"/>
      <c r="F108" s="31"/>
      <c r="G108" s="31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</row>
    <row r="109" spans="1:26">
      <c r="A109" s="31"/>
      <c r="B109" s="31"/>
      <c r="C109" s="985"/>
      <c r="D109" s="31"/>
      <c r="E109" s="31"/>
      <c r="F109" s="31"/>
      <c r="G109" s="31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</row>
    <row r="110" spans="1:26">
      <c r="A110" s="31"/>
      <c r="B110" s="31"/>
      <c r="C110" s="985"/>
      <c r="D110" s="31"/>
      <c r="E110" s="31"/>
      <c r="F110" s="31"/>
      <c r="G110" s="31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</row>
    <row r="111" spans="1:26">
      <c r="A111" s="31"/>
      <c r="B111" s="31"/>
      <c r="C111" s="985"/>
      <c r="D111" s="31"/>
      <c r="E111" s="31"/>
      <c r="F111" s="31"/>
      <c r="G111" s="31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</row>
    <row r="112" spans="1:26">
      <c r="A112" s="31"/>
      <c r="B112" s="31"/>
      <c r="C112" s="985"/>
      <c r="D112" s="31"/>
      <c r="E112" s="31"/>
      <c r="F112" s="31"/>
      <c r="G112" s="31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</row>
    <row r="113" spans="1:26">
      <c r="A113" s="31"/>
      <c r="B113" s="31"/>
      <c r="C113" s="985"/>
      <c r="D113" s="31"/>
      <c r="E113" s="31"/>
      <c r="F113" s="31"/>
      <c r="G113" s="31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</row>
    <row r="114" spans="1:26">
      <c r="A114" s="31"/>
      <c r="B114" s="31"/>
      <c r="C114" s="985"/>
      <c r="D114" s="31"/>
      <c r="E114" s="31"/>
      <c r="F114" s="31"/>
      <c r="G114" s="31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</row>
    <row r="115" spans="1:26">
      <c r="A115" s="31"/>
      <c r="B115" s="31"/>
      <c r="C115" s="985"/>
      <c r="D115" s="31"/>
      <c r="E115" s="31"/>
      <c r="F115" s="31"/>
      <c r="G115" s="31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</row>
    <row r="116" spans="1:26">
      <c r="A116" s="31"/>
      <c r="B116" s="31"/>
      <c r="C116" s="985"/>
      <c r="D116" s="31"/>
      <c r="E116" s="31"/>
      <c r="F116" s="31"/>
      <c r="G116" s="31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</row>
    <row r="117" spans="1:26">
      <c r="A117" s="31"/>
      <c r="B117" s="31"/>
      <c r="C117" s="985"/>
      <c r="D117" s="31"/>
      <c r="E117" s="31"/>
      <c r="F117" s="31"/>
      <c r="G117" s="31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</row>
    <row r="118" spans="1:26">
      <c r="A118" s="31"/>
      <c r="B118" s="31"/>
      <c r="C118" s="985"/>
      <c r="D118" s="31"/>
      <c r="E118" s="31"/>
      <c r="F118" s="31"/>
      <c r="G118" s="31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</row>
    <row r="119" spans="1:26">
      <c r="A119" s="31"/>
      <c r="B119" s="31"/>
      <c r="C119" s="985"/>
      <c r="D119" s="31"/>
      <c r="E119" s="31"/>
      <c r="F119" s="31"/>
      <c r="G119" s="31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</row>
    <row r="120" spans="1:26">
      <c r="A120" s="31"/>
      <c r="B120" s="31"/>
      <c r="C120" s="985"/>
      <c r="D120" s="31"/>
      <c r="E120" s="31"/>
      <c r="F120" s="31"/>
      <c r="G120" s="31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</row>
    <row r="121" spans="1:26">
      <c r="A121" s="31"/>
      <c r="B121" s="31"/>
      <c r="C121" s="985"/>
      <c r="D121" s="31"/>
      <c r="E121" s="31"/>
      <c r="F121" s="31"/>
      <c r="G121" s="31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</row>
    <row r="122" spans="1:26">
      <c r="A122" s="31"/>
      <c r="B122" s="31"/>
      <c r="C122" s="985"/>
      <c r="D122" s="31"/>
      <c r="E122" s="31"/>
      <c r="F122" s="31"/>
      <c r="G122" s="31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</row>
    <row r="123" spans="1:26">
      <c r="A123" s="31"/>
      <c r="B123" s="31"/>
      <c r="C123" s="985"/>
      <c r="D123" s="31"/>
      <c r="E123" s="31"/>
      <c r="F123" s="31"/>
      <c r="G123" s="31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</row>
    <row r="124" spans="1:26">
      <c r="A124" s="31"/>
      <c r="B124" s="31"/>
      <c r="C124" s="985"/>
      <c r="D124" s="31"/>
      <c r="E124" s="31"/>
      <c r="F124" s="31"/>
      <c r="G124" s="31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</row>
    <row r="125" spans="1:26">
      <c r="A125" s="31"/>
      <c r="B125" s="31"/>
      <c r="C125" s="985"/>
      <c r="D125" s="31"/>
      <c r="E125" s="31"/>
      <c r="F125" s="31"/>
      <c r="G125" s="31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</row>
    <row r="126" spans="1:26">
      <c r="A126" s="31"/>
      <c r="B126" s="31"/>
      <c r="C126" s="985"/>
      <c r="D126" s="31"/>
      <c r="E126" s="31"/>
      <c r="F126" s="31"/>
      <c r="G126" s="31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</row>
    <row r="127" spans="1:26">
      <c r="A127" s="31"/>
      <c r="B127" s="31"/>
      <c r="C127" s="985"/>
      <c r="D127" s="31"/>
      <c r="E127" s="31"/>
      <c r="F127" s="31"/>
      <c r="G127" s="31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</row>
    <row r="128" spans="1:26">
      <c r="A128" s="31"/>
      <c r="B128" s="31"/>
      <c r="C128" s="985"/>
      <c r="D128" s="31"/>
      <c r="E128" s="31"/>
      <c r="F128" s="31"/>
      <c r="G128" s="31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</row>
    <row r="129" spans="1:26">
      <c r="A129" s="242"/>
      <c r="B129" s="242"/>
      <c r="C129" s="635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</row>
    <row r="130" spans="1:26">
      <c r="A130" s="242"/>
      <c r="B130" s="242"/>
      <c r="C130" s="635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</row>
    <row r="131" spans="1:26">
      <c r="A131" s="242"/>
      <c r="B131" s="242"/>
      <c r="C131" s="635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</row>
    <row r="132" spans="1:26">
      <c r="A132" s="242"/>
      <c r="B132" s="242"/>
      <c r="C132" s="635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</row>
    <row r="133" spans="1:26">
      <c r="A133" s="242"/>
      <c r="B133" s="242"/>
      <c r="C133" s="635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</row>
    <row r="134" spans="1:26">
      <c r="A134" s="242"/>
      <c r="B134" s="242"/>
      <c r="C134" s="635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</row>
    <row r="135" spans="1:26">
      <c r="A135" s="242"/>
      <c r="B135" s="242"/>
      <c r="C135" s="635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</row>
    <row r="136" spans="1:26">
      <c r="A136" s="242"/>
      <c r="B136" s="242"/>
      <c r="C136" s="635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</row>
    <row r="137" spans="1:26">
      <c r="A137" s="242"/>
      <c r="B137" s="242"/>
      <c r="C137" s="635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</row>
    <row r="138" spans="1:26">
      <c r="A138" s="242"/>
      <c r="B138" s="242"/>
      <c r="C138" s="635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</row>
    <row r="139" spans="1:26">
      <c r="A139" s="242"/>
      <c r="B139" s="242"/>
      <c r="C139" s="635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</row>
    <row r="140" spans="1:26">
      <c r="A140" s="242"/>
      <c r="B140" s="242"/>
      <c r="C140" s="635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</row>
    <row r="141" spans="1:26">
      <c r="A141" s="242"/>
      <c r="B141" s="242"/>
      <c r="C141" s="635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</row>
    <row r="142" spans="1:26">
      <c r="A142" s="242"/>
      <c r="B142" s="242"/>
      <c r="C142" s="635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</row>
    <row r="143" spans="1:26">
      <c r="A143" s="242"/>
      <c r="B143" s="242"/>
      <c r="C143" s="635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</row>
    <row r="144" spans="1:26">
      <c r="A144" s="242"/>
      <c r="B144" s="242"/>
      <c r="C144" s="635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</row>
    <row r="145" spans="1:26">
      <c r="A145" s="242"/>
      <c r="B145" s="242"/>
      <c r="C145" s="635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</row>
    <row r="146" spans="1:26">
      <c r="A146" s="242"/>
      <c r="B146" s="242"/>
      <c r="C146" s="635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</row>
    <row r="147" spans="1:26">
      <c r="A147" s="242"/>
      <c r="B147" s="242"/>
      <c r="C147" s="635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</row>
    <row r="148" spans="1:26">
      <c r="A148" s="242"/>
      <c r="B148" s="242"/>
      <c r="C148" s="635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</row>
    <row r="149" spans="1:26">
      <c r="A149" s="242"/>
      <c r="B149" s="242"/>
      <c r="C149" s="635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</row>
    <row r="150" spans="1:26">
      <c r="A150" s="242"/>
      <c r="B150" s="242"/>
      <c r="C150" s="635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</row>
    <row r="151" spans="1:26">
      <c r="A151" s="242"/>
      <c r="B151" s="242"/>
      <c r="C151" s="635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</row>
    <row r="152" spans="1:26">
      <c r="A152" s="242"/>
      <c r="B152" s="242"/>
      <c r="C152" s="635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</row>
    <row r="153" spans="1:26">
      <c r="A153" s="242"/>
      <c r="B153" s="242"/>
      <c r="C153" s="635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</row>
    <row r="154" spans="1:26">
      <c r="A154" s="242"/>
      <c r="B154" s="242"/>
      <c r="C154" s="635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</row>
    <row r="155" spans="1:26">
      <c r="A155" s="242"/>
      <c r="B155" s="242"/>
      <c r="C155" s="635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</row>
    <row r="156" spans="1:26">
      <c r="A156" s="242"/>
      <c r="B156" s="242"/>
      <c r="C156" s="635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</row>
    <row r="157" spans="1:26">
      <c r="A157" s="242"/>
      <c r="B157" s="242"/>
      <c r="C157" s="635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</row>
    <row r="158" spans="1:26">
      <c r="A158" s="242"/>
      <c r="B158" s="242"/>
      <c r="C158" s="635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</row>
    <row r="159" spans="1:26">
      <c r="A159" s="242"/>
      <c r="B159" s="242"/>
      <c r="C159" s="635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</row>
    <row r="160" spans="1:26">
      <c r="A160" s="242"/>
      <c r="B160" s="242"/>
      <c r="C160" s="635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</row>
    <row r="161" spans="1:26">
      <c r="A161" s="242"/>
      <c r="B161" s="242"/>
      <c r="C161" s="635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</row>
    <row r="162" spans="1:26">
      <c r="A162" s="242"/>
      <c r="B162" s="242"/>
      <c r="C162" s="635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</row>
    <row r="163" spans="1:26">
      <c r="A163" s="242"/>
      <c r="B163" s="242"/>
      <c r="C163" s="635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</row>
    <row r="164" spans="1:26">
      <c r="A164" s="242"/>
      <c r="B164" s="242"/>
      <c r="C164" s="635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</row>
    <row r="165" spans="1:26">
      <c r="A165" s="242"/>
      <c r="B165" s="242"/>
      <c r="C165" s="635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</row>
    <row r="166" spans="1:26">
      <c r="A166" s="242"/>
      <c r="B166" s="242"/>
      <c r="C166" s="635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</row>
    <row r="167" spans="1:26">
      <c r="A167" s="242"/>
      <c r="B167" s="242"/>
      <c r="C167" s="635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</row>
    <row r="168" spans="1:26">
      <c r="A168" s="242"/>
      <c r="B168" s="242"/>
      <c r="C168" s="635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</row>
    <row r="169" spans="1:26">
      <c r="A169" s="242"/>
      <c r="B169" s="242"/>
      <c r="C169" s="635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</row>
    <row r="170" spans="1:26">
      <c r="A170" s="242"/>
      <c r="B170" s="242"/>
      <c r="C170" s="635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</row>
    <row r="171" spans="1:26">
      <c r="A171" s="242"/>
      <c r="B171" s="242"/>
      <c r="C171" s="635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</row>
    <row r="172" spans="1:26">
      <c r="A172" s="242"/>
      <c r="B172" s="242"/>
      <c r="C172" s="635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</row>
    <row r="173" spans="1:26">
      <c r="A173" s="242"/>
      <c r="B173" s="242"/>
      <c r="C173" s="635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42"/>
    </row>
    <row r="174" spans="1:26">
      <c r="A174" s="242"/>
      <c r="B174" s="242"/>
      <c r="C174" s="635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42"/>
    </row>
    <row r="175" spans="1:26">
      <c r="A175" s="242"/>
      <c r="B175" s="242"/>
      <c r="C175" s="635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42"/>
    </row>
    <row r="176" spans="1:26">
      <c r="A176" s="242"/>
      <c r="B176" s="242"/>
      <c r="C176" s="635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42"/>
    </row>
    <row r="177" spans="1:26">
      <c r="A177" s="242"/>
      <c r="B177" s="242"/>
      <c r="C177" s="635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42"/>
    </row>
    <row r="178" spans="1:26">
      <c r="A178" s="242"/>
      <c r="B178" s="242"/>
      <c r="C178" s="635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42"/>
    </row>
    <row r="179" spans="1:26">
      <c r="A179" s="242"/>
      <c r="B179" s="242"/>
      <c r="C179" s="635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</row>
    <row r="180" spans="1:26">
      <c r="A180" s="242"/>
      <c r="B180" s="242"/>
      <c r="C180" s="635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</row>
    <row r="181" spans="1:26">
      <c r="A181" s="242"/>
      <c r="B181" s="242"/>
      <c r="C181" s="635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</row>
    <row r="182" spans="1:26">
      <c r="A182" s="242"/>
      <c r="B182" s="242"/>
      <c r="C182" s="635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</row>
    <row r="183" spans="1:26">
      <c r="A183" s="242"/>
      <c r="B183" s="242"/>
      <c r="C183" s="635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/>
    </row>
    <row r="184" spans="1:26">
      <c r="A184" s="242"/>
      <c r="B184" s="242"/>
      <c r="C184" s="635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/>
    </row>
    <row r="185" spans="1:26">
      <c r="A185" s="242"/>
      <c r="B185" s="242"/>
      <c r="C185" s="635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</row>
    <row r="186" spans="1:26">
      <c r="A186" s="242"/>
      <c r="B186" s="242"/>
      <c r="C186" s="635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</row>
    <row r="187" spans="1:26">
      <c r="A187" s="242"/>
      <c r="B187" s="242"/>
      <c r="C187" s="635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</row>
    <row r="188" spans="1:26">
      <c r="A188" s="242"/>
      <c r="B188" s="242"/>
      <c r="C188" s="635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</row>
    <row r="189" spans="1:26">
      <c r="A189" s="242"/>
      <c r="B189" s="242"/>
      <c r="C189" s="635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</row>
    <row r="190" spans="1:26">
      <c r="A190" s="242"/>
      <c r="B190" s="242"/>
      <c r="C190" s="635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</row>
    <row r="191" spans="1:26">
      <c r="A191" s="242"/>
      <c r="B191" s="242"/>
      <c r="C191" s="635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</row>
    <row r="192" spans="1:26">
      <c r="A192" s="242"/>
      <c r="B192" s="242"/>
      <c r="C192" s="635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</row>
    <row r="193" spans="1:26">
      <c r="A193" s="242"/>
      <c r="B193" s="242"/>
      <c r="C193" s="635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</row>
    <row r="194" spans="1:26">
      <c r="A194" s="242"/>
      <c r="B194" s="242"/>
      <c r="C194" s="635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</row>
    <row r="195" spans="1:26">
      <c r="A195" s="242"/>
      <c r="B195" s="242"/>
      <c r="C195" s="635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</row>
    <row r="196" spans="1:26">
      <c r="A196" s="242"/>
      <c r="B196" s="242"/>
      <c r="C196" s="635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</row>
    <row r="197" spans="1:26">
      <c r="A197" s="242"/>
      <c r="B197" s="242"/>
      <c r="C197" s="635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  <c r="Z197" s="242"/>
    </row>
    <row r="198" spans="1:26">
      <c r="A198" s="242"/>
      <c r="B198" s="242"/>
      <c r="C198" s="635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</row>
    <row r="199" spans="1:26">
      <c r="A199" s="242"/>
      <c r="B199" s="242"/>
      <c r="C199" s="635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</row>
    <row r="200" spans="1:26">
      <c r="A200" s="242"/>
      <c r="B200" s="242"/>
      <c r="C200" s="635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  <c r="Z200" s="242"/>
    </row>
    <row r="201" spans="1:26">
      <c r="A201" s="242"/>
      <c r="B201" s="242"/>
      <c r="C201" s="635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  <c r="Z201" s="242"/>
    </row>
    <row r="202" spans="1:26">
      <c r="A202" s="242"/>
      <c r="B202" s="242"/>
      <c r="C202" s="635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</row>
    <row r="203" spans="1:26">
      <c r="A203" s="242"/>
      <c r="B203" s="242"/>
      <c r="C203" s="635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  <c r="Z203" s="242"/>
    </row>
    <row r="204" spans="1:26">
      <c r="A204" s="242"/>
      <c r="B204" s="242"/>
      <c r="C204" s="635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  <c r="Z204" s="242"/>
    </row>
    <row r="205" spans="1:26">
      <c r="A205" s="242"/>
      <c r="B205" s="242"/>
      <c r="C205" s="635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  <c r="Z205" s="242"/>
    </row>
    <row r="206" spans="1:26">
      <c r="A206" s="242"/>
      <c r="B206" s="242"/>
      <c r="C206" s="635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  <c r="Z206" s="242"/>
    </row>
    <row r="207" spans="1:26">
      <c r="A207" s="242"/>
      <c r="B207" s="242"/>
      <c r="C207" s="635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  <c r="Z207" s="242"/>
    </row>
    <row r="208" spans="1:26">
      <c r="A208" s="242"/>
      <c r="B208" s="242"/>
      <c r="C208" s="635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  <c r="Z208" s="242"/>
    </row>
    <row r="209" spans="1:26">
      <c r="A209" s="242"/>
      <c r="B209" s="242"/>
      <c r="C209" s="635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  <c r="Z209" s="242"/>
    </row>
    <row r="210" spans="1:26">
      <c r="A210" s="242"/>
      <c r="B210" s="242"/>
      <c r="C210" s="635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  <c r="Z210" s="242"/>
    </row>
    <row r="211" spans="1:26">
      <c r="A211" s="242"/>
      <c r="B211" s="242"/>
      <c r="C211" s="635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  <c r="Z211" s="242"/>
    </row>
    <row r="212" spans="1:26">
      <c r="A212" s="242"/>
      <c r="B212" s="242"/>
      <c r="C212" s="635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  <c r="Z212" s="242"/>
    </row>
    <row r="213" spans="1:26">
      <c r="A213" s="242"/>
      <c r="B213" s="242"/>
      <c r="C213" s="635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</row>
    <row r="214" spans="1:26">
      <c r="A214" s="242"/>
      <c r="B214" s="242"/>
      <c r="C214" s="635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</row>
    <row r="215" spans="1:26">
      <c r="A215" s="242"/>
      <c r="B215" s="242"/>
      <c r="C215" s="635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  <c r="Z215" s="242"/>
    </row>
    <row r="216" spans="1:26">
      <c r="A216" s="242"/>
      <c r="B216" s="242"/>
      <c r="C216" s="635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</row>
    <row r="217" spans="1:26">
      <c r="A217" s="242"/>
      <c r="B217" s="242"/>
      <c r="C217" s="635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  <c r="Z217" s="242"/>
    </row>
    <row r="218" spans="1:26">
      <c r="A218" s="242"/>
      <c r="B218" s="242"/>
      <c r="C218" s="635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  <c r="Z218" s="242"/>
    </row>
    <row r="219" spans="1:26">
      <c r="A219" s="242"/>
      <c r="B219" s="242"/>
      <c r="C219" s="635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242"/>
    </row>
    <row r="220" spans="1:26">
      <c r="A220" s="242"/>
      <c r="B220" s="242"/>
      <c r="C220" s="635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</row>
    <row r="221" spans="1:26">
      <c r="A221" s="242"/>
      <c r="B221" s="242"/>
      <c r="C221" s="635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</row>
    <row r="222" spans="1:26">
      <c r="A222" s="242"/>
      <c r="B222" s="242"/>
      <c r="C222" s="635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</row>
    <row r="223" spans="1:26">
      <c r="A223" s="242"/>
      <c r="B223" s="242"/>
      <c r="C223" s="635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  <c r="Z223" s="242"/>
    </row>
    <row r="224" spans="1:26">
      <c r="A224" s="242"/>
      <c r="B224" s="242"/>
      <c r="C224" s="635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</row>
    <row r="225" spans="1:26">
      <c r="A225" s="242"/>
      <c r="B225" s="242"/>
      <c r="C225" s="635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</row>
    <row r="226" spans="1:26">
      <c r="A226" s="242"/>
      <c r="B226" s="242"/>
      <c r="C226" s="635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</row>
    <row r="227" spans="1:26">
      <c r="A227" s="242"/>
      <c r="B227" s="242"/>
      <c r="C227" s="635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</row>
    <row r="228" spans="1:26">
      <c r="A228" s="242"/>
      <c r="B228" s="242"/>
      <c r="C228" s="635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</row>
    <row r="229" spans="1:26">
      <c r="A229" s="242"/>
      <c r="B229" s="242"/>
      <c r="C229" s="635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  <c r="Z229" s="242"/>
    </row>
    <row r="230" spans="1:26">
      <c r="A230" s="242"/>
      <c r="B230" s="242"/>
      <c r="C230" s="635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  <c r="Z230" s="242"/>
    </row>
    <row r="231" spans="1:26">
      <c r="A231" s="242"/>
      <c r="B231" s="242"/>
      <c r="C231" s="635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  <c r="Z231" s="242"/>
    </row>
    <row r="232" spans="1:26">
      <c r="A232" s="242"/>
      <c r="B232" s="242"/>
      <c r="C232" s="635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  <c r="Z232" s="242"/>
    </row>
    <row r="233" spans="1:26">
      <c r="A233" s="242"/>
      <c r="B233" s="242"/>
      <c r="C233" s="635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</row>
    <row r="234" spans="1:26">
      <c r="A234" s="242"/>
      <c r="B234" s="242"/>
      <c r="C234" s="635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  <c r="Z234" s="242"/>
    </row>
    <row r="235" spans="1:26">
      <c r="A235" s="242"/>
      <c r="B235" s="242"/>
      <c r="C235" s="635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</row>
    <row r="236" spans="1:26">
      <c r="A236" s="242"/>
      <c r="B236" s="242"/>
      <c r="C236" s="635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</row>
    <row r="237" spans="1:26">
      <c r="A237" s="242"/>
      <c r="B237" s="242"/>
      <c r="C237" s="635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  <c r="Z237" s="242"/>
    </row>
    <row r="238" spans="1:26">
      <c r="A238" s="242"/>
      <c r="B238" s="242"/>
      <c r="C238" s="635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</row>
    <row r="239" spans="1:26">
      <c r="A239" s="242"/>
      <c r="B239" s="242"/>
      <c r="C239" s="635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</row>
    <row r="240" spans="1:26">
      <c r="A240" s="242"/>
      <c r="B240" s="242"/>
      <c r="C240" s="635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/>
    </row>
    <row r="241" spans="1:26">
      <c r="A241" s="242"/>
      <c r="B241" s="242"/>
      <c r="C241" s="635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</row>
    <row r="242" spans="1:26">
      <c r="A242" s="242"/>
      <c r="B242" s="242"/>
      <c r="C242" s="635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  <c r="Z242" s="242"/>
    </row>
    <row r="243" spans="1:26">
      <c r="A243" s="242"/>
      <c r="B243" s="242"/>
      <c r="C243" s="635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</row>
    <row r="244" spans="1:26">
      <c r="A244" s="242"/>
      <c r="B244" s="242"/>
      <c r="C244" s="635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</row>
    <row r="245" spans="1:26">
      <c r="A245" s="242"/>
      <c r="B245" s="242"/>
      <c r="C245" s="635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</row>
    <row r="246" spans="1:26">
      <c r="A246" s="242"/>
      <c r="B246" s="242"/>
      <c r="C246" s="635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</row>
    <row r="247" spans="1:26">
      <c r="A247" s="242"/>
      <c r="B247" s="242"/>
      <c r="C247" s="635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</row>
    <row r="248" spans="1:26">
      <c r="A248" s="242"/>
      <c r="B248" s="242"/>
      <c r="C248" s="635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  <c r="Z248" s="242"/>
    </row>
    <row r="249" spans="1:26">
      <c r="A249" s="242"/>
      <c r="B249" s="242"/>
      <c r="C249" s="635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242"/>
    </row>
    <row r="250" spans="1:26">
      <c r="A250" s="242"/>
      <c r="B250" s="242"/>
      <c r="C250" s="635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</row>
    <row r="251" spans="1:26">
      <c r="A251" s="242"/>
      <c r="B251" s="242"/>
      <c r="C251" s="635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  <c r="Z251" s="242"/>
    </row>
    <row r="252" spans="1:26">
      <c r="A252" s="242"/>
      <c r="B252" s="242"/>
      <c r="C252" s="635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</row>
    <row r="253" spans="1:26">
      <c r="A253" s="242"/>
      <c r="B253" s="242"/>
      <c r="C253" s="635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</row>
    <row r="254" spans="1:26">
      <c r="A254" s="242"/>
      <c r="B254" s="242"/>
      <c r="C254" s="635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</row>
    <row r="255" spans="1:26">
      <c r="A255" s="242"/>
      <c r="B255" s="242"/>
      <c r="C255" s="635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  <c r="Z255" s="242"/>
    </row>
    <row r="256" spans="1:26">
      <c r="A256" s="242"/>
      <c r="B256" s="242"/>
      <c r="C256" s="635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  <c r="Z256" s="242"/>
    </row>
    <row r="257" spans="1:26">
      <c r="A257" s="242"/>
      <c r="B257" s="242"/>
      <c r="C257" s="635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  <c r="Z257" s="242"/>
    </row>
    <row r="258" spans="1:26">
      <c r="A258" s="242"/>
      <c r="B258" s="242"/>
      <c r="C258" s="635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  <c r="Z258" s="242"/>
    </row>
    <row r="259" spans="1:26">
      <c r="A259" s="242"/>
      <c r="B259" s="242"/>
      <c r="C259" s="635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242"/>
    </row>
    <row r="260" spans="1:26">
      <c r="A260" s="242"/>
      <c r="B260" s="242"/>
      <c r="C260" s="635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</row>
    <row r="261" spans="1:26">
      <c r="A261" s="242"/>
      <c r="B261" s="242"/>
      <c r="C261" s="635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  <c r="Z261" s="242"/>
    </row>
    <row r="262" spans="1:26">
      <c r="A262" s="242"/>
      <c r="B262" s="242"/>
      <c r="C262" s="635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/>
    </row>
    <row r="263" spans="1:26">
      <c r="A263" s="242"/>
      <c r="B263" s="242"/>
      <c r="C263" s="635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  <c r="Z263" s="242"/>
    </row>
    <row r="264" spans="1:26">
      <c r="A264" s="242"/>
      <c r="B264" s="242"/>
      <c r="C264" s="635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  <c r="Z264" s="242"/>
    </row>
    <row r="265" spans="1:26">
      <c r="A265" s="242"/>
      <c r="B265" s="242"/>
      <c r="C265" s="635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242"/>
    </row>
    <row r="266" spans="1:26">
      <c r="A266" s="242"/>
      <c r="B266" s="242"/>
      <c r="C266" s="635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  <c r="Z266" s="242"/>
    </row>
    <row r="267" spans="1:26">
      <c r="A267" s="242"/>
      <c r="B267" s="242"/>
      <c r="C267" s="635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  <c r="Z267" s="242"/>
    </row>
    <row r="268" spans="1:26">
      <c r="A268" s="242"/>
      <c r="B268" s="242"/>
      <c r="C268" s="635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  <c r="Z268" s="242"/>
    </row>
    <row r="269" spans="1:26">
      <c r="A269" s="242"/>
      <c r="B269" s="242"/>
      <c r="C269" s="635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242"/>
    </row>
    <row r="270" spans="1:26">
      <c r="A270" s="242"/>
      <c r="B270" s="242"/>
      <c r="C270" s="635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  <c r="Z270" s="242"/>
    </row>
    <row r="271" spans="1:26">
      <c r="A271" s="242"/>
      <c r="B271" s="242"/>
      <c r="C271" s="635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  <c r="Z271" s="242"/>
    </row>
    <row r="272" spans="1:26">
      <c r="A272" s="242"/>
      <c r="B272" s="242"/>
      <c r="C272" s="635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  <c r="Z272" s="242"/>
    </row>
    <row r="273" spans="1:26">
      <c r="A273" s="242"/>
      <c r="B273" s="242"/>
      <c r="C273" s="635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  <c r="Z273" s="242"/>
    </row>
    <row r="274" spans="1:26">
      <c r="A274" s="242"/>
      <c r="B274" s="242"/>
      <c r="C274" s="635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  <c r="Z274" s="242"/>
    </row>
    <row r="275" spans="1:26">
      <c r="A275" s="242"/>
      <c r="B275" s="242"/>
      <c r="C275" s="635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/>
    </row>
    <row r="276" spans="1:26">
      <c r="A276" s="242"/>
      <c r="B276" s="242"/>
      <c r="C276" s="635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  <c r="Z276" s="242"/>
    </row>
    <row r="277" spans="1:26">
      <c r="A277" s="242"/>
      <c r="B277" s="242"/>
      <c r="C277" s="635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  <c r="Z277" s="242"/>
    </row>
    <row r="278" spans="1:26">
      <c r="A278" s="242"/>
      <c r="B278" s="242"/>
      <c r="C278" s="635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  <c r="Z278" s="242"/>
    </row>
    <row r="279" spans="1:26">
      <c r="A279" s="242"/>
      <c r="B279" s="242"/>
      <c r="C279" s="635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  <c r="Z279" s="242"/>
    </row>
    <row r="280" spans="1:26">
      <c r="A280" s="242"/>
      <c r="B280" s="242"/>
      <c r="C280" s="635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  <c r="Z280" s="242"/>
    </row>
    <row r="281" spans="1:26">
      <c r="A281" s="242"/>
      <c r="B281" s="242"/>
      <c r="C281" s="635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  <c r="Z281" s="242"/>
    </row>
    <row r="282" spans="1:26">
      <c r="A282" s="242"/>
      <c r="B282" s="242"/>
      <c r="C282" s="635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</row>
    <row r="283" spans="1:26">
      <c r="A283" s="242"/>
      <c r="B283" s="242"/>
      <c r="C283" s="635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  <c r="Z283" s="242"/>
    </row>
    <row r="284" spans="1:26">
      <c r="A284" s="242"/>
      <c r="B284" s="242"/>
      <c r="C284" s="635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  <c r="Y284" s="242"/>
      <c r="Z284" s="242"/>
    </row>
    <row r="285" spans="1:26">
      <c r="A285" s="242"/>
      <c r="B285" s="242"/>
      <c r="C285" s="635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  <c r="Z285" s="242"/>
    </row>
    <row r="286" spans="1:26">
      <c r="A286" s="242"/>
      <c r="B286" s="242"/>
      <c r="C286" s="635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  <c r="Z286" s="242"/>
    </row>
    <row r="287" spans="1:26">
      <c r="A287" s="242"/>
      <c r="B287" s="242"/>
      <c r="C287" s="635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  <c r="Z287" s="242"/>
    </row>
    <row r="288" spans="1:26">
      <c r="A288" s="242"/>
      <c r="B288" s="242"/>
      <c r="C288" s="635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  <c r="Z288" s="242"/>
    </row>
    <row r="289" spans="1:26">
      <c r="A289" s="242"/>
      <c r="B289" s="242"/>
      <c r="C289" s="635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</row>
    <row r="290" spans="1:26">
      <c r="A290" s="242"/>
      <c r="B290" s="242"/>
      <c r="C290" s="635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  <c r="Z290" s="242"/>
    </row>
    <row r="291" spans="1:26">
      <c r="A291" s="242"/>
      <c r="B291" s="242"/>
      <c r="C291" s="635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  <c r="Z291" s="242"/>
    </row>
    <row r="292" spans="1:26">
      <c r="A292" s="242"/>
      <c r="B292" s="242"/>
      <c r="C292" s="635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  <c r="Z292" s="242"/>
    </row>
    <row r="293" spans="1:26">
      <c r="A293" s="242"/>
      <c r="B293" s="242"/>
      <c r="C293" s="635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242"/>
    </row>
    <row r="294" spans="1:26">
      <c r="A294" s="242"/>
      <c r="B294" s="242"/>
      <c r="C294" s="635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  <c r="Z294" s="242"/>
    </row>
    <row r="295" spans="1:26">
      <c r="A295" s="242"/>
      <c r="B295" s="242"/>
      <c r="C295" s="635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</row>
    <row r="296" spans="1:26">
      <c r="A296" s="242"/>
      <c r="B296" s="242"/>
      <c r="C296" s="635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</row>
    <row r="297" spans="1:26">
      <c r="A297" s="242"/>
      <c r="B297" s="242"/>
      <c r="C297" s="635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  <c r="Z297" s="242"/>
    </row>
    <row r="298" spans="1:26">
      <c r="A298" s="242"/>
      <c r="B298" s="242"/>
      <c r="C298" s="635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  <c r="Z298" s="242"/>
    </row>
    <row r="299" spans="1:26">
      <c r="A299" s="242"/>
      <c r="B299" s="242"/>
      <c r="C299" s="635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  <c r="Z299" s="242"/>
    </row>
    <row r="300" spans="1:26">
      <c r="A300" s="242"/>
      <c r="B300" s="242"/>
      <c r="C300" s="635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  <c r="Z300" s="242"/>
    </row>
    <row r="301" spans="1:26">
      <c r="A301" s="242"/>
      <c r="B301" s="242"/>
      <c r="C301" s="635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  <c r="Z301" s="242"/>
    </row>
    <row r="302" spans="1:26">
      <c r="A302" s="242"/>
      <c r="B302" s="242"/>
      <c r="C302" s="635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</row>
    <row r="303" spans="1:26">
      <c r="A303" s="242"/>
      <c r="B303" s="242"/>
      <c r="C303" s="635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</row>
    <row r="304" spans="1:26">
      <c r="A304" s="242"/>
      <c r="B304" s="242"/>
      <c r="C304" s="635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  <c r="Z304" s="242"/>
    </row>
    <row r="305" spans="1:26">
      <c r="A305" s="242"/>
      <c r="B305" s="242"/>
      <c r="C305" s="635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  <c r="Z305" s="242"/>
    </row>
    <row r="306" spans="1:26">
      <c r="A306" s="242"/>
      <c r="B306" s="242"/>
      <c r="C306" s="635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  <c r="Z306" s="242"/>
    </row>
    <row r="307" spans="1:26">
      <c r="A307" s="242"/>
      <c r="B307" s="242"/>
      <c r="C307" s="635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  <c r="Z307" s="242"/>
    </row>
    <row r="308" spans="1:26">
      <c r="A308" s="242"/>
      <c r="B308" s="242"/>
      <c r="C308" s="635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  <c r="Z308" s="242"/>
    </row>
    <row r="309" spans="1:26">
      <c r="A309" s="242"/>
      <c r="B309" s="242"/>
      <c r="C309" s="635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  <c r="Z309" s="242"/>
    </row>
    <row r="310" spans="1:26">
      <c r="A310" s="242"/>
      <c r="B310" s="242"/>
      <c r="C310" s="635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  <c r="Z310" s="242"/>
    </row>
    <row r="311" spans="1:26">
      <c r="A311" s="242"/>
      <c r="B311" s="242"/>
      <c r="C311" s="635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  <c r="Z311" s="242"/>
    </row>
    <row r="312" spans="1:26">
      <c r="A312" s="242"/>
      <c r="B312" s="242"/>
      <c r="C312" s="635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  <c r="Z312" s="242"/>
    </row>
    <row r="313" spans="1:26">
      <c r="A313" s="242"/>
      <c r="B313" s="242"/>
      <c r="C313" s="635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42"/>
      <c r="W313" s="242"/>
      <c r="X313" s="242"/>
      <c r="Y313" s="242"/>
      <c r="Z313" s="242"/>
    </row>
    <row r="314" spans="1:26">
      <c r="A314" s="242"/>
      <c r="B314" s="242"/>
      <c r="C314" s="635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  <c r="Z314" s="242"/>
    </row>
    <row r="315" spans="1:26">
      <c r="A315" s="242"/>
      <c r="B315" s="242"/>
      <c r="C315" s="635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  <c r="Z315" s="242"/>
    </row>
    <row r="316" spans="1:26">
      <c r="A316" s="242"/>
      <c r="B316" s="242"/>
      <c r="C316" s="635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  <c r="Z316" s="242"/>
    </row>
    <row r="317" spans="1:26">
      <c r="A317" s="242"/>
      <c r="B317" s="242"/>
      <c r="C317" s="635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  <c r="Z317" s="242"/>
    </row>
    <row r="318" spans="1:26">
      <c r="A318" s="242"/>
      <c r="B318" s="242"/>
      <c r="C318" s="635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  <c r="Z318" s="242"/>
    </row>
    <row r="319" spans="1:26">
      <c r="A319" s="242"/>
      <c r="B319" s="242"/>
      <c r="C319" s="635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  <c r="Z319" s="242"/>
    </row>
    <row r="320" spans="1:26">
      <c r="A320" s="242"/>
      <c r="B320" s="242"/>
      <c r="C320" s="635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  <c r="Z320" s="242"/>
    </row>
    <row r="321" spans="1:26">
      <c r="A321" s="242"/>
      <c r="B321" s="242"/>
      <c r="C321" s="635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42"/>
      <c r="W321" s="242"/>
      <c r="X321" s="242"/>
      <c r="Y321" s="242"/>
      <c r="Z321" s="242"/>
    </row>
    <row r="322" spans="1:26">
      <c r="A322" s="242"/>
      <c r="B322" s="242"/>
      <c r="C322" s="635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  <c r="Z322" s="242"/>
    </row>
    <row r="323" spans="1:26">
      <c r="A323" s="242"/>
      <c r="B323" s="242"/>
      <c r="C323" s="635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  <c r="Z323" s="242"/>
    </row>
    <row r="324" spans="1:26">
      <c r="A324" s="242"/>
      <c r="B324" s="242"/>
      <c r="C324" s="635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  <c r="Z324" s="242"/>
    </row>
    <row r="325" spans="1:26">
      <c r="A325" s="242"/>
      <c r="B325" s="242"/>
      <c r="C325" s="635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  <c r="Z325" s="242"/>
    </row>
    <row r="326" spans="1:26">
      <c r="A326" s="242"/>
      <c r="B326" s="242"/>
      <c r="C326" s="635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</row>
    <row r="327" spans="1:26">
      <c r="A327" s="242"/>
      <c r="B327" s="242"/>
      <c r="C327" s="635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</row>
    <row r="328" spans="1:26">
      <c r="A328" s="242"/>
      <c r="B328" s="242"/>
      <c r="C328" s="635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</row>
    <row r="329" spans="1:26">
      <c r="A329" s="242"/>
      <c r="B329" s="242"/>
      <c r="C329" s="635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</row>
    <row r="330" spans="1:26">
      <c r="A330" s="242"/>
      <c r="B330" s="242"/>
      <c r="C330" s="635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</row>
    <row r="331" spans="1:26">
      <c r="A331" s="242"/>
      <c r="B331" s="242"/>
      <c r="C331" s="635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</row>
    <row r="332" spans="1:26">
      <c r="A332" s="242"/>
      <c r="B332" s="242"/>
      <c r="C332" s="635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</row>
    <row r="333" spans="1:26">
      <c r="A333" s="242"/>
      <c r="B333" s="242"/>
      <c r="C333" s="635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</row>
    <row r="334" spans="1:26">
      <c r="A334" s="242"/>
      <c r="B334" s="242"/>
      <c r="C334" s="635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</row>
    <row r="335" spans="1:26">
      <c r="A335" s="242"/>
      <c r="B335" s="242"/>
      <c r="C335" s="635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</row>
    <row r="336" spans="1:26">
      <c r="A336" s="242"/>
      <c r="B336" s="242"/>
      <c r="C336" s="635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</row>
    <row r="337" spans="1:26">
      <c r="A337" s="242"/>
      <c r="B337" s="242"/>
      <c r="C337" s="635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</row>
    <row r="338" spans="1:26">
      <c r="A338" s="242"/>
      <c r="B338" s="242"/>
      <c r="C338" s="635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</row>
    <row r="339" spans="1:26">
      <c r="A339" s="242"/>
      <c r="B339" s="242"/>
      <c r="C339" s="635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</row>
    <row r="340" spans="1:26">
      <c r="A340" s="242"/>
      <c r="B340" s="242"/>
      <c r="C340" s="635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</row>
    <row r="341" spans="1:26">
      <c r="A341" s="242"/>
      <c r="B341" s="242"/>
      <c r="C341" s="635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</row>
    <row r="342" spans="1:26">
      <c r="A342" s="242"/>
      <c r="B342" s="242"/>
      <c r="C342" s="635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</row>
    <row r="343" spans="1:26">
      <c r="A343" s="242"/>
      <c r="B343" s="242"/>
      <c r="C343" s="635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</row>
    <row r="344" spans="1:26">
      <c r="A344" s="242"/>
      <c r="B344" s="242"/>
      <c r="C344" s="635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  <c r="Z344" s="242"/>
    </row>
    <row r="345" spans="1:26">
      <c r="A345" s="242"/>
      <c r="B345" s="242"/>
      <c r="C345" s="635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</row>
    <row r="346" spans="1:26">
      <c r="A346" s="242"/>
      <c r="B346" s="242"/>
      <c r="C346" s="635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</row>
    <row r="347" spans="1:26">
      <c r="A347" s="242"/>
      <c r="B347" s="242"/>
      <c r="C347" s="635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</row>
    <row r="348" spans="1:26">
      <c r="A348" s="242"/>
      <c r="B348" s="242"/>
      <c r="C348" s="635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</row>
    <row r="349" spans="1:26">
      <c r="A349" s="242"/>
      <c r="B349" s="242"/>
      <c r="C349" s="635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  <c r="Z349" s="242"/>
    </row>
    <row r="350" spans="1:26">
      <c r="A350" s="242"/>
      <c r="B350" s="242"/>
      <c r="C350" s="635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</row>
    <row r="351" spans="1:26">
      <c r="A351" s="242"/>
      <c r="B351" s="242"/>
      <c r="C351" s="635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</row>
    <row r="352" spans="1:26">
      <c r="A352" s="242"/>
      <c r="B352" s="242"/>
      <c r="C352" s="635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</row>
    <row r="353" spans="1:26">
      <c r="A353" s="242"/>
      <c r="B353" s="242"/>
      <c r="C353" s="635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</row>
    <row r="354" spans="1:26">
      <c r="A354" s="242"/>
      <c r="B354" s="242"/>
      <c r="C354" s="635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</row>
    <row r="355" spans="1:26">
      <c r="A355" s="242"/>
      <c r="B355" s="242"/>
      <c r="C355" s="635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</row>
    <row r="356" spans="1:26">
      <c r="A356" s="242"/>
      <c r="B356" s="242"/>
      <c r="C356" s="635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</row>
    <row r="357" spans="1:26">
      <c r="A357" s="242"/>
      <c r="B357" s="242"/>
      <c r="C357" s="635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  <c r="Z357" s="242"/>
    </row>
    <row r="358" spans="1:26">
      <c r="A358" s="242"/>
      <c r="B358" s="242"/>
      <c r="C358" s="635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</row>
    <row r="359" spans="1:26">
      <c r="A359" s="242"/>
      <c r="B359" s="242"/>
      <c r="C359" s="635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</row>
    <row r="360" spans="1:26">
      <c r="A360" s="242"/>
      <c r="B360" s="242"/>
      <c r="C360" s="635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</row>
    <row r="361" spans="1:26">
      <c r="A361" s="242"/>
      <c r="B361" s="242"/>
      <c r="C361" s="635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</row>
    <row r="362" spans="1:26">
      <c r="A362" s="242"/>
      <c r="B362" s="242"/>
      <c r="C362" s="635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</row>
    <row r="363" spans="1:26">
      <c r="A363" s="242"/>
      <c r="B363" s="242"/>
      <c r="C363" s="635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</row>
    <row r="364" spans="1:26">
      <c r="A364" s="242"/>
      <c r="B364" s="242"/>
      <c r="C364" s="635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</row>
    <row r="365" spans="1:26">
      <c r="A365" s="242"/>
      <c r="B365" s="242"/>
      <c r="C365" s="635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</row>
    <row r="366" spans="1:26">
      <c r="A366" s="242"/>
      <c r="B366" s="242"/>
      <c r="C366" s="635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</row>
    <row r="367" spans="1:26">
      <c r="A367" s="242"/>
      <c r="B367" s="242"/>
      <c r="C367" s="635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</row>
    <row r="368" spans="1:26">
      <c r="A368" s="242"/>
      <c r="B368" s="242"/>
      <c r="C368" s="635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</row>
    <row r="369" spans="1:26">
      <c r="A369" s="242"/>
      <c r="B369" s="242"/>
      <c r="C369" s="635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  <c r="Z369" s="242"/>
    </row>
    <row r="370" spans="1:26">
      <c r="A370" s="242"/>
      <c r="B370" s="242"/>
      <c r="C370" s="635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  <c r="Y370" s="242"/>
      <c r="Z370" s="242"/>
    </row>
    <row r="371" spans="1:26">
      <c r="A371" s="242"/>
      <c r="B371" s="242"/>
      <c r="C371" s="635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  <c r="Y371" s="242"/>
      <c r="Z371" s="242"/>
    </row>
    <row r="372" spans="1:26">
      <c r="A372" s="242"/>
      <c r="B372" s="242"/>
      <c r="C372" s="635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  <c r="Y372" s="242"/>
      <c r="Z372" s="242"/>
    </row>
    <row r="373" spans="1:26">
      <c r="A373" s="242"/>
      <c r="B373" s="242"/>
      <c r="C373" s="635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  <c r="Y373" s="242"/>
      <c r="Z373" s="242"/>
    </row>
    <row r="374" spans="1:26">
      <c r="A374" s="242"/>
      <c r="B374" s="242"/>
      <c r="C374" s="635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  <c r="Z374" s="242"/>
    </row>
    <row r="375" spans="1:26">
      <c r="A375" s="242"/>
      <c r="B375" s="242"/>
      <c r="C375" s="635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  <c r="Y375" s="242"/>
      <c r="Z375" s="242"/>
    </row>
    <row r="376" spans="1:26">
      <c r="A376" s="242"/>
      <c r="B376" s="242"/>
      <c r="C376" s="635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  <c r="Y376" s="242"/>
      <c r="Z376" s="242"/>
    </row>
    <row r="377" spans="1:26">
      <c r="A377" s="242"/>
      <c r="B377" s="242"/>
      <c r="C377" s="635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  <c r="Y377" s="242"/>
      <c r="Z377" s="242"/>
    </row>
    <row r="378" spans="1:26">
      <c r="A378" s="242"/>
      <c r="B378" s="242"/>
      <c r="C378" s="635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  <c r="Y378" s="242"/>
      <c r="Z378" s="242"/>
    </row>
    <row r="379" spans="1:26">
      <c r="A379" s="242"/>
      <c r="B379" s="242"/>
      <c r="C379" s="635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  <c r="Y379" s="242"/>
      <c r="Z379" s="242"/>
    </row>
    <row r="380" spans="1:26">
      <c r="A380" s="242"/>
      <c r="B380" s="242"/>
      <c r="C380" s="635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  <c r="Y380" s="242"/>
      <c r="Z380" s="242"/>
    </row>
    <row r="381" spans="1:26">
      <c r="A381" s="242"/>
      <c r="B381" s="242"/>
      <c r="C381" s="635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  <c r="Y381" s="242"/>
      <c r="Z381" s="242"/>
    </row>
    <row r="382" spans="1:26">
      <c r="A382" s="242"/>
      <c r="B382" s="242"/>
      <c r="C382" s="635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  <c r="Z382" s="242"/>
    </row>
    <row r="383" spans="1:26">
      <c r="A383" s="242"/>
      <c r="B383" s="242"/>
      <c r="C383" s="635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</row>
    <row r="384" spans="1:26">
      <c r="A384" s="242"/>
      <c r="B384" s="242"/>
      <c r="C384" s="635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  <c r="Y384" s="242"/>
      <c r="Z384" s="242"/>
    </row>
    <row r="385" spans="1:26">
      <c r="A385" s="242"/>
      <c r="B385" s="242"/>
      <c r="C385" s="635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  <c r="Y385" s="242"/>
      <c r="Z385" s="242"/>
    </row>
    <row r="386" spans="1:26">
      <c r="A386" s="242"/>
      <c r="B386" s="242"/>
      <c r="C386" s="635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  <c r="Y386" s="242"/>
      <c r="Z386" s="242"/>
    </row>
    <row r="387" spans="1:26">
      <c r="A387" s="242"/>
      <c r="B387" s="242"/>
      <c r="C387" s="635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  <c r="Z387" s="242"/>
    </row>
    <row r="388" spans="1:26">
      <c r="A388" s="242"/>
      <c r="B388" s="242"/>
      <c r="C388" s="635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  <c r="Z388" s="242"/>
    </row>
    <row r="389" spans="1:26">
      <c r="A389" s="242"/>
      <c r="B389" s="242"/>
      <c r="C389" s="635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  <c r="Z389" s="242"/>
    </row>
    <row r="390" spans="1:26">
      <c r="A390" s="242"/>
      <c r="B390" s="242"/>
      <c r="C390" s="635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  <c r="Z390" s="242"/>
    </row>
    <row r="391" spans="1:26">
      <c r="A391" s="242"/>
      <c r="B391" s="242"/>
      <c r="C391" s="635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  <c r="Y391" s="242"/>
      <c r="Z391" s="242"/>
    </row>
    <row r="392" spans="1:26">
      <c r="A392" s="242"/>
      <c r="B392" s="242"/>
      <c r="C392" s="635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  <c r="Z392" s="242"/>
    </row>
    <row r="393" spans="1:26">
      <c r="A393" s="242"/>
      <c r="B393" s="242"/>
      <c r="C393" s="635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  <c r="Z393" s="242"/>
    </row>
    <row r="394" spans="1:26">
      <c r="A394" s="242"/>
      <c r="B394" s="242"/>
      <c r="C394" s="635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  <c r="Z394" s="242"/>
    </row>
    <row r="395" spans="1:26">
      <c r="A395" s="242"/>
      <c r="B395" s="242"/>
      <c r="C395" s="635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  <c r="Z395" s="242"/>
    </row>
    <row r="396" spans="1:26">
      <c r="A396" s="242"/>
      <c r="B396" s="242"/>
      <c r="C396" s="635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  <c r="Z396" s="242"/>
    </row>
    <row r="397" spans="1:26">
      <c r="A397" s="242"/>
      <c r="B397" s="242"/>
      <c r="C397" s="635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  <c r="Z397" s="242"/>
    </row>
    <row r="398" spans="1:26">
      <c r="A398" s="242"/>
      <c r="B398" s="242"/>
      <c r="C398" s="635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  <c r="Z398" s="242"/>
    </row>
    <row r="399" spans="1:26">
      <c r="A399" s="242"/>
      <c r="B399" s="242"/>
      <c r="C399" s="635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42"/>
      <c r="W399" s="242"/>
      <c r="X399" s="242"/>
      <c r="Y399" s="242"/>
      <c r="Z399" s="242"/>
    </row>
    <row r="400" spans="1:26">
      <c r="A400" s="242"/>
      <c r="B400" s="242"/>
      <c r="C400" s="635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  <c r="Z400" s="242"/>
    </row>
    <row r="401" spans="1:26">
      <c r="A401" s="242"/>
      <c r="B401" s="242"/>
      <c r="C401" s="635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  <c r="Z401" s="242"/>
    </row>
    <row r="402" spans="1:26">
      <c r="A402" s="242"/>
      <c r="B402" s="242"/>
      <c r="C402" s="635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  <c r="Z402" s="242"/>
    </row>
    <row r="403" spans="1:26">
      <c r="A403" s="242"/>
      <c r="B403" s="242"/>
      <c r="C403" s="635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  <c r="Z403" s="242"/>
    </row>
    <row r="404" spans="1:26">
      <c r="A404" s="242"/>
      <c r="B404" s="242"/>
      <c r="C404" s="635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  <c r="Z404" s="242"/>
    </row>
    <row r="405" spans="1:26">
      <c r="A405" s="242"/>
      <c r="B405" s="242"/>
      <c r="C405" s="635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  <c r="Z405" s="242"/>
    </row>
    <row r="406" spans="1:26">
      <c r="A406" s="242"/>
      <c r="B406" s="242"/>
      <c r="C406" s="635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  <c r="Z406" s="242"/>
    </row>
    <row r="407" spans="1:26">
      <c r="A407" s="242"/>
      <c r="B407" s="242"/>
      <c r="C407" s="635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  <c r="Z407" s="242"/>
    </row>
    <row r="408" spans="1:26">
      <c r="A408" s="242"/>
      <c r="B408" s="242"/>
      <c r="C408" s="635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</row>
    <row r="409" spans="1:26">
      <c r="A409" s="242"/>
      <c r="B409" s="242"/>
      <c r="C409" s="635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  <c r="Z409" s="242"/>
    </row>
    <row r="410" spans="1:26">
      <c r="A410" s="242"/>
      <c r="B410" s="242"/>
      <c r="C410" s="635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  <c r="Z410" s="242"/>
    </row>
    <row r="411" spans="1:26">
      <c r="A411" s="242"/>
      <c r="B411" s="242"/>
      <c r="C411" s="635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</row>
    <row r="412" spans="1:26">
      <c r="A412" s="242"/>
      <c r="B412" s="242"/>
      <c r="C412" s="635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  <c r="Z412" s="242"/>
    </row>
    <row r="413" spans="1:26">
      <c r="A413" s="242"/>
      <c r="B413" s="242"/>
      <c r="C413" s="635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  <c r="Z413" s="242"/>
    </row>
    <row r="414" spans="1:26">
      <c r="A414" s="242"/>
      <c r="B414" s="242"/>
      <c r="C414" s="635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  <c r="Z414" s="242"/>
    </row>
    <row r="415" spans="1:26">
      <c r="A415" s="242"/>
      <c r="B415" s="242"/>
      <c r="C415" s="635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  <c r="Z415" s="242"/>
    </row>
    <row r="416" spans="1:26">
      <c r="A416" s="242"/>
      <c r="B416" s="242"/>
      <c r="C416" s="635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  <c r="Z416" s="242"/>
    </row>
    <row r="417" spans="1:26">
      <c r="A417" s="242"/>
      <c r="B417" s="242"/>
      <c r="C417" s="635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  <c r="Z417" s="242"/>
    </row>
    <row r="418" spans="1:26">
      <c r="A418" s="242"/>
      <c r="B418" s="242"/>
      <c r="C418" s="635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  <c r="Z418" s="242"/>
    </row>
    <row r="419" spans="1:26">
      <c r="A419" s="242"/>
      <c r="B419" s="242"/>
      <c r="C419" s="635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  <c r="Z419" s="242"/>
    </row>
    <row r="420" spans="1:26">
      <c r="A420" s="242"/>
      <c r="B420" s="242"/>
      <c r="C420" s="635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  <c r="Z420" s="242"/>
    </row>
    <row r="421" spans="1:26">
      <c r="A421" s="242"/>
      <c r="B421" s="242"/>
      <c r="C421" s="635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  <c r="Z421" s="242"/>
    </row>
    <row r="422" spans="1:26">
      <c r="A422" s="242"/>
      <c r="B422" s="242"/>
      <c r="C422" s="635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  <c r="Z422" s="242"/>
    </row>
    <row r="423" spans="1:26">
      <c r="A423" s="242"/>
      <c r="B423" s="242"/>
      <c r="C423" s="635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  <c r="Z423" s="242"/>
    </row>
    <row r="424" spans="1:26">
      <c r="A424" s="242"/>
      <c r="B424" s="242"/>
      <c r="C424" s="635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</row>
    <row r="425" spans="1:26">
      <c r="A425" s="242"/>
      <c r="B425" s="242"/>
      <c r="C425" s="635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</row>
    <row r="426" spans="1:26">
      <c r="A426" s="242"/>
      <c r="B426" s="242"/>
      <c r="C426" s="635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</row>
    <row r="427" spans="1:26">
      <c r="A427" s="242"/>
      <c r="B427" s="242"/>
      <c r="C427" s="635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  <c r="Z427" s="242"/>
    </row>
    <row r="428" spans="1:26">
      <c r="A428" s="242"/>
      <c r="B428" s="242"/>
      <c r="C428" s="635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  <c r="Z428" s="242"/>
    </row>
    <row r="429" spans="1:26">
      <c r="A429" s="242"/>
      <c r="B429" s="242"/>
      <c r="C429" s="635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  <c r="Z429" s="242"/>
    </row>
    <row r="430" spans="1:26">
      <c r="A430" s="242"/>
      <c r="B430" s="242"/>
      <c r="C430" s="635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  <c r="Z430" s="242"/>
    </row>
    <row r="431" spans="1:26">
      <c r="A431" s="242"/>
      <c r="B431" s="242"/>
      <c r="C431" s="635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  <c r="Z431" s="242"/>
    </row>
    <row r="432" spans="1:26">
      <c r="A432" s="242"/>
      <c r="B432" s="242"/>
      <c r="C432" s="635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</row>
    <row r="433" spans="1:26">
      <c r="A433" s="242"/>
      <c r="B433" s="242"/>
      <c r="C433" s="635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  <c r="Z433" s="242"/>
    </row>
    <row r="434" spans="1:26">
      <c r="A434" s="242"/>
      <c r="B434" s="242"/>
      <c r="C434" s="635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  <c r="Z434" s="242"/>
    </row>
    <row r="435" spans="1:26">
      <c r="A435" s="242"/>
      <c r="B435" s="242"/>
      <c r="C435" s="635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  <c r="Z435" s="242"/>
    </row>
    <row r="436" spans="1:26">
      <c r="A436" s="242"/>
      <c r="B436" s="242"/>
      <c r="C436" s="635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  <c r="Z436" s="242"/>
    </row>
    <row r="437" spans="1:26">
      <c r="A437" s="242"/>
      <c r="B437" s="242"/>
      <c r="C437" s="635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  <c r="Z437" s="242"/>
    </row>
    <row r="438" spans="1:26">
      <c r="A438" s="242"/>
      <c r="B438" s="242"/>
      <c r="C438" s="635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  <c r="Z438" s="242"/>
    </row>
    <row r="439" spans="1:26">
      <c r="A439" s="242"/>
      <c r="B439" s="242"/>
      <c r="C439" s="635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</row>
    <row r="440" spans="1:26">
      <c r="A440" s="242"/>
      <c r="B440" s="242"/>
      <c r="C440" s="635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  <c r="Z440" s="242"/>
    </row>
    <row r="441" spans="1:26">
      <c r="A441" s="242"/>
      <c r="B441" s="242"/>
      <c r="C441" s="635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  <c r="Z441" s="242"/>
    </row>
    <row r="442" spans="1:26">
      <c r="A442" s="242"/>
      <c r="B442" s="242"/>
      <c r="C442" s="635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  <c r="Z442" s="242"/>
    </row>
    <row r="443" spans="1:26">
      <c r="A443" s="242"/>
      <c r="B443" s="242"/>
      <c r="C443" s="635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  <c r="Z443" s="242"/>
    </row>
    <row r="444" spans="1:26">
      <c r="A444" s="242"/>
      <c r="B444" s="242"/>
      <c r="C444" s="635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  <c r="Z444" s="242"/>
    </row>
    <row r="445" spans="1:26">
      <c r="A445" s="242"/>
      <c r="B445" s="242"/>
      <c r="C445" s="635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</row>
    <row r="446" spans="1:26">
      <c r="A446" s="242"/>
      <c r="B446" s="242"/>
      <c r="C446" s="635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  <c r="Z446" s="242"/>
    </row>
    <row r="447" spans="1:26">
      <c r="A447" s="242"/>
      <c r="B447" s="242"/>
      <c r="C447" s="635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  <c r="Z447" s="242"/>
    </row>
    <row r="448" spans="1:26">
      <c r="A448" s="242"/>
      <c r="B448" s="242"/>
      <c r="C448" s="635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  <c r="Z448" s="242"/>
    </row>
    <row r="449" spans="1:26">
      <c r="A449" s="242"/>
      <c r="B449" s="242"/>
      <c r="C449" s="635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  <c r="Z449" s="242"/>
    </row>
    <row r="450" spans="1:26">
      <c r="A450" s="242"/>
      <c r="B450" s="242"/>
      <c r="C450" s="635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</row>
    <row r="451" spans="1:26">
      <c r="A451" s="242"/>
      <c r="B451" s="242"/>
      <c r="C451" s="635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  <c r="Z451" s="242"/>
    </row>
    <row r="452" spans="1:26">
      <c r="A452" s="242"/>
      <c r="B452" s="242"/>
      <c r="C452" s="635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  <c r="Z452" s="242"/>
    </row>
    <row r="453" spans="1:26">
      <c r="A453" s="242"/>
      <c r="B453" s="242"/>
      <c r="C453" s="635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</row>
    <row r="454" spans="1:26">
      <c r="A454" s="242"/>
      <c r="B454" s="242"/>
      <c r="C454" s="635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</row>
    <row r="455" spans="1:26">
      <c r="A455" s="242"/>
      <c r="B455" s="242"/>
      <c r="C455" s="635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</row>
    <row r="456" spans="1:26">
      <c r="A456" s="242"/>
      <c r="B456" s="242"/>
      <c r="C456" s="635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</row>
    <row r="457" spans="1:26">
      <c r="A457" s="242"/>
      <c r="B457" s="242"/>
      <c r="C457" s="635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/>
    </row>
    <row r="458" spans="1:26">
      <c r="A458" s="242"/>
      <c r="B458" s="242"/>
      <c r="C458" s="635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  <c r="Z458" s="242"/>
    </row>
    <row r="459" spans="1:26">
      <c r="A459" s="242"/>
      <c r="B459" s="242"/>
      <c r="C459" s="635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  <c r="Z459" s="242"/>
    </row>
    <row r="460" spans="1:26">
      <c r="A460" s="242"/>
      <c r="B460" s="242"/>
      <c r="C460" s="635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</row>
    <row r="461" spans="1:26">
      <c r="A461" s="242"/>
      <c r="B461" s="242"/>
      <c r="C461" s="635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  <c r="Z461" s="242"/>
    </row>
    <row r="462" spans="1:26">
      <c r="A462" s="242"/>
      <c r="B462" s="242"/>
      <c r="C462" s="635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  <c r="Z462" s="242"/>
    </row>
    <row r="463" spans="1:26">
      <c r="A463" s="242"/>
      <c r="B463" s="242"/>
      <c r="C463" s="635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  <c r="Z463" s="242"/>
    </row>
    <row r="464" spans="1:26">
      <c r="A464" s="242"/>
      <c r="B464" s="242"/>
      <c r="C464" s="635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</row>
    <row r="465" spans="1:26">
      <c r="A465" s="242"/>
      <c r="B465" s="242"/>
      <c r="C465" s="635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  <c r="Z465" s="242"/>
    </row>
    <row r="466" spans="1:26">
      <c r="A466" s="242"/>
      <c r="B466" s="242"/>
      <c r="C466" s="635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  <c r="Z466" s="242"/>
    </row>
    <row r="467" spans="1:26">
      <c r="A467" s="242"/>
      <c r="B467" s="242"/>
      <c r="C467" s="635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</row>
    <row r="468" spans="1:26">
      <c r="A468" s="242"/>
      <c r="B468" s="242"/>
      <c r="C468" s="635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</row>
    <row r="469" spans="1:26">
      <c r="A469" s="242"/>
      <c r="B469" s="242"/>
      <c r="C469" s="635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</row>
    <row r="470" spans="1:26">
      <c r="A470" s="242"/>
      <c r="B470" s="242"/>
      <c r="C470" s="635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  <c r="Z470" s="242"/>
    </row>
    <row r="471" spans="1:26">
      <c r="A471" s="242"/>
      <c r="B471" s="242"/>
      <c r="C471" s="635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  <c r="Z471" s="242"/>
    </row>
    <row r="472" spans="1:26">
      <c r="A472" s="242"/>
      <c r="B472" s="242"/>
      <c r="C472" s="635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</row>
    <row r="473" spans="1:26">
      <c r="A473" s="242"/>
      <c r="B473" s="242"/>
      <c r="C473" s="635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  <c r="Z473" s="242"/>
    </row>
    <row r="474" spans="1:26">
      <c r="A474" s="242"/>
      <c r="B474" s="242"/>
      <c r="C474" s="635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  <c r="Z474" s="242"/>
    </row>
    <row r="475" spans="1:26">
      <c r="A475" s="242"/>
      <c r="B475" s="242"/>
      <c r="C475" s="635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  <c r="Z475" s="242"/>
    </row>
    <row r="476" spans="1:26">
      <c r="A476" s="242"/>
      <c r="B476" s="242"/>
      <c r="C476" s="635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</row>
    <row r="477" spans="1:26">
      <c r="A477" s="242"/>
      <c r="B477" s="242"/>
      <c r="C477" s="635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</row>
    <row r="478" spans="1:26">
      <c r="A478" s="242"/>
      <c r="B478" s="242"/>
      <c r="C478" s="635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</row>
    <row r="479" spans="1:26">
      <c r="A479" s="242"/>
      <c r="B479" s="242"/>
      <c r="C479" s="635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  <c r="Z479" s="242"/>
    </row>
    <row r="480" spans="1:26">
      <c r="A480" s="242"/>
      <c r="B480" s="242"/>
      <c r="C480" s="635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  <c r="Z480" s="242"/>
    </row>
    <row r="481" spans="1:26">
      <c r="A481" s="242"/>
      <c r="B481" s="242"/>
      <c r="C481" s="635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  <c r="Z481" s="242"/>
    </row>
    <row r="482" spans="1:26">
      <c r="A482" s="242"/>
      <c r="B482" s="242"/>
      <c r="C482" s="635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  <c r="Z482" s="242"/>
    </row>
    <row r="483" spans="1:26">
      <c r="A483" s="242"/>
      <c r="B483" s="242"/>
      <c r="C483" s="635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  <c r="Z483" s="242"/>
    </row>
    <row r="484" spans="1:26">
      <c r="A484" s="242"/>
      <c r="B484" s="242"/>
      <c r="C484" s="635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  <c r="Z484" s="242"/>
    </row>
    <row r="485" spans="1:26">
      <c r="A485" s="242"/>
      <c r="B485" s="242"/>
      <c r="C485" s="635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  <c r="Z485" s="242"/>
    </row>
    <row r="486" spans="1:26">
      <c r="A486" s="242"/>
      <c r="B486" s="242"/>
      <c r="C486" s="635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  <c r="Z486" s="242"/>
    </row>
    <row r="487" spans="1:26">
      <c r="A487" s="242"/>
      <c r="B487" s="242"/>
      <c r="C487" s="635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  <c r="Z487" s="242"/>
    </row>
    <row r="488" spans="1:26">
      <c r="A488" s="242"/>
      <c r="B488" s="242"/>
      <c r="C488" s="635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  <c r="Z488" s="242"/>
    </row>
    <row r="489" spans="1:26">
      <c r="A489" s="242"/>
      <c r="B489" s="242"/>
      <c r="C489" s="635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  <c r="Z489" s="242"/>
    </row>
    <row r="490" spans="1:26">
      <c r="A490" s="242"/>
      <c r="B490" s="242"/>
      <c r="C490" s="635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  <c r="Z490" s="242"/>
    </row>
    <row r="491" spans="1:26">
      <c r="A491" s="242"/>
      <c r="B491" s="242"/>
      <c r="C491" s="635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</row>
    <row r="492" spans="1:26">
      <c r="A492" s="242"/>
      <c r="B492" s="242"/>
      <c r="C492" s="635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  <c r="Z492" s="242"/>
    </row>
    <row r="493" spans="1:26">
      <c r="A493" s="242"/>
      <c r="B493" s="242"/>
      <c r="C493" s="635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  <c r="Z493" s="242"/>
    </row>
    <row r="494" spans="1:26">
      <c r="A494" s="242"/>
      <c r="B494" s="242"/>
      <c r="C494" s="635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  <c r="Z494" s="242"/>
    </row>
    <row r="495" spans="1:26">
      <c r="A495" s="242"/>
      <c r="B495" s="242"/>
      <c r="C495" s="635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  <c r="Z495" s="242"/>
    </row>
    <row r="496" spans="1:26">
      <c r="A496" s="242"/>
      <c r="B496" s="242"/>
      <c r="C496" s="635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  <c r="Z496" s="242"/>
    </row>
    <row r="497" spans="1:26">
      <c r="A497" s="242"/>
      <c r="B497" s="242"/>
      <c r="C497" s="635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  <c r="Z497" s="242"/>
    </row>
    <row r="498" spans="1:26">
      <c r="A498" s="242"/>
      <c r="B498" s="242"/>
      <c r="C498" s="635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</row>
    <row r="499" spans="1:26">
      <c r="A499" s="242"/>
      <c r="B499" s="242"/>
      <c r="C499" s="635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  <c r="Z499" s="242"/>
    </row>
    <row r="500" spans="1:26">
      <c r="A500" s="242"/>
      <c r="B500" s="242"/>
      <c r="C500" s="635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  <c r="Z500" s="242"/>
    </row>
    <row r="501" spans="1:26">
      <c r="A501" s="242"/>
      <c r="B501" s="242"/>
      <c r="C501" s="635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  <c r="Z501" s="242"/>
    </row>
    <row r="502" spans="1:26">
      <c r="A502" s="242"/>
      <c r="B502" s="242"/>
      <c r="C502" s="635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</row>
    <row r="503" spans="1:26">
      <c r="A503" s="242"/>
      <c r="B503" s="242"/>
      <c r="C503" s="635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  <c r="Z503" s="242"/>
    </row>
    <row r="504" spans="1:26">
      <c r="A504" s="242"/>
      <c r="B504" s="242"/>
      <c r="C504" s="635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  <c r="Z504" s="242"/>
    </row>
    <row r="505" spans="1:26">
      <c r="A505" s="242"/>
      <c r="B505" s="242"/>
      <c r="C505" s="635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</row>
    <row r="506" spans="1:26">
      <c r="A506" s="242"/>
      <c r="B506" s="242"/>
      <c r="C506" s="635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  <c r="Z506" s="242"/>
    </row>
    <row r="507" spans="1:26">
      <c r="A507" s="242"/>
      <c r="B507" s="242"/>
      <c r="C507" s="635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  <c r="Z507" s="242"/>
    </row>
    <row r="508" spans="1:26">
      <c r="A508" s="242"/>
      <c r="B508" s="242"/>
      <c r="C508" s="635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  <c r="Z508" s="242"/>
    </row>
    <row r="509" spans="1:26">
      <c r="A509" s="242"/>
      <c r="B509" s="242"/>
      <c r="C509" s="635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  <c r="Z509" s="242"/>
    </row>
    <row r="510" spans="1:26">
      <c r="A510" s="242"/>
      <c r="B510" s="242"/>
      <c r="C510" s="635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  <c r="Z510" s="242"/>
    </row>
    <row r="511" spans="1:26">
      <c r="A511" s="242"/>
      <c r="B511" s="242"/>
      <c r="C511" s="635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</row>
    <row r="512" spans="1:26">
      <c r="A512" s="242"/>
      <c r="B512" s="242"/>
      <c r="C512" s="635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</row>
    <row r="513" spans="1:26">
      <c r="A513" s="242"/>
      <c r="B513" s="242"/>
      <c r="C513" s="635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  <c r="Z513" s="242"/>
    </row>
    <row r="514" spans="1:26">
      <c r="A514" s="242"/>
      <c r="B514" s="242"/>
      <c r="C514" s="635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</row>
    <row r="515" spans="1:26">
      <c r="A515" s="242"/>
      <c r="B515" s="242"/>
      <c r="C515" s="635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</row>
    <row r="516" spans="1:26">
      <c r="A516" s="242"/>
      <c r="B516" s="242"/>
      <c r="C516" s="635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  <c r="Z516" s="242"/>
    </row>
    <row r="517" spans="1:26">
      <c r="A517" s="242"/>
      <c r="B517" s="242"/>
      <c r="C517" s="635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  <c r="Z517" s="242"/>
    </row>
    <row r="518" spans="1:26">
      <c r="A518" s="242"/>
      <c r="B518" s="242"/>
      <c r="C518" s="635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  <c r="Z518" s="242"/>
    </row>
    <row r="519" spans="1:26">
      <c r="A519" s="242"/>
      <c r="B519" s="242"/>
      <c r="C519" s="635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  <c r="Z519" s="242"/>
    </row>
    <row r="520" spans="1:26">
      <c r="A520" s="242"/>
      <c r="B520" s="242"/>
      <c r="C520" s="635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  <c r="Z520" s="242"/>
    </row>
    <row r="521" spans="1:26">
      <c r="A521" s="242"/>
      <c r="B521" s="242"/>
      <c r="C521" s="635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  <c r="Z521" s="242"/>
    </row>
    <row r="522" spans="1:26">
      <c r="A522" s="242"/>
      <c r="B522" s="242"/>
      <c r="C522" s="635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  <c r="Z522" s="242"/>
    </row>
    <row r="523" spans="1:26">
      <c r="A523" s="242"/>
      <c r="B523" s="242"/>
      <c r="C523" s="635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</row>
    <row r="524" spans="1:26">
      <c r="A524" s="242"/>
      <c r="B524" s="242"/>
      <c r="C524" s="635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</row>
    <row r="525" spans="1:26">
      <c r="A525" s="242"/>
      <c r="B525" s="242"/>
      <c r="C525" s="635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  <c r="Z525" s="242"/>
    </row>
    <row r="526" spans="1:26">
      <c r="A526" s="242"/>
      <c r="B526" s="242"/>
      <c r="C526" s="635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</row>
    <row r="527" spans="1:26">
      <c r="A527" s="242"/>
      <c r="B527" s="242"/>
      <c r="C527" s="635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  <c r="Z527" s="242"/>
    </row>
    <row r="528" spans="1:26">
      <c r="A528" s="242"/>
      <c r="B528" s="242"/>
      <c r="C528" s="635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  <c r="Z528" s="242"/>
    </row>
    <row r="529" spans="1:26">
      <c r="A529" s="242"/>
      <c r="B529" s="242"/>
      <c r="C529" s="635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  <c r="Z529" s="242"/>
    </row>
    <row r="530" spans="1:26">
      <c r="A530" s="242"/>
      <c r="B530" s="242"/>
      <c r="C530" s="635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  <c r="Z530" s="242"/>
    </row>
    <row r="531" spans="1:26">
      <c r="A531" s="242"/>
      <c r="B531" s="242"/>
      <c r="C531" s="635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  <c r="Z531" s="242"/>
    </row>
    <row r="532" spans="1:26">
      <c r="A532" s="242"/>
      <c r="B532" s="242"/>
      <c r="C532" s="635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  <c r="Z532" s="242"/>
    </row>
    <row r="533" spans="1:26">
      <c r="A533" s="242"/>
      <c r="B533" s="242"/>
      <c r="C533" s="635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  <c r="Z533" s="242"/>
    </row>
    <row r="534" spans="1:26">
      <c r="A534" s="242"/>
      <c r="B534" s="242"/>
      <c r="C534" s="635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  <c r="Z534" s="242"/>
    </row>
    <row r="535" spans="1:26">
      <c r="A535" s="242"/>
      <c r="B535" s="242"/>
      <c r="C535" s="635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  <c r="Z535" s="242"/>
    </row>
    <row r="536" spans="1:26">
      <c r="A536" s="242"/>
      <c r="B536" s="242"/>
      <c r="C536" s="635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  <c r="Z536" s="242"/>
    </row>
    <row r="537" spans="1:26">
      <c r="A537" s="242"/>
      <c r="B537" s="242"/>
      <c r="C537" s="635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  <c r="Z537" s="242"/>
    </row>
    <row r="538" spans="1:26">
      <c r="A538" s="242"/>
      <c r="B538" s="242"/>
      <c r="C538" s="635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  <c r="Z538" s="242"/>
    </row>
    <row r="539" spans="1:26">
      <c r="A539" s="242"/>
      <c r="B539" s="242"/>
      <c r="C539" s="635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  <c r="Z539" s="242"/>
    </row>
    <row r="540" spans="1:26">
      <c r="A540" s="242"/>
      <c r="B540" s="242"/>
      <c r="C540" s="635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</row>
    <row r="541" spans="1:26">
      <c r="A541" s="242"/>
      <c r="B541" s="242"/>
      <c r="C541" s="635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</row>
    <row r="542" spans="1:26">
      <c r="A542" s="242"/>
      <c r="B542" s="242"/>
      <c r="C542" s="635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  <c r="Z542" s="242"/>
    </row>
    <row r="543" spans="1:26">
      <c r="A543" s="242"/>
      <c r="B543" s="242"/>
      <c r="C543" s="635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  <c r="Z543" s="242"/>
    </row>
    <row r="544" spans="1:26">
      <c r="A544" s="242"/>
      <c r="B544" s="242"/>
      <c r="C544" s="635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  <c r="Z544" s="242"/>
    </row>
    <row r="545" spans="1:26">
      <c r="A545" s="242"/>
      <c r="B545" s="242"/>
      <c r="C545" s="635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  <c r="Z545" s="242"/>
    </row>
    <row r="546" spans="1:26">
      <c r="A546" s="242"/>
      <c r="B546" s="242"/>
      <c r="C546" s="635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  <c r="Z546" s="242"/>
    </row>
    <row r="547" spans="1:26">
      <c r="A547" s="242"/>
      <c r="B547" s="242"/>
      <c r="C547" s="635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  <c r="Z547" s="242"/>
    </row>
    <row r="548" spans="1:26">
      <c r="A548" s="242"/>
      <c r="B548" s="242"/>
      <c r="C548" s="635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  <c r="Z548" s="242"/>
    </row>
    <row r="549" spans="1:26">
      <c r="A549" s="242"/>
      <c r="B549" s="242"/>
      <c r="C549" s="635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  <c r="Z549" s="242"/>
    </row>
    <row r="550" spans="1:26">
      <c r="A550" s="242"/>
      <c r="B550" s="242"/>
      <c r="C550" s="635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  <c r="Z550" s="242"/>
    </row>
    <row r="551" spans="1:26">
      <c r="A551" s="242"/>
      <c r="B551" s="242"/>
      <c r="C551" s="635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  <c r="Z551" s="242"/>
    </row>
    <row r="552" spans="1:26">
      <c r="A552" s="242"/>
      <c r="B552" s="242"/>
      <c r="C552" s="635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  <c r="Z552" s="242"/>
    </row>
    <row r="553" spans="1:26">
      <c r="A553" s="242"/>
      <c r="B553" s="242"/>
      <c r="C553" s="635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  <c r="Z553" s="242"/>
    </row>
    <row r="554" spans="1:26">
      <c r="A554" s="242"/>
      <c r="B554" s="242"/>
      <c r="C554" s="635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</row>
    <row r="555" spans="1:26">
      <c r="A555" s="242"/>
      <c r="B555" s="242"/>
      <c r="C555" s="635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</row>
    <row r="556" spans="1:26">
      <c r="A556" s="242"/>
      <c r="B556" s="242"/>
      <c r="C556" s="635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  <c r="Z556" s="242"/>
    </row>
    <row r="557" spans="1:26">
      <c r="A557" s="242"/>
      <c r="B557" s="242"/>
      <c r="C557" s="635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  <c r="Z557" s="242"/>
    </row>
    <row r="558" spans="1:26">
      <c r="A558" s="242"/>
      <c r="B558" s="242"/>
      <c r="C558" s="635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  <c r="Z558" s="242"/>
    </row>
    <row r="559" spans="1:26">
      <c r="A559" s="242"/>
      <c r="B559" s="242"/>
      <c r="C559" s="635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  <c r="Z559" s="242"/>
    </row>
    <row r="560" spans="1:26">
      <c r="A560" s="242"/>
      <c r="B560" s="242"/>
      <c r="C560" s="635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  <c r="Z560" s="242"/>
    </row>
    <row r="561" spans="1:26">
      <c r="A561" s="242"/>
      <c r="B561" s="242"/>
      <c r="C561" s="635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  <c r="Z561" s="242"/>
    </row>
    <row r="562" spans="1:26">
      <c r="A562" s="242"/>
      <c r="B562" s="242"/>
      <c r="C562" s="635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  <c r="Z562" s="242"/>
    </row>
    <row r="563" spans="1:26">
      <c r="A563" s="242"/>
      <c r="B563" s="242"/>
      <c r="C563" s="635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  <c r="Z563" s="242"/>
    </row>
    <row r="564" spans="1:26">
      <c r="A564" s="242"/>
      <c r="B564" s="242"/>
      <c r="C564" s="635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  <c r="Z564" s="242"/>
    </row>
    <row r="565" spans="1:26">
      <c r="A565" s="242"/>
      <c r="B565" s="242"/>
      <c r="C565" s="635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  <c r="Z565" s="242"/>
    </row>
    <row r="566" spans="1:26">
      <c r="A566" s="242"/>
      <c r="B566" s="242"/>
      <c r="C566" s="635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  <c r="Z566" s="242"/>
    </row>
    <row r="567" spans="1:26">
      <c r="A567" s="242"/>
      <c r="B567" s="242"/>
      <c r="C567" s="635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  <c r="Z567" s="242"/>
    </row>
    <row r="568" spans="1:26">
      <c r="A568" s="242"/>
      <c r="B568" s="242"/>
      <c r="C568" s="635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  <c r="Z568" s="242"/>
    </row>
    <row r="569" spans="1:26">
      <c r="A569" s="242"/>
      <c r="B569" s="242"/>
      <c r="C569" s="635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  <c r="Z569" s="242"/>
    </row>
    <row r="570" spans="1:26">
      <c r="A570" s="242"/>
      <c r="B570" s="242"/>
      <c r="C570" s="635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  <c r="Z570" s="242"/>
    </row>
    <row r="571" spans="1:26">
      <c r="A571" s="242"/>
      <c r="B571" s="242"/>
      <c r="C571" s="635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  <c r="Z571" s="242"/>
    </row>
    <row r="572" spans="1:26">
      <c r="A572" s="242"/>
      <c r="B572" s="242"/>
      <c r="C572" s="635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  <c r="Z572" s="242"/>
    </row>
    <row r="573" spans="1:26">
      <c r="A573" s="242"/>
      <c r="B573" s="242"/>
      <c r="C573" s="635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  <c r="Z573" s="242"/>
    </row>
    <row r="574" spans="1:26">
      <c r="A574" s="242"/>
      <c r="B574" s="242"/>
      <c r="C574" s="635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  <c r="Z574" s="242"/>
    </row>
    <row r="575" spans="1:26">
      <c r="A575" s="242"/>
      <c r="B575" s="242"/>
      <c r="C575" s="635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  <c r="Z575" s="242"/>
    </row>
    <row r="576" spans="1:26">
      <c r="A576" s="242"/>
      <c r="B576" s="242"/>
      <c r="C576" s="635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  <c r="Z576" s="242"/>
    </row>
    <row r="577" spans="1:26">
      <c r="A577" s="242"/>
      <c r="B577" s="242"/>
      <c r="C577" s="635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  <c r="Z577" s="242"/>
    </row>
    <row r="578" spans="1:26">
      <c r="A578" s="242"/>
      <c r="B578" s="242"/>
      <c r="C578" s="635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  <c r="Z578" s="242"/>
    </row>
    <row r="579" spans="1:26">
      <c r="A579" s="242"/>
      <c r="B579" s="242"/>
      <c r="C579" s="635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</row>
    <row r="580" spans="1:26">
      <c r="A580" s="242"/>
      <c r="B580" s="242"/>
      <c r="C580" s="635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  <c r="Z580" s="242"/>
    </row>
    <row r="581" spans="1:26">
      <c r="A581" s="242"/>
      <c r="B581" s="242"/>
      <c r="C581" s="635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  <c r="Z581" s="242"/>
    </row>
    <row r="582" spans="1:26">
      <c r="A582" s="242"/>
      <c r="B582" s="242"/>
      <c r="C582" s="635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  <c r="Z582" s="242"/>
    </row>
    <row r="583" spans="1:26">
      <c r="A583" s="242"/>
      <c r="B583" s="242"/>
      <c r="C583" s="635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  <c r="Z583" s="242"/>
    </row>
    <row r="584" spans="1:26">
      <c r="A584" s="242"/>
      <c r="B584" s="242"/>
      <c r="C584" s="635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  <c r="Z584" s="242"/>
    </row>
    <row r="585" spans="1:26">
      <c r="A585" s="242"/>
      <c r="B585" s="242"/>
      <c r="C585" s="635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  <c r="Z585" s="242"/>
    </row>
    <row r="586" spans="1:26">
      <c r="A586" s="242"/>
      <c r="B586" s="242"/>
      <c r="C586" s="635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  <c r="Z586" s="242"/>
    </row>
    <row r="587" spans="1:26">
      <c r="A587" s="242"/>
      <c r="B587" s="242"/>
      <c r="C587" s="635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  <c r="Z587" s="242"/>
    </row>
    <row r="588" spans="1:26">
      <c r="A588" s="242"/>
      <c r="B588" s="242"/>
      <c r="C588" s="635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  <c r="Z588" s="242"/>
    </row>
    <row r="589" spans="1:26">
      <c r="A589" s="242"/>
      <c r="B589" s="242"/>
      <c r="C589" s="635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  <c r="Z589" s="242"/>
    </row>
    <row r="590" spans="1:26">
      <c r="A590" s="242"/>
      <c r="B590" s="242"/>
      <c r="C590" s="635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  <c r="Z590" s="242"/>
    </row>
    <row r="591" spans="1:26">
      <c r="A591" s="242"/>
      <c r="B591" s="242"/>
      <c r="C591" s="635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  <c r="Z591" s="242"/>
    </row>
    <row r="592" spans="1:26">
      <c r="A592" s="242"/>
      <c r="B592" s="242"/>
      <c r="C592" s="635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  <c r="Z592" s="242"/>
    </row>
    <row r="593" spans="1:26">
      <c r="A593" s="242"/>
      <c r="B593" s="242"/>
      <c r="C593" s="635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  <c r="Z593" s="242"/>
    </row>
    <row r="594" spans="1:26">
      <c r="A594" s="242"/>
      <c r="B594" s="242"/>
      <c r="C594" s="635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  <c r="Z594" s="242"/>
    </row>
    <row r="595" spans="1:26">
      <c r="A595" s="242"/>
      <c r="B595" s="242"/>
      <c r="C595" s="635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  <c r="Z595" s="242"/>
    </row>
    <row r="596" spans="1:26">
      <c r="A596" s="242"/>
      <c r="B596" s="242"/>
      <c r="C596" s="635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  <c r="Z596" s="242"/>
    </row>
    <row r="597" spans="1:26">
      <c r="A597" s="242"/>
      <c r="B597" s="242"/>
      <c r="C597" s="635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</row>
    <row r="598" spans="1:26">
      <c r="A598" s="242"/>
      <c r="B598" s="242"/>
      <c r="C598" s="635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  <c r="Z598" s="242"/>
    </row>
    <row r="599" spans="1:26">
      <c r="A599" s="242"/>
      <c r="B599" s="242"/>
      <c r="C599" s="635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  <c r="Z599" s="242"/>
    </row>
    <row r="600" spans="1:26">
      <c r="A600" s="242"/>
      <c r="B600" s="242"/>
      <c r="C600" s="635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  <c r="Z600" s="242"/>
    </row>
    <row r="601" spans="1:26">
      <c r="A601" s="242"/>
      <c r="B601" s="242"/>
      <c r="C601" s="635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  <c r="Z601" s="242"/>
    </row>
    <row r="602" spans="1:26">
      <c r="A602" s="242"/>
      <c r="B602" s="242"/>
      <c r="C602" s="635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  <c r="Z602" s="242"/>
    </row>
    <row r="603" spans="1:26">
      <c r="A603" s="242"/>
      <c r="B603" s="242"/>
      <c r="C603" s="635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  <c r="Z603" s="242"/>
    </row>
    <row r="604" spans="1:26">
      <c r="A604" s="242"/>
      <c r="B604" s="242"/>
      <c r="C604" s="635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  <c r="Z604" s="242"/>
    </row>
    <row r="605" spans="1:26">
      <c r="A605" s="242"/>
      <c r="B605" s="242"/>
      <c r="C605" s="635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  <c r="Z605" s="242"/>
    </row>
    <row r="606" spans="1:26">
      <c r="A606" s="242"/>
      <c r="B606" s="242"/>
      <c r="C606" s="635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  <c r="Z606" s="242"/>
    </row>
    <row r="607" spans="1:26">
      <c r="A607" s="242"/>
      <c r="B607" s="242"/>
      <c r="C607" s="635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  <c r="Z607" s="242"/>
    </row>
    <row r="608" spans="1:26">
      <c r="A608" s="242"/>
      <c r="B608" s="242"/>
      <c r="C608" s="635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  <c r="Z608" s="242"/>
    </row>
    <row r="609" spans="1:26">
      <c r="A609" s="242"/>
      <c r="B609" s="242"/>
      <c r="C609" s="635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  <c r="Z609" s="242"/>
    </row>
    <row r="610" spans="1:26">
      <c r="A610" s="242"/>
      <c r="B610" s="242"/>
      <c r="C610" s="635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  <c r="Z610" s="242"/>
    </row>
    <row r="611" spans="1:26">
      <c r="A611" s="242"/>
      <c r="B611" s="242"/>
      <c r="C611" s="635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  <c r="Z611" s="242"/>
    </row>
    <row r="612" spans="1:26">
      <c r="A612" s="242"/>
      <c r="B612" s="242"/>
      <c r="C612" s="635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  <c r="Z612" s="242"/>
    </row>
    <row r="613" spans="1:26">
      <c r="A613" s="242"/>
      <c r="B613" s="242"/>
      <c r="C613" s="635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  <c r="Z613" s="242"/>
    </row>
    <row r="614" spans="1:26">
      <c r="A614" s="242"/>
      <c r="B614" s="242"/>
      <c r="C614" s="635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  <c r="Z614" s="242"/>
    </row>
    <row r="615" spans="1:26">
      <c r="A615" s="242"/>
      <c r="B615" s="242"/>
      <c r="C615" s="635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  <c r="Z615" s="242"/>
    </row>
    <row r="616" spans="1:26">
      <c r="A616" s="242"/>
      <c r="B616" s="242"/>
      <c r="C616" s="635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  <c r="Z616" s="242"/>
    </row>
    <row r="617" spans="1:26">
      <c r="A617" s="242"/>
      <c r="B617" s="242"/>
      <c r="C617" s="635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  <c r="Z617" s="242"/>
    </row>
    <row r="618" spans="1:26">
      <c r="A618" s="242"/>
      <c r="B618" s="242"/>
      <c r="C618" s="635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  <c r="Z618" s="242"/>
    </row>
    <row r="619" spans="1:26">
      <c r="A619" s="242"/>
      <c r="B619" s="242"/>
      <c r="C619" s="635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  <c r="Z619" s="242"/>
    </row>
    <row r="620" spans="1:26">
      <c r="A620" s="242"/>
      <c r="B620" s="242"/>
      <c r="C620" s="635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  <c r="Z620" s="242"/>
    </row>
    <row r="621" spans="1:26">
      <c r="A621" s="242"/>
      <c r="B621" s="242"/>
      <c r="C621" s="635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  <c r="Z621" s="242"/>
    </row>
    <row r="622" spans="1:26">
      <c r="A622" s="242"/>
      <c r="B622" s="242"/>
      <c r="C622" s="635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  <c r="Z622" s="242"/>
    </row>
    <row r="623" spans="1:26">
      <c r="A623" s="242"/>
      <c r="B623" s="242"/>
      <c r="C623" s="635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  <c r="Z623" s="242"/>
    </row>
    <row r="624" spans="1:26">
      <c r="A624" s="242"/>
      <c r="B624" s="242"/>
      <c r="C624" s="635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  <c r="Z624" s="242"/>
    </row>
    <row r="625" spans="1:26">
      <c r="A625" s="242"/>
      <c r="B625" s="242"/>
      <c r="C625" s="635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  <c r="Z625" s="242"/>
    </row>
    <row r="626" spans="1:26">
      <c r="A626" s="242"/>
      <c r="B626" s="242"/>
      <c r="C626" s="635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  <c r="Z626" s="242"/>
    </row>
    <row r="627" spans="1:26">
      <c r="A627" s="242"/>
      <c r="B627" s="242"/>
      <c r="C627" s="635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  <c r="Z627" s="242"/>
    </row>
    <row r="628" spans="1:26">
      <c r="A628" s="242"/>
      <c r="B628" s="242"/>
      <c r="C628" s="635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  <c r="Z628" s="242"/>
    </row>
    <row r="629" spans="1:26">
      <c r="A629" s="242"/>
      <c r="B629" s="242"/>
      <c r="C629" s="635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</row>
    <row r="630" spans="1:26">
      <c r="A630" s="242"/>
      <c r="B630" s="242"/>
      <c r="C630" s="635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  <c r="Z630" s="242"/>
    </row>
    <row r="631" spans="1:26">
      <c r="A631" s="242"/>
      <c r="B631" s="242"/>
      <c r="C631" s="635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  <c r="Z631" s="242"/>
    </row>
    <row r="632" spans="1:26">
      <c r="A632" s="242"/>
      <c r="B632" s="242"/>
      <c r="C632" s="635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  <c r="Z632" s="242"/>
    </row>
    <row r="633" spans="1:26">
      <c r="A633" s="242"/>
      <c r="B633" s="242"/>
      <c r="C633" s="635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  <c r="Z633" s="242"/>
    </row>
    <row r="634" spans="1:26">
      <c r="A634" s="242"/>
      <c r="B634" s="242"/>
      <c r="C634" s="635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  <c r="Z634" s="242"/>
    </row>
    <row r="635" spans="1:26">
      <c r="A635" s="242"/>
      <c r="B635" s="242"/>
      <c r="C635" s="635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  <c r="Z635" s="242"/>
    </row>
    <row r="636" spans="1:26">
      <c r="A636" s="242"/>
      <c r="B636" s="242"/>
      <c r="C636" s="635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  <c r="Z636" s="242"/>
    </row>
    <row r="637" spans="1:26">
      <c r="A637" s="242"/>
      <c r="B637" s="242"/>
      <c r="C637" s="635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</row>
    <row r="638" spans="1:26">
      <c r="A638" s="242"/>
      <c r="B638" s="242"/>
      <c r="C638" s="635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  <c r="Z638" s="242"/>
    </row>
    <row r="639" spans="1:26">
      <c r="A639" s="242"/>
      <c r="B639" s="242"/>
      <c r="C639" s="635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  <c r="Z639" s="242"/>
    </row>
    <row r="640" spans="1:26">
      <c r="A640" s="242"/>
      <c r="B640" s="242"/>
      <c r="C640" s="635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</row>
    <row r="641" spans="1:26">
      <c r="A641" s="242"/>
      <c r="B641" s="242"/>
      <c r="C641" s="635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</row>
    <row r="642" spans="1:26">
      <c r="A642" s="242"/>
      <c r="B642" s="242"/>
      <c r="C642" s="635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  <c r="Z642" s="242"/>
    </row>
    <row r="643" spans="1:26">
      <c r="A643" s="242"/>
      <c r="B643" s="242"/>
      <c r="C643" s="635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  <c r="Z643" s="242"/>
    </row>
    <row r="644" spans="1:26">
      <c r="A644" s="242"/>
      <c r="B644" s="242"/>
      <c r="C644" s="635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  <c r="Z644" s="242"/>
    </row>
    <row r="645" spans="1:26">
      <c r="A645" s="242"/>
      <c r="B645" s="242"/>
      <c r="C645" s="635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  <c r="Z645" s="242"/>
    </row>
    <row r="646" spans="1:26">
      <c r="A646" s="242"/>
      <c r="B646" s="242"/>
      <c r="C646" s="635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  <c r="Z646" s="242"/>
    </row>
    <row r="647" spans="1:26">
      <c r="A647" s="242"/>
      <c r="B647" s="242"/>
      <c r="C647" s="635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  <c r="Z647" s="242"/>
    </row>
    <row r="648" spans="1:26">
      <c r="A648" s="242"/>
      <c r="B648" s="242"/>
      <c r="C648" s="635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  <c r="Z648" s="242"/>
    </row>
    <row r="649" spans="1:26">
      <c r="A649" s="242"/>
      <c r="B649" s="242"/>
      <c r="C649" s="635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  <c r="Z649" s="242"/>
    </row>
    <row r="650" spans="1:26">
      <c r="A650" s="242"/>
      <c r="B650" s="242"/>
      <c r="C650" s="635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  <c r="Z650" s="242"/>
    </row>
    <row r="651" spans="1:26">
      <c r="A651" s="242"/>
      <c r="B651" s="242"/>
      <c r="C651" s="635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  <c r="Z651" s="242"/>
    </row>
    <row r="652" spans="1:26">
      <c r="A652" s="242"/>
      <c r="B652" s="242"/>
      <c r="C652" s="635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  <c r="Z652" s="242"/>
    </row>
    <row r="653" spans="1:26">
      <c r="A653" s="242"/>
      <c r="B653" s="242"/>
      <c r="C653" s="635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  <c r="Z653" s="242"/>
    </row>
    <row r="654" spans="1:26">
      <c r="A654" s="242"/>
      <c r="B654" s="242"/>
      <c r="C654" s="635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  <c r="Z654" s="242"/>
    </row>
    <row r="655" spans="1:26">
      <c r="A655" s="242"/>
      <c r="B655" s="242"/>
      <c r="C655" s="635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  <c r="Z655" s="242"/>
    </row>
    <row r="656" spans="1:26">
      <c r="A656" s="242"/>
      <c r="B656" s="242"/>
      <c r="C656" s="635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  <c r="Z656" s="242"/>
    </row>
    <row r="657" spans="1:26">
      <c r="A657" s="242"/>
      <c r="B657" s="242"/>
      <c r="C657" s="635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  <c r="Z657" s="242"/>
    </row>
    <row r="658" spans="1:26">
      <c r="A658" s="242"/>
      <c r="B658" s="242"/>
      <c r="C658" s="635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  <c r="Z658" s="242"/>
    </row>
    <row r="659" spans="1:26">
      <c r="A659" s="242"/>
      <c r="B659" s="242"/>
      <c r="C659" s="635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  <c r="Z659" s="242"/>
    </row>
    <row r="660" spans="1:26">
      <c r="A660" s="242"/>
      <c r="B660" s="242"/>
      <c r="C660" s="635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  <c r="Z660" s="242"/>
    </row>
    <row r="661" spans="1:26">
      <c r="A661" s="242"/>
      <c r="B661" s="242"/>
      <c r="C661" s="635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  <c r="Z661" s="242"/>
    </row>
    <row r="662" spans="1:26">
      <c r="A662" s="242"/>
      <c r="B662" s="242"/>
      <c r="C662" s="635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  <c r="Z662" s="242"/>
    </row>
    <row r="663" spans="1:26">
      <c r="A663" s="242"/>
      <c r="B663" s="242"/>
      <c r="C663" s="635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  <c r="Z663" s="242"/>
    </row>
    <row r="664" spans="1:26">
      <c r="A664" s="242"/>
      <c r="B664" s="242"/>
      <c r="C664" s="635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  <c r="Z664" s="242"/>
    </row>
    <row r="665" spans="1:26">
      <c r="A665" s="242"/>
      <c r="B665" s="242"/>
      <c r="C665" s="635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  <c r="Z665" s="242"/>
    </row>
    <row r="666" spans="1:26">
      <c r="A666" s="242"/>
      <c r="B666" s="242"/>
      <c r="C666" s="635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  <c r="Z666" s="242"/>
    </row>
    <row r="667" spans="1:26">
      <c r="A667" s="242"/>
      <c r="B667" s="242"/>
      <c r="C667" s="635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  <c r="Z667" s="242"/>
    </row>
    <row r="668" spans="1:26">
      <c r="A668" s="242"/>
      <c r="B668" s="242"/>
      <c r="C668" s="635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  <c r="Z668" s="242"/>
    </row>
    <row r="669" spans="1:26">
      <c r="A669" s="242"/>
      <c r="B669" s="242"/>
      <c r="C669" s="635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  <c r="Z669" s="242"/>
    </row>
    <row r="670" spans="1:26">
      <c r="A670" s="242"/>
      <c r="B670" s="242"/>
      <c r="C670" s="635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  <c r="Z670" s="242"/>
    </row>
    <row r="671" spans="1:26">
      <c r="A671" s="242"/>
      <c r="B671" s="242"/>
      <c r="C671" s="635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  <c r="Z671" s="242"/>
    </row>
    <row r="672" spans="1:26">
      <c r="A672" s="242"/>
      <c r="B672" s="242"/>
      <c r="C672" s="635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  <c r="Z672" s="242"/>
    </row>
    <row r="673" spans="1:26">
      <c r="A673" s="242"/>
      <c r="B673" s="242"/>
      <c r="C673" s="635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  <c r="Z673" s="242"/>
    </row>
    <row r="674" spans="1:26">
      <c r="A674" s="242"/>
      <c r="B674" s="242"/>
      <c r="C674" s="635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  <c r="Z674" s="242"/>
    </row>
    <row r="675" spans="1:26">
      <c r="A675" s="242"/>
      <c r="B675" s="242"/>
      <c r="C675" s="635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  <c r="Z675" s="242"/>
    </row>
    <row r="676" spans="1:26">
      <c r="A676" s="242"/>
      <c r="B676" s="242"/>
      <c r="C676" s="635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  <c r="Z676" s="242"/>
    </row>
    <row r="677" spans="1:26">
      <c r="A677" s="242"/>
      <c r="B677" s="242"/>
      <c r="C677" s="635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  <c r="Z677" s="242"/>
    </row>
    <row r="678" spans="1:26">
      <c r="A678" s="242"/>
      <c r="B678" s="242"/>
      <c r="C678" s="635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  <c r="Z678" s="242"/>
    </row>
    <row r="679" spans="1:26">
      <c r="A679" s="242"/>
      <c r="B679" s="242"/>
      <c r="C679" s="635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  <c r="Z679" s="242"/>
    </row>
    <row r="680" spans="1:26">
      <c r="A680" s="242"/>
      <c r="B680" s="242"/>
      <c r="C680" s="635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  <c r="Z680" s="242"/>
    </row>
    <row r="681" spans="1:26">
      <c r="A681" s="242"/>
      <c r="B681" s="242"/>
      <c r="C681" s="635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  <c r="Z681" s="242"/>
    </row>
    <row r="682" spans="1:26">
      <c r="A682" s="242"/>
      <c r="B682" s="242"/>
      <c r="C682" s="635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  <c r="Z682" s="242"/>
    </row>
    <row r="683" spans="1:26">
      <c r="A683" s="242"/>
      <c r="B683" s="242"/>
      <c r="C683" s="635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</row>
    <row r="684" spans="1:26">
      <c r="A684" s="242"/>
      <c r="B684" s="242"/>
      <c r="C684" s="635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</row>
    <row r="685" spans="1:26">
      <c r="A685" s="242"/>
      <c r="B685" s="242"/>
      <c r="C685" s="635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  <c r="Z685" s="242"/>
    </row>
    <row r="686" spans="1:26">
      <c r="A686" s="242"/>
      <c r="B686" s="242"/>
      <c r="C686" s="635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  <c r="Z686" s="242"/>
    </row>
    <row r="687" spans="1:26">
      <c r="A687" s="242"/>
      <c r="B687" s="242"/>
      <c r="C687" s="635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  <c r="Z687" s="242"/>
    </row>
    <row r="688" spans="1:26">
      <c r="A688" s="242"/>
      <c r="B688" s="242"/>
      <c r="C688" s="635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  <c r="Z688" s="242"/>
    </row>
    <row r="689" spans="1:26">
      <c r="A689" s="242"/>
      <c r="B689" s="242"/>
      <c r="C689" s="635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  <c r="Z689" s="242"/>
    </row>
    <row r="690" spans="1:26">
      <c r="A690" s="242"/>
      <c r="B690" s="242"/>
      <c r="C690" s="635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  <c r="Z690" s="242"/>
    </row>
    <row r="691" spans="1:26">
      <c r="A691" s="242"/>
      <c r="B691" s="242"/>
      <c r="C691" s="635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  <c r="Z691" s="242"/>
    </row>
    <row r="692" spans="1:26">
      <c r="A692" s="242"/>
      <c r="B692" s="242"/>
      <c r="C692" s="635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  <c r="Z692" s="242"/>
    </row>
    <row r="693" spans="1:26">
      <c r="A693" s="242"/>
      <c r="B693" s="242"/>
      <c r="C693" s="635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  <c r="Z693" s="242"/>
    </row>
    <row r="694" spans="1:26">
      <c r="A694" s="242"/>
      <c r="B694" s="242"/>
      <c r="C694" s="635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  <c r="Z694" s="242"/>
    </row>
    <row r="695" spans="1:26">
      <c r="A695" s="242"/>
      <c r="B695" s="242"/>
      <c r="C695" s="635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  <c r="Z695" s="242"/>
    </row>
    <row r="696" spans="1:26">
      <c r="A696" s="242"/>
      <c r="B696" s="242"/>
      <c r="C696" s="635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  <c r="Z696" s="242"/>
    </row>
    <row r="697" spans="1:26">
      <c r="A697" s="242"/>
      <c r="B697" s="242"/>
      <c r="C697" s="635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  <c r="Z697" s="242"/>
    </row>
    <row r="698" spans="1:26">
      <c r="A698" s="242"/>
      <c r="B698" s="242"/>
      <c r="C698" s="635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  <c r="Z698" s="242"/>
    </row>
    <row r="699" spans="1:26">
      <c r="A699" s="242"/>
      <c r="B699" s="242"/>
      <c r="C699" s="635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  <c r="Z699" s="242"/>
    </row>
    <row r="700" spans="1:26">
      <c r="A700" s="242"/>
      <c r="B700" s="242"/>
      <c r="C700" s="635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  <c r="Z700" s="242"/>
    </row>
    <row r="701" spans="1:26">
      <c r="A701" s="242"/>
      <c r="B701" s="242"/>
      <c r="C701" s="635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  <c r="Z701" s="242"/>
    </row>
    <row r="702" spans="1:26">
      <c r="A702" s="242"/>
      <c r="B702" s="242"/>
      <c r="C702" s="635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  <c r="Z702" s="242"/>
    </row>
    <row r="703" spans="1:26">
      <c r="A703" s="242"/>
      <c r="B703" s="242"/>
      <c r="C703" s="635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  <c r="Z703" s="242"/>
    </row>
    <row r="704" spans="1:26">
      <c r="A704" s="242"/>
      <c r="B704" s="242"/>
      <c r="C704" s="635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  <c r="Z704" s="242"/>
    </row>
    <row r="705" spans="1:26">
      <c r="A705" s="242"/>
      <c r="B705" s="242"/>
      <c r="C705" s="635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  <c r="Z705" s="242"/>
    </row>
    <row r="706" spans="1:26">
      <c r="A706" s="242"/>
      <c r="B706" s="242"/>
      <c r="C706" s="635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  <c r="Z706" s="242"/>
    </row>
    <row r="707" spans="1:26">
      <c r="A707" s="242"/>
      <c r="B707" s="242"/>
      <c r="C707" s="635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  <c r="Z707" s="242"/>
    </row>
    <row r="708" spans="1:26">
      <c r="A708" s="242"/>
      <c r="B708" s="242"/>
      <c r="C708" s="635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  <c r="Z708" s="242"/>
    </row>
    <row r="709" spans="1:26">
      <c r="A709" s="242"/>
      <c r="B709" s="242"/>
      <c r="C709" s="635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  <c r="Z709" s="242"/>
    </row>
    <row r="710" spans="1:26">
      <c r="A710" s="242"/>
      <c r="B710" s="242"/>
      <c r="C710" s="635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  <c r="Z710" s="242"/>
    </row>
    <row r="711" spans="1:26">
      <c r="A711" s="242"/>
      <c r="B711" s="242"/>
      <c r="C711" s="635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  <c r="Z711" s="242"/>
    </row>
    <row r="712" spans="1:26">
      <c r="A712" s="242"/>
      <c r="B712" s="242"/>
      <c r="C712" s="635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  <c r="Z712" s="242"/>
    </row>
    <row r="713" spans="1:26">
      <c r="A713" s="242"/>
      <c r="B713" s="242"/>
      <c r="C713" s="635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  <c r="Z713" s="242"/>
    </row>
    <row r="714" spans="1:26">
      <c r="A714" s="242"/>
      <c r="B714" s="242"/>
      <c r="C714" s="635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  <c r="Z714" s="242"/>
    </row>
    <row r="715" spans="1:26">
      <c r="A715" s="242"/>
      <c r="B715" s="242"/>
      <c r="C715" s="635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  <c r="Z715" s="242"/>
    </row>
    <row r="716" spans="1:26">
      <c r="A716" s="242"/>
      <c r="B716" s="242"/>
      <c r="C716" s="635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  <c r="Z716" s="242"/>
    </row>
    <row r="717" spans="1:26">
      <c r="A717" s="242"/>
      <c r="B717" s="242"/>
      <c r="C717" s="635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  <c r="Z717" s="242"/>
    </row>
    <row r="718" spans="1:26">
      <c r="A718" s="242"/>
      <c r="B718" s="242"/>
      <c r="C718" s="635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  <c r="Z718" s="242"/>
    </row>
    <row r="719" spans="1:26">
      <c r="A719" s="242"/>
      <c r="B719" s="242"/>
      <c r="C719" s="635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  <c r="Z719" s="242"/>
    </row>
    <row r="720" spans="1:26">
      <c r="A720" s="242"/>
      <c r="B720" s="242"/>
      <c r="C720" s="635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  <c r="Z720" s="242"/>
    </row>
    <row r="721" spans="1:26">
      <c r="A721" s="242"/>
      <c r="B721" s="242"/>
      <c r="C721" s="635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  <c r="Z721" s="242"/>
    </row>
    <row r="722" spans="1:26">
      <c r="A722" s="242"/>
      <c r="B722" s="242"/>
      <c r="C722" s="635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  <c r="Z722" s="242"/>
    </row>
    <row r="723" spans="1:26">
      <c r="A723" s="242"/>
      <c r="B723" s="242"/>
      <c r="C723" s="635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  <c r="Z723" s="242"/>
    </row>
    <row r="724" spans="1:26">
      <c r="A724" s="242"/>
      <c r="B724" s="242"/>
      <c r="C724" s="635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  <c r="Z724" s="242"/>
    </row>
    <row r="725" spans="1:26">
      <c r="A725" s="242"/>
      <c r="B725" s="242"/>
      <c r="C725" s="635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  <c r="Z725" s="242"/>
    </row>
    <row r="726" spans="1:26">
      <c r="A726" s="242"/>
      <c r="B726" s="242"/>
      <c r="C726" s="635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</row>
    <row r="727" spans="1:26">
      <c r="A727" s="242"/>
      <c r="B727" s="242"/>
      <c r="C727" s="635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</row>
    <row r="728" spans="1:26">
      <c r="A728" s="242"/>
      <c r="B728" s="242"/>
      <c r="C728" s="635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  <c r="Z728" s="242"/>
    </row>
    <row r="729" spans="1:26">
      <c r="A729" s="242"/>
      <c r="B729" s="242"/>
      <c r="C729" s="635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  <c r="Z729" s="242"/>
    </row>
    <row r="730" spans="1:26">
      <c r="A730" s="242"/>
      <c r="B730" s="242"/>
      <c r="C730" s="635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  <c r="Z730" s="242"/>
    </row>
    <row r="731" spans="1:26">
      <c r="A731" s="242"/>
      <c r="B731" s="242"/>
      <c r="C731" s="635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  <c r="Z731" s="242"/>
    </row>
    <row r="732" spans="1:26">
      <c r="A732" s="242"/>
      <c r="B732" s="242"/>
      <c r="C732" s="635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  <c r="Z732" s="242"/>
    </row>
    <row r="733" spans="1:26">
      <c r="A733" s="242"/>
      <c r="B733" s="242"/>
      <c r="C733" s="635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  <c r="Z733" s="242"/>
    </row>
    <row r="734" spans="1:26">
      <c r="A734" s="242"/>
      <c r="B734" s="242"/>
      <c r="C734" s="635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  <c r="Z734" s="242"/>
    </row>
    <row r="735" spans="1:26">
      <c r="A735" s="242"/>
      <c r="B735" s="242"/>
      <c r="C735" s="635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  <c r="Z735" s="242"/>
    </row>
    <row r="736" spans="1:26">
      <c r="A736" s="242"/>
      <c r="B736" s="242"/>
      <c r="C736" s="635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  <c r="Z736" s="242"/>
    </row>
    <row r="737" spans="1:26">
      <c r="A737" s="242"/>
      <c r="B737" s="242"/>
      <c r="C737" s="635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  <c r="Z737" s="242"/>
    </row>
    <row r="738" spans="1:26">
      <c r="A738" s="242"/>
      <c r="B738" s="242"/>
      <c r="C738" s="635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  <c r="Z738" s="242"/>
    </row>
    <row r="739" spans="1:26">
      <c r="A739" s="242"/>
      <c r="B739" s="242"/>
      <c r="C739" s="635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  <c r="Z739" s="242"/>
    </row>
    <row r="740" spans="1:26">
      <c r="A740" s="242"/>
      <c r="B740" s="242"/>
      <c r="C740" s="635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  <c r="Z740" s="242"/>
    </row>
    <row r="741" spans="1:26">
      <c r="A741" s="242"/>
      <c r="B741" s="242"/>
      <c r="C741" s="635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  <c r="Z741" s="242"/>
    </row>
    <row r="742" spans="1:26">
      <c r="A742" s="242"/>
      <c r="B742" s="242"/>
      <c r="C742" s="635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  <c r="Z742" s="242"/>
    </row>
    <row r="743" spans="1:26">
      <c r="A743" s="242"/>
      <c r="B743" s="242"/>
      <c r="C743" s="635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  <c r="Z743" s="242"/>
    </row>
    <row r="744" spans="1:26">
      <c r="A744" s="242"/>
      <c r="B744" s="242"/>
      <c r="C744" s="635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  <c r="Z744" s="242"/>
    </row>
    <row r="745" spans="1:26">
      <c r="A745" s="242"/>
      <c r="B745" s="242"/>
      <c r="C745" s="635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  <c r="Z745" s="242"/>
    </row>
    <row r="746" spans="1:26">
      <c r="A746" s="242"/>
      <c r="B746" s="242"/>
      <c r="C746" s="635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  <c r="Z746" s="242"/>
    </row>
    <row r="747" spans="1:26">
      <c r="A747" s="242"/>
      <c r="B747" s="242"/>
      <c r="C747" s="635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  <c r="Z747" s="242"/>
    </row>
    <row r="748" spans="1:26">
      <c r="A748" s="242"/>
      <c r="B748" s="242"/>
      <c r="C748" s="635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  <c r="Z748" s="242"/>
    </row>
    <row r="749" spans="1:26">
      <c r="A749" s="242"/>
      <c r="B749" s="242"/>
      <c r="C749" s="635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  <c r="Z749" s="242"/>
    </row>
    <row r="750" spans="1:26">
      <c r="A750" s="242"/>
      <c r="B750" s="242"/>
      <c r="C750" s="635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  <c r="Z750" s="242"/>
    </row>
    <row r="751" spans="1:26">
      <c r="A751" s="242"/>
      <c r="B751" s="242"/>
      <c r="C751" s="635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  <c r="Z751" s="242"/>
    </row>
    <row r="752" spans="1:26">
      <c r="A752" s="242"/>
      <c r="B752" s="242"/>
      <c r="C752" s="635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  <c r="Z752" s="242"/>
    </row>
    <row r="753" spans="1:26">
      <c r="A753" s="242"/>
      <c r="B753" s="242"/>
      <c r="C753" s="635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  <c r="Z753" s="242"/>
    </row>
    <row r="754" spans="1:26">
      <c r="A754" s="242"/>
      <c r="B754" s="242"/>
      <c r="C754" s="635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  <c r="Z754" s="242"/>
    </row>
    <row r="755" spans="1:26">
      <c r="A755" s="242"/>
      <c r="B755" s="242"/>
      <c r="C755" s="635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  <c r="Z755" s="242"/>
    </row>
    <row r="756" spans="1:26">
      <c r="A756" s="242"/>
      <c r="B756" s="242"/>
      <c r="C756" s="635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  <c r="Z756" s="242"/>
    </row>
    <row r="757" spans="1:26">
      <c r="A757" s="242"/>
      <c r="B757" s="242"/>
      <c r="C757" s="635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  <c r="Z757" s="242"/>
    </row>
    <row r="758" spans="1:26">
      <c r="A758" s="242"/>
      <c r="B758" s="242"/>
      <c r="C758" s="635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  <c r="Z758" s="242"/>
    </row>
    <row r="759" spans="1:26">
      <c r="A759" s="242"/>
      <c r="B759" s="242"/>
      <c r="C759" s="635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  <c r="Z759" s="242"/>
    </row>
    <row r="760" spans="1:26">
      <c r="A760" s="242"/>
      <c r="B760" s="242"/>
      <c r="C760" s="635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  <c r="Z760" s="242"/>
    </row>
    <row r="761" spans="1:26">
      <c r="A761" s="242"/>
      <c r="B761" s="242"/>
      <c r="C761" s="635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  <c r="Z761" s="242"/>
    </row>
    <row r="762" spans="1:26">
      <c r="A762" s="242"/>
      <c r="B762" s="242"/>
      <c r="C762" s="635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  <c r="Z762" s="242"/>
    </row>
    <row r="763" spans="1:26">
      <c r="A763" s="242"/>
      <c r="B763" s="242"/>
      <c r="C763" s="635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  <c r="Z763" s="242"/>
    </row>
    <row r="764" spans="1:26">
      <c r="A764" s="242"/>
      <c r="B764" s="242"/>
      <c r="C764" s="635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  <c r="Z764" s="242"/>
    </row>
    <row r="765" spans="1:26">
      <c r="A765" s="242"/>
      <c r="B765" s="242"/>
      <c r="C765" s="635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  <c r="Z765" s="242"/>
    </row>
    <row r="766" spans="1:26">
      <c r="A766" s="242"/>
      <c r="B766" s="242"/>
      <c r="C766" s="635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  <c r="Z766" s="242"/>
    </row>
    <row r="767" spans="1:26">
      <c r="A767" s="242"/>
      <c r="B767" s="242"/>
      <c r="C767" s="635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  <c r="Z767" s="242"/>
    </row>
    <row r="768" spans="1:26">
      <c r="A768" s="242"/>
      <c r="B768" s="242"/>
      <c r="C768" s="635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  <c r="Z768" s="242"/>
    </row>
    <row r="769" spans="1:26">
      <c r="A769" s="242"/>
      <c r="B769" s="242"/>
      <c r="C769" s="635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</row>
    <row r="770" spans="1:26">
      <c r="A770" s="242"/>
      <c r="B770" s="242"/>
      <c r="C770" s="635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</row>
    <row r="771" spans="1:26">
      <c r="A771" s="242"/>
      <c r="B771" s="242"/>
      <c r="C771" s="635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  <c r="Z771" s="242"/>
    </row>
    <row r="772" spans="1:26">
      <c r="A772" s="242"/>
      <c r="B772" s="242"/>
      <c r="C772" s="635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  <c r="Z772" s="242"/>
    </row>
    <row r="773" spans="1:26">
      <c r="A773" s="242"/>
      <c r="B773" s="242"/>
      <c r="C773" s="635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  <c r="Z773" s="242"/>
    </row>
    <row r="774" spans="1:26">
      <c r="A774" s="242"/>
      <c r="B774" s="242"/>
      <c r="C774" s="635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  <c r="Z774" s="242"/>
    </row>
    <row r="775" spans="1:26">
      <c r="A775" s="242"/>
      <c r="B775" s="242"/>
      <c r="C775" s="635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  <c r="Z775" s="242"/>
    </row>
    <row r="776" spans="1:26">
      <c r="A776" s="242"/>
      <c r="B776" s="242"/>
      <c r="C776" s="635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  <c r="Z776" s="242"/>
    </row>
    <row r="777" spans="1:26">
      <c r="A777" s="242"/>
      <c r="B777" s="242"/>
      <c r="C777" s="635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  <c r="Z777" s="242"/>
    </row>
    <row r="778" spans="1:26">
      <c r="A778" s="242"/>
      <c r="B778" s="242"/>
      <c r="C778" s="635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  <c r="Z778" s="242"/>
    </row>
    <row r="779" spans="1:26">
      <c r="A779" s="242"/>
      <c r="B779" s="242"/>
      <c r="C779" s="635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  <c r="Z779" s="242"/>
    </row>
    <row r="780" spans="1:26">
      <c r="A780" s="242"/>
      <c r="B780" s="242"/>
      <c r="C780" s="635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  <c r="Z780" s="242"/>
    </row>
    <row r="781" spans="1:26">
      <c r="A781" s="242"/>
      <c r="B781" s="242"/>
      <c r="C781" s="635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  <c r="Z781" s="242"/>
    </row>
    <row r="782" spans="1:26">
      <c r="A782" s="242"/>
      <c r="B782" s="242"/>
      <c r="C782" s="635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  <c r="Z782" s="242"/>
    </row>
    <row r="783" spans="1:26">
      <c r="A783" s="242"/>
      <c r="B783" s="242"/>
      <c r="C783" s="635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  <c r="Z783" s="242"/>
    </row>
    <row r="784" spans="1:26">
      <c r="A784" s="242"/>
      <c r="B784" s="242"/>
      <c r="C784" s="635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  <c r="Z784" s="242"/>
    </row>
    <row r="785" spans="1:26">
      <c r="A785" s="242"/>
      <c r="B785" s="242"/>
      <c r="C785" s="635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  <c r="Z785" s="242"/>
    </row>
    <row r="786" spans="1:26">
      <c r="A786" s="242"/>
      <c r="B786" s="242"/>
      <c r="C786" s="635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  <c r="Z786" s="242"/>
    </row>
    <row r="787" spans="1:26">
      <c r="A787" s="242"/>
      <c r="B787" s="242"/>
      <c r="C787" s="635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  <c r="Z787" s="242"/>
    </row>
    <row r="788" spans="1:26">
      <c r="A788" s="242"/>
      <c r="B788" s="242"/>
      <c r="C788" s="635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  <c r="Z788" s="242"/>
    </row>
    <row r="789" spans="1:26">
      <c r="A789" s="242"/>
      <c r="B789" s="242"/>
      <c r="C789" s="635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  <c r="Z789" s="242"/>
    </row>
    <row r="790" spans="1:26">
      <c r="A790" s="242"/>
      <c r="B790" s="242"/>
      <c r="C790" s="635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  <c r="Z790" s="242"/>
    </row>
    <row r="791" spans="1:26">
      <c r="A791" s="242"/>
      <c r="B791" s="242"/>
      <c r="C791" s="635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  <c r="Z791" s="242"/>
    </row>
    <row r="792" spans="1:26">
      <c r="A792" s="242"/>
      <c r="B792" s="242"/>
      <c r="C792" s="635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  <c r="Z792" s="242"/>
    </row>
    <row r="793" spans="1:26">
      <c r="A793" s="242"/>
      <c r="B793" s="242"/>
      <c r="C793" s="635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  <c r="Z793" s="242"/>
    </row>
    <row r="794" spans="1:26">
      <c r="A794" s="242"/>
      <c r="B794" s="242"/>
      <c r="C794" s="635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  <c r="Z794" s="242"/>
    </row>
    <row r="795" spans="1:26">
      <c r="A795" s="242"/>
      <c r="B795" s="242"/>
      <c r="C795" s="635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  <c r="Z795" s="242"/>
    </row>
    <row r="796" spans="1:26">
      <c r="A796" s="242"/>
      <c r="B796" s="242"/>
      <c r="C796" s="635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  <c r="Z796" s="242"/>
    </row>
    <row r="797" spans="1:26">
      <c r="A797" s="242"/>
      <c r="B797" s="242"/>
      <c r="C797" s="635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  <c r="Z797" s="242"/>
    </row>
    <row r="798" spans="1:26">
      <c r="A798" s="242"/>
      <c r="B798" s="242"/>
      <c r="C798" s="635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  <c r="Z798" s="242"/>
    </row>
    <row r="799" spans="1:26">
      <c r="A799" s="242"/>
      <c r="B799" s="242"/>
      <c r="C799" s="635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  <c r="Z799" s="242"/>
    </row>
    <row r="800" spans="1:26">
      <c r="A800" s="242"/>
      <c r="B800" s="242"/>
      <c r="C800" s="635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</row>
    <row r="801" spans="1:26">
      <c r="A801" s="242"/>
      <c r="B801" s="242"/>
      <c r="C801" s="635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  <c r="Z801" s="242"/>
    </row>
    <row r="802" spans="1:26">
      <c r="A802" s="242"/>
      <c r="B802" s="242"/>
      <c r="C802" s="635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  <c r="Z802" s="242"/>
    </row>
    <row r="803" spans="1:26">
      <c r="A803" s="242"/>
      <c r="B803" s="242"/>
      <c r="C803" s="635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  <c r="Z803" s="242"/>
    </row>
    <row r="804" spans="1:26">
      <c r="A804" s="242"/>
      <c r="B804" s="242"/>
      <c r="C804" s="635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  <c r="Z804" s="242"/>
    </row>
    <row r="805" spans="1:26">
      <c r="A805" s="242"/>
      <c r="B805" s="242"/>
      <c r="C805" s="635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  <c r="Z805" s="242"/>
    </row>
    <row r="806" spans="1:26">
      <c r="A806" s="242"/>
      <c r="B806" s="242"/>
      <c r="C806" s="635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  <c r="Z806" s="242"/>
    </row>
    <row r="807" spans="1:26">
      <c r="A807" s="242"/>
      <c r="B807" s="242"/>
      <c r="C807" s="635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  <c r="Z807" s="242"/>
    </row>
    <row r="808" spans="1:26">
      <c r="A808" s="242"/>
      <c r="B808" s="242"/>
      <c r="C808" s="635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  <c r="Z808" s="242"/>
    </row>
    <row r="809" spans="1:26">
      <c r="A809" s="242"/>
      <c r="B809" s="242"/>
      <c r="C809" s="635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  <c r="Z809" s="242"/>
    </row>
    <row r="810" spans="1:26">
      <c r="A810" s="242"/>
      <c r="B810" s="242"/>
      <c r="C810" s="635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  <c r="Z810" s="242"/>
    </row>
    <row r="811" spans="1:26">
      <c r="A811" s="242"/>
      <c r="B811" s="242"/>
      <c r="C811" s="635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  <c r="Z811" s="242"/>
    </row>
    <row r="812" spans="1:26">
      <c r="A812" s="242"/>
      <c r="B812" s="242"/>
      <c r="C812" s="635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</row>
    <row r="813" spans="1:26">
      <c r="A813" s="242"/>
      <c r="B813" s="242"/>
      <c r="C813" s="635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</row>
    <row r="814" spans="1:26">
      <c r="A814" s="242"/>
      <c r="B814" s="242"/>
      <c r="C814" s="635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  <c r="Z814" s="242"/>
    </row>
    <row r="815" spans="1:26">
      <c r="A815" s="242"/>
      <c r="B815" s="242"/>
      <c r="C815" s="635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  <c r="Z815" s="242"/>
    </row>
    <row r="816" spans="1:26">
      <c r="A816" s="242"/>
      <c r="B816" s="242"/>
      <c r="C816" s="635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  <c r="Z816" s="242"/>
    </row>
    <row r="817" spans="1:26">
      <c r="A817" s="242"/>
      <c r="B817" s="242"/>
      <c r="C817" s="635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  <c r="Z817" s="242"/>
    </row>
    <row r="818" spans="1:26">
      <c r="A818" s="242"/>
      <c r="B818" s="242"/>
      <c r="C818" s="635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  <c r="Z818" s="242"/>
    </row>
    <row r="819" spans="1:26">
      <c r="A819" s="242"/>
      <c r="B819" s="242"/>
      <c r="C819" s="635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  <c r="Z819" s="242"/>
    </row>
    <row r="820" spans="1:26">
      <c r="A820" s="242"/>
      <c r="B820" s="242"/>
      <c r="C820" s="635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  <c r="Z820" s="242"/>
    </row>
    <row r="821" spans="1:26">
      <c r="A821" s="242"/>
      <c r="B821" s="242"/>
      <c r="C821" s="635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  <c r="Z821" s="242"/>
    </row>
    <row r="822" spans="1:26">
      <c r="A822" s="242"/>
      <c r="B822" s="242"/>
      <c r="C822" s="635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  <c r="Z822" s="242"/>
    </row>
    <row r="823" spans="1:26">
      <c r="A823" s="242"/>
      <c r="B823" s="242"/>
      <c r="C823" s="635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  <c r="Z823" s="242"/>
    </row>
    <row r="824" spans="1:26">
      <c r="A824" s="242"/>
      <c r="B824" s="242"/>
      <c r="C824" s="635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  <c r="Z824" s="242"/>
    </row>
    <row r="825" spans="1:26">
      <c r="A825" s="242"/>
      <c r="B825" s="242"/>
      <c r="C825" s="635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  <c r="Z825" s="242"/>
    </row>
    <row r="826" spans="1:26">
      <c r="A826" s="242"/>
      <c r="B826" s="242"/>
      <c r="C826" s="635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  <c r="Z826" s="242"/>
    </row>
    <row r="827" spans="1:26">
      <c r="A827" s="242"/>
      <c r="B827" s="242"/>
      <c r="C827" s="635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  <c r="Z827" s="242"/>
    </row>
    <row r="828" spans="1:26">
      <c r="A828" s="242"/>
      <c r="B828" s="242"/>
      <c r="C828" s="635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  <c r="Z828" s="242"/>
    </row>
    <row r="829" spans="1:26">
      <c r="A829" s="242"/>
      <c r="B829" s="242"/>
      <c r="C829" s="635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  <c r="Z829" s="242"/>
    </row>
    <row r="830" spans="1:26">
      <c r="A830" s="242"/>
      <c r="B830" s="242"/>
      <c r="C830" s="635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  <c r="Z830" s="242"/>
    </row>
    <row r="831" spans="1:26">
      <c r="A831" s="242"/>
      <c r="B831" s="242"/>
      <c r="C831" s="635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  <c r="Z831" s="242"/>
    </row>
    <row r="832" spans="1:26">
      <c r="A832" s="242"/>
      <c r="B832" s="242"/>
      <c r="C832" s="635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  <c r="Z832" s="242"/>
    </row>
    <row r="833" spans="1:26">
      <c r="A833" s="242"/>
      <c r="B833" s="242"/>
      <c r="C833" s="635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  <c r="Z833" s="242"/>
    </row>
    <row r="834" spans="1:26">
      <c r="A834" s="242"/>
      <c r="B834" s="242"/>
      <c r="C834" s="635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  <c r="Z834" s="242"/>
    </row>
    <row r="835" spans="1:26">
      <c r="A835" s="242"/>
      <c r="B835" s="242"/>
      <c r="C835" s="635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  <c r="Z835" s="242"/>
    </row>
    <row r="836" spans="1:26">
      <c r="A836" s="242"/>
      <c r="B836" s="242"/>
      <c r="C836" s="635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  <c r="Z836" s="242"/>
    </row>
    <row r="837" spans="1:26">
      <c r="A837" s="242"/>
      <c r="B837" s="242"/>
      <c r="C837" s="635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  <c r="Z837" s="242"/>
    </row>
    <row r="838" spans="1:26">
      <c r="A838" s="242"/>
      <c r="B838" s="242"/>
      <c r="C838" s="635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  <c r="Z838" s="242"/>
    </row>
    <row r="839" spans="1:26">
      <c r="A839" s="242"/>
      <c r="B839" s="242"/>
      <c r="C839" s="635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  <c r="Z839" s="242"/>
    </row>
    <row r="840" spans="1:26">
      <c r="A840" s="242"/>
      <c r="B840" s="242"/>
      <c r="C840" s="635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  <c r="Z840" s="242"/>
    </row>
    <row r="841" spans="1:26">
      <c r="A841" s="242"/>
      <c r="B841" s="242"/>
      <c r="C841" s="635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  <c r="Z841" s="242"/>
    </row>
    <row r="842" spans="1:26">
      <c r="A842" s="242"/>
      <c r="B842" s="242"/>
      <c r="C842" s="635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  <c r="Z842" s="242"/>
    </row>
    <row r="843" spans="1:26">
      <c r="A843" s="242"/>
      <c r="B843" s="242"/>
      <c r="C843" s="635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  <c r="Z843" s="242"/>
    </row>
    <row r="844" spans="1:26">
      <c r="A844" s="242"/>
      <c r="B844" s="242"/>
      <c r="C844" s="635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  <c r="Z844" s="242"/>
    </row>
    <row r="845" spans="1:26">
      <c r="A845" s="242"/>
      <c r="B845" s="242"/>
      <c r="C845" s="635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  <c r="Z845" s="242"/>
    </row>
    <row r="846" spans="1:26">
      <c r="A846" s="242"/>
      <c r="B846" s="242"/>
      <c r="C846" s="635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  <c r="Z846" s="242"/>
    </row>
    <row r="847" spans="1:26">
      <c r="A847" s="242"/>
      <c r="B847" s="242"/>
      <c r="C847" s="635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  <c r="Z847" s="242"/>
    </row>
    <row r="848" spans="1:26">
      <c r="A848" s="242"/>
      <c r="B848" s="242"/>
      <c r="C848" s="635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  <c r="Z848" s="242"/>
    </row>
    <row r="849" spans="1:26">
      <c r="A849" s="242"/>
      <c r="B849" s="242"/>
      <c r="C849" s="635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  <c r="Z849" s="242"/>
    </row>
    <row r="850" spans="1:26">
      <c r="A850" s="242"/>
      <c r="B850" s="242"/>
      <c r="C850" s="635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  <c r="Z850" s="242"/>
    </row>
    <row r="851" spans="1:26">
      <c r="A851" s="242"/>
      <c r="B851" s="242"/>
      <c r="C851" s="635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  <c r="Z851" s="242"/>
    </row>
    <row r="852" spans="1:26">
      <c r="A852" s="242"/>
      <c r="B852" s="242"/>
      <c r="C852" s="635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  <c r="Z852" s="242"/>
    </row>
    <row r="853" spans="1:26">
      <c r="A853" s="242"/>
      <c r="B853" s="242"/>
      <c r="C853" s="635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  <c r="Z853" s="242"/>
    </row>
    <row r="854" spans="1:26">
      <c r="A854" s="242"/>
      <c r="B854" s="242"/>
      <c r="C854" s="635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  <c r="Z854" s="242"/>
    </row>
    <row r="855" spans="1:26">
      <c r="A855" s="242"/>
      <c r="B855" s="242"/>
      <c r="C855" s="635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</row>
    <row r="856" spans="1:26">
      <c r="A856" s="242"/>
      <c r="B856" s="242"/>
      <c r="C856" s="635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</row>
    <row r="857" spans="1:26">
      <c r="A857" s="242"/>
      <c r="B857" s="242"/>
      <c r="C857" s="635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  <c r="Z857" s="242"/>
    </row>
    <row r="858" spans="1:26">
      <c r="A858" s="242"/>
      <c r="B858" s="242"/>
      <c r="C858" s="635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  <c r="Z858" s="242"/>
    </row>
    <row r="859" spans="1:26">
      <c r="A859" s="242"/>
      <c r="B859" s="242"/>
      <c r="C859" s="635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  <c r="Z859" s="242"/>
    </row>
    <row r="860" spans="1:26">
      <c r="A860" s="242"/>
      <c r="B860" s="242"/>
      <c r="C860" s="635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  <c r="Z860" s="242"/>
    </row>
    <row r="861" spans="1:26">
      <c r="A861" s="242"/>
      <c r="B861" s="242"/>
      <c r="C861" s="635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  <c r="Z861" s="242"/>
    </row>
    <row r="862" spans="1:26">
      <c r="A862" s="242"/>
      <c r="B862" s="242"/>
      <c r="C862" s="635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  <c r="Z862" s="242"/>
    </row>
    <row r="863" spans="1:26">
      <c r="A863" s="242"/>
      <c r="B863" s="242"/>
      <c r="C863" s="635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  <c r="Z863" s="242"/>
    </row>
    <row r="864" spans="1:26">
      <c r="A864" s="242"/>
      <c r="B864" s="242"/>
      <c r="C864" s="635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  <c r="Z864" s="242"/>
    </row>
    <row r="865" spans="1:26">
      <c r="A865" s="242"/>
      <c r="B865" s="242"/>
      <c r="C865" s="635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  <c r="Z865" s="242"/>
    </row>
    <row r="866" spans="1:26">
      <c r="A866" s="242"/>
      <c r="B866" s="242"/>
      <c r="C866" s="635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  <c r="Z866" s="242"/>
    </row>
    <row r="867" spans="1:26">
      <c r="A867" s="242"/>
      <c r="B867" s="242"/>
      <c r="C867" s="635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  <c r="Z867" s="242"/>
    </row>
    <row r="868" spans="1:26">
      <c r="A868" s="242"/>
      <c r="B868" s="242"/>
      <c r="C868" s="635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  <c r="Z868" s="242"/>
    </row>
    <row r="869" spans="1:26">
      <c r="A869" s="242"/>
      <c r="B869" s="242"/>
      <c r="C869" s="635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  <c r="Z869" s="242"/>
    </row>
    <row r="870" spans="1:26">
      <c r="A870" s="242"/>
      <c r="B870" s="242"/>
      <c r="C870" s="635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  <c r="Z870" s="242"/>
    </row>
    <row r="871" spans="1:26">
      <c r="A871" s="242"/>
      <c r="B871" s="242"/>
      <c r="C871" s="635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  <c r="Z871" s="242"/>
    </row>
    <row r="872" spans="1:26">
      <c r="A872" s="242"/>
      <c r="B872" s="242"/>
      <c r="C872" s="635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  <c r="Z872" s="242"/>
    </row>
    <row r="873" spans="1:26">
      <c r="A873" s="242"/>
      <c r="B873" s="242"/>
      <c r="C873" s="635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  <c r="Z873" s="242"/>
    </row>
    <row r="874" spans="1:26">
      <c r="A874" s="242"/>
      <c r="B874" s="242"/>
      <c r="C874" s="635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  <c r="Z874" s="242"/>
    </row>
    <row r="875" spans="1:26">
      <c r="A875" s="242"/>
      <c r="B875" s="242"/>
      <c r="C875" s="635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  <c r="Z875" s="242"/>
    </row>
    <row r="876" spans="1:26">
      <c r="A876" s="242"/>
      <c r="B876" s="242"/>
      <c r="C876" s="635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  <c r="Z876" s="242"/>
    </row>
    <row r="877" spans="1:26">
      <c r="A877" s="242"/>
      <c r="B877" s="242"/>
      <c r="C877" s="635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  <c r="Z877" s="242"/>
    </row>
    <row r="878" spans="1:26">
      <c r="A878" s="242"/>
      <c r="B878" s="242"/>
      <c r="C878" s="635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  <c r="Z878" s="242"/>
    </row>
    <row r="879" spans="1:26">
      <c r="A879" s="242"/>
      <c r="B879" s="242"/>
      <c r="C879" s="635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  <c r="Z879" s="242"/>
    </row>
    <row r="880" spans="1:26">
      <c r="A880" s="242"/>
      <c r="B880" s="242"/>
      <c r="C880" s="635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  <c r="Z880" s="242"/>
    </row>
    <row r="881" spans="1:26">
      <c r="A881" s="242"/>
      <c r="B881" s="242"/>
      <c r="C881" s="635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  <c r="Z881" s="242"/>
    </row>
    <row r="882" spans="1:26">
      <c r="A882" s="242"/>
      <c r="B882" s="242"/>
      <c r="C882" s="635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  <c r="Z882" s="242"/>
    </row>
    <row r="883" spans="1:26">
      <c r="A883" s="242"/>
      <c r="B883" s="242"/>
      <c r="C883" s="635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  <c r="Z883" s="242"/>
    </row>
    <row r="884" spans="1:26">
      <c r="A884" s="242"/>
      <c r="B884" s="242"/>
      <c r="C884" s="635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  <c r="Z884" s="242"/>
    </row>
    <row r="885" spans="1:26">
      <c r="A885" s="242"/>
      <c r="B885" s="242"/>
      <c r="C885" s="635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  <c r="Z885" s="242"/>
    </row>
    <row r="886" spans="1:26">
      <c r="A886" s="242"/>
      <c r="B886" s="242"/>
      <c r="C886" s="635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  <c r="Z886" s="242"/>
    </row>
    <row r="887" spans="1:26">
      <c r="A887" s="242"/>
      <c r="B887" s="242"/>
      <c r="C887" s="635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  <c r="Z887" s="242"/>
    </row>
    <row r="888" spans="1:26">
      <c r="A888" s="242"/>
      <c r="B888" s="242"/>
      <c r="C888" s="635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  <c r="Z888" s="242"/>
    </row>
    <row r="889" spans="1:26">
      <c r="A889" s="242"/>
      <c r="B889" s="242"/>
      <c r="C889" s="635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  <c r="Z889" s="242"/>
    </row>
    <row r="890" spans="1:26">
      <c r="A890" s="242"/>
      <c r="B890" s="242"/>
      <c r="C890" s="635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</row>
    <row r="891" spans="1:26">
      <c r="A891" s="242"/>
      <c r="B891" s="242"/>
      <c r="C891" s="635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  <c r="Z891" s="242"/>
    </row>
    <row r="892" spans="1:26">
      <c r="A892" s="242"/>
      <c r="B892" s="242"/>
      <c r="C892" s="635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  <c r="Z892" s="242"/>
    </row>
    <row r="893" spans="1:26">
      <c r="A893" s="242"/>
      <c r="B893" s="242"/>
      <c r="C893" s="635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  <c r="Z893" s="242"/>
    </row>
    <row r="894" spans="1:26">
      <c r="A894" s="242"/>
      <c r="B894" s="242"/>
      <c r="C894" s="635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  <c r="Z894" s="242"/>
    </row>
    <row r="895" spans="1:26">
      <c r="A895" s="242"/>
      <c r="B895" s="242"/>
      <c r="C895" s="635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  <c r="Z895" s="242"/>
    </row>
    <row r="896" spans="1:26">
      <c r="A896" s="242"/>
      <c r="B896" s="242"/>
      <c r="C896" s="635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  <c r="Z896" s="242"/>
    </row>
    <row r="897" spans="1:26">
      <c r="A897" s="242"/>
      <c r="B897" s="242"/>
      <c r="C897" s="635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  <c r="Z897" s="242"/>
    </row>
    <row r="898" spans="1:26">
      <c r="A898" s="242"/>
      <c r="B898" s="242"/>
      <c r="C898" s="635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</row>
    <row r="899" spans="1:26">
      <c r="A899" s="242"/>
      <c r="B899" s="242"/>
      <c r="C899" s="635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  <c r="Z899" s="242"/>
    </row>
    <row r="900" spans="1:26">
      <c r="A900" s="242"/>
      <c r="B900" s="242"/>
      <c r="C900" s="635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  <c r="Z900" s="242"/>
    </row>
    <row r="901" spans="1:26">
      <c r="A901" s="242"/>
      <c r="B901" s="242"/>
      <c r="C901" s="635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  <c r="Z901" s="242"/>
    </row>
    <row r="902" spans="1:26">
      <c r="A902" s="242"/>
      <c r="B902" s="242"/>
      <c r="C902" s="635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  <c r="Z902" s="242"/>
    </row>
    <row r="903" spans="1:26">
      <c r="A903" s="242"/>
      <c r="B903" s="242"/>
      <c r="C903" s="635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  <c r="Z903" s="242"/>
    </row>
    <row r="904" spans="1:26">
      <c r="A904" s="242"/>
      <c r="B904" s="242"/>
      <c r="C904" s="635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  <c r="Z904" s="242"/>
    </row>
    <row r="905" spans="1:26">
      <c r="A905" s="242"/>
      <c r="B905" s="242"/>
      <c r="C905" s="635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  <c r="Z905" s="242"/>
    </row>
    <row r="906" spans="1:26">
      <c r="A906" s="242"/>
      <c r="B906" s="242"/>
      <c r="C906" s="635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  <c r="Z906" s="242"/>
    </row>
    <row r="907" spans="1:26">
      <c r="A907" s="242"/>
      <c r="B907" s="242"/>
      <c r="C907" s="635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  <c r="Z907" s="242"/>
    </row>
    <row r="908" spans="1:26">
      <c r="A908" s="242"/>
      <c r="B908" s="242"/>
      <c r="C908" s="635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  <c r="Z908" s="242"/>
    </row>
    <row r="909" spans="1:26">
      <c r="A909" s="242"/>
      <c r="B909" s="242"/>
      <c r="C909" s="635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  <c r="Z909" s="242"/>
    </row>
    <row r="910" spans="1:26">
      <c r="A910" s="242"/>
      <c r="B910" s="242"/>
      <c r="C910" s="635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  <c r="Z910" s="242"/>
    </row>
    <row r="911" spans="1:26">
      <c r="A911" s="242"/>
      <c r="B911" s="242"/>
      <c r="C911" s="635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  <c r="Z911" s="242"/>
    </row>
    <row r="912" spans="1:26">
      <c r="A912" s="242"/>
      <c r="B912" s="242"/>
      <c r="C912" s="635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  <c r="Z912" s="242"/>
    </row>
    <row r="913" spans="1:26">
      <c r="A913" s="242"/>
      <c r="B913" s="242"/>
      <c r="C913" s="635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  <c r="Z913" s="242"/>
    </row>
    <row r="914" spans="1:26">
      <c r="A914" s="242"/>
      <c r="B914" s="242"/>
      <c r="C914" s="635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  <c r="Z914" s="242"/>
    </row>
    <row r="915" spans="1:26">
      <c r="A915" s="242"/>
      <c r="B915" s="242"/>
      <c r="C915" s="635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  <c r="Z915" s="242"/>
    </row>
    <row r="916" spans="1:26">
      <c r="A916" s="242"/>
      <c r="B916" s="242"/>
      <c r="C916" s="635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  <c r="Z916" s="242"/>
    </row>
    <row r="917" spans="1:26">
      <c r="A917" s="242"/>
      <c r="B917" s="242"/>
      <c r="C917" s="635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  <c r="Z917" s="242"/>
    </row>
    <row r="918" spans="1:26">
      <c r="A918" s="242"/>
      <c r="B918" s="242"/>
      <c r="C918" s="635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  <c r="Z918" s="242"/>
    </row>
    <row r="919" spans="1:26">
      <c r="A919" s="242"/>
      <c r="B919" s="242"/>
      <c r="C919" s="635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  <c r="Z919" s="242"/>
    </row>
    <row r="920" spans="1:26">
      <c r="A920" s="242"/>
      <c r="B920" s="242"/>
      <c r="C920" s="635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  <c r="Z920" s="242"/>
    </row>
    <row r="921" spans="1:26">
      <c r="A921" s="242"/>
      <c r="B921" s="242"/>
      <c r="C921" s="635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  <c r="Z921" s="242"/>
    </row>
    <row r="922" spans="1:26">
      <c r="A922" s="242"/>
      <c r="B922" s="242"/>
      <c r="C922" s="635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  <c r="Z922" s="242"/>
    </row>
    <row r="923" spans="1:26">
      <c r="A923" s="242"/>
      <c r="B923" s="242"/>
      <c r="C923" s="635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  <c r="Z923" s="242"/>
    </row>
    <row r="924" spans="1:26">
      <c r="A924" s="242"/>
      <c r="B924" s="242"/>
      <c r="C924" s="635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  <c r="Z924" s="242"/>
    </row>
    <row r="925" spans="1:26">
      <c r="A925" s="242"/>
      <c r="B925" s="242"/>
      <c r="C925" s="635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  <c r="Z925" s="242"/>
    </row>
    <row r="926" spans="1:26">
      <c r="A926" s="242"/>
      <c r="B926" s="242"/>
      <c r="C926" s="635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  <c r="Z926" s="242"/>
    </row>
    <row r="927" spans="1:26">
      <c r="A927" s="242"/>
      <c r="B927" s="242"/>
      <c r="C927" s="635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  <c r="Z927" s="242"/>
    </row>
    <row r="928" spans="1:26">
      <c r="A928" s="242"/>
      <c r="B928" s="242"/>
      <c r="C928" s="635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  <c r="Z928" s="242"/>
    </row>
    <row r="929" spans="1:26">
      <c r="A929" s="242"/>
      <c r="B929" s="242"/>
      <c r="C929" s="635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  <c r="Z929" s="242"/>
    </row>
    <row r="930" spans="1:26">
      <c r="A930" s="242"/>
      <c r="B930" s="242"/>
      <c r="C930" s="635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  <c r="Z930" s="242"/>
    </row>
    <row r="931" spans="1:26">
      <c r="A931" s="242"/>
      <c r="B931" s="242"/>
      <c r="C931" s="635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  <c r="Z931" s="242"/>
    </row>
    <row r="932" spans="1:26">
      <c r="A932" s="242"/>
      <c r="B932" s="242"/>
      <c r="C932" s="635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  <c r="Z932" s="242"/>
    </row>
    <row r="933" spans="1:26">
      <c r="A933" s="242"/>
      <c r="B933" s="242"/>
      <c r="C933" s="635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  <c r="Z933" s="242"/>
    </row>
    <row r="934" spans="1:26">
      <c r="A934" s="242"/>
      <c r="B934" s="242"/>
      <c r="C934" s="635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</row>
    <row r="935" spans="1:26">
      <c r="A935" s="242"/>
      <c r="B935" s="242"/>
      <c r="C935" s="635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  <c r="Z935" s="242"/>
    </row>
    <row r="936" spans="1:26">
      <c r="A936" s="242"/>
      <c r="B936" s="242"/>
      <c r="C936" s="635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  <c r="Z936" s="242"/>
    </row>
    <row r="937" spans="1:26">
      <c r="A937" s="242"/>
      <c r="B937" s="242"/>
      <c r="C937" s="635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</row>
    <row r="938" spans="1:26">
      <c r="A938" s="242"/>
      <c r="B938" s="242"/>
      <c r="C938" s="635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  <c r="Z938" s="242"/>
    </row>
    <row r="939" spans="1:26">
      <c r="A939" s="242"/>
      <c r="B939" s="242"/>
      <c r="C939" s="635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  <c r="Z939" s="242"/>
    </row>
    <row r="940" spans="1:26">
      <c r="A940" s="242"/>
      <c r="B940" s="242"/>
      <c r="C940" s="635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  <c r="Z940" s="242"/>
    </row>
    <row r="941" spans="1:26">
      <c r="A941" s="242"/>
      <c r="B941" s="242"/>
      <c r="C941" s="635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  <c r="Z941" s="242"/>
    </row>
    <row r="942" spans="1:26">
      <c r="A942" s="242"/>
      <c r="B942" s="242"/>
      <c r="C942" s="635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</row>
    <row r="943" spans="1:26">
      <c r="A943" s="242"/>
      <c r="B943" s="242"/>
      <c r="C943" s="635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  <c r="Z943" s="242"/>
    </row>
    <row r="944" spans="1:26">
      <c r="A944" s="242"/>
      <c r="B944" s="242"/>
      <c r="C944" s="635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  <c r="Z944" s="242"/>
    </row>
    <row r="945" spans="1:26">
      <c r="A945" s="242"/>
      <c r="B945" s="242"/>
      <c r="C945" s="635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  <c r="Z945" s="242"/>
    </row>
    <row r="946" spans="1:26">
      <c r="A946" s="242"/>
      <c r="B946" s="242"/>
      <c r="C946" s="635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  <c r="Z946" s="242"/>
    </row>
    <row r="947" spans="1:26">
      <c r="A947" s="242"/>
      <c r="B947" s="242"/>
      <c r="C947" s="635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  <c r="Z947" s="242"/>
    </row>
    <row r="948" spans="1:26">
      <c r="A948" s="242"/>
      <c r="B948" s="242"/>
      <c r="C948" s="635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</row>
    <row r="949" spans="1:26">
      <c r="A949" s="242"/>
      <c r="B949" s="242"/>
      <c r="C949" s="635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  <c r="Z949" s="242"/>
    </row>
    <row r="950" spans="1:26">
      <c r="A950" s="242"/>
      <c r="B950" s="242"/>
      <c r="C950" s="635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</row>
    <row r="951" spans="1:26">
      <c r="A951" s="242"/>
      <c r="B951" s="242"/>
      <c r="C951" s="635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</row>
    <row r="952" spans="1:26">
      <c r="A952" s="242"/>
      <c r="B952" s="242"/>
      <c r="C952" s="635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</row>
    <row r="953" spans="1:26">
      <c r="A953" s="242"/>
      <c r="B953" s="242"/>
      <c r="C953" s="635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</row>
    <row r="954" spans="1:26">
      <c r="A954" s="242"/>
      <c r="B954" s="242"/>
      <c r="C954" s="635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  <c r="Z954" s="242"/>
    </row>
    <row r="955" spans="1:26">
      <c r="A955" s="242"/>
      <c r="B955" s="242"/>
      <c r="C955" s="635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  <c r="Z955" s="242"/>
    </row>
    <row r="956" spans="1:26">
      <c r="A956" s="242"/>
      <c r="B956" s="242"/>
      <c r="C956" s="635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  <c r="Z956" s="242"/>
    </row>
    <row r="957" spans="1:26">
      <c r="A957" s="242"/>
      <c r="B957" s="242"/>
      <c r="C957" s="635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  <c r="Z957" s="242"/>
    </row>
    <row r="958" spans="1:26">
      <c r="A958" s="242"/>
      <c r="B958" s="242"/>
      <c r="C958" s="635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  <c r="Z958" s="242"/>
    </row>
    <row r="959" spans="1:26">
      <c r="A959" s="242"/>
      <c r="B959" s="242"/>
      <c r="C959" s="635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  <c r="Z959" s="242"/>
    </row>
    <row r="960" spans="1:26">
      <c r="A960" s="242"/>
      <c r="B960" s="242"/>
      <c r="C960" s="635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  <c r="Z960" s="242"/>
    </row>
    <row r="961" spans="1:26">
      <c r="A961" s="242"/>
      <c r="B961" s="242"/>
      <c r="C961" s="635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  <c r="Z961" s="242"/>
    </row>
    <row r="962" spans="1:26">
      <c r="A962" s="242"/>
      <c r="B962" s="242"/>
      <c r="C962" s="635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  <c r="Z962" s="242"/>
    </row>
    <row r="963" spans="1:26">
      <c r="A963" s="242"/>
      <c r="B963" s="242"/>
      <c r="C963" s="635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  <c r="Z963" s="242"/>
    </row>
    <row r="964" spans="1:26">
      <c r="A964" s="242"/>
      <c r="B964" s="242"/>
      <c r="C964" s="635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  <c r="Z964" s="242"/>
    </row>
    <row r="965" spans="1:26">
      <c r="A965" s="242"/>
      <c r="B965" s="242"/>
      <c r="C965" s="635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  <c r="Z965" s="242"/>
    </row>
    <row r="966" spans="1:26">
      <c r="A966" s="242"/>
      <c r="B966" s="242"/>
      <c r="C966" s="635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  <c r="Z966" s="242"/>
    </row>
    <row r="967" spans="1:26">
      <c r="A967" s="242"/>
      <c r="B967" s="242"/>
      <c r="C967" s="635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  <c r="Z967" s="242"/>
    </row>
    <row r="968" spans="1:26">
      <c r="A968" s="242"/>
      <c r="B968" s="242"/>
      <c r="C968" s="635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  <c r="Z968" s="242"/>
    </row>
    <row r="969" spans="1:26">
      <c r="A969" s="242"/>
      <c r="B969" s="242"/>
      <c r="C969" s="635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  <c r="Z969" s="242"/>
    </row>
    <row r="970" spans="1:26">
      <c r="A970" s="242"/>
      <c r="B970" s="242"/>
      <c r="C970" s="635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  <c r="Z970" s="242"/>
    </row>
    <row r="971" spans="1:26">
      <c r="A971" s="242"/>
      <c r="B971" s="242"/>
      <c r="C971" s="635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  <c r="Z971" s="242"/>
    </row>
    <row r="972" spans="1:26">
      <c r="A972" s="242"/>
      <c r="B972" s="242"/>
      <c r="C972" s="635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  <c r="Z972" s="242"/>
    </row>
    <row r="973" spans="1:26">
      <c r="A973" s="242"/>
      <c r="B973" s="242"/>
      <c r="C973" s="635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  <c r="Z973" s="242"/>
    </row>
    <row r="974" spans="1:26">
      <c r="A974" s="242"/>
      <c r="B974" s="242"/>
      <c r="C974" s="635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  <c r="Z974" s="242"/>
    </row>
    <row r="975" spans="1:26">
      <c r="A975" s="242"/>
      <c r="B975" s="242"/>
      <c r="C975" s="635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  <c r="Z975" s="242"/>
    </row>
    <row r="976" spans="1:26">
      <c r="A976" s="242"/>
      <c r="B976" s="242"/>
      <c r="C976" s="635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  <c r="Z976" s="242"/>
    </row>
    <row r="977" spans="1:26">
      <c r="A977" s="242"/>
      <c r="B977" s="242"/>
      <c r="C977" s="635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  <c r="Z977" s="242"/>
    </row>
    <row r="978" spans="1:26">
      <c r="A978" s="242"/>
      <c r="B978" s="242"/>
      <c r="C978" s="635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  <c r="Z978" s="242"/>
    </row>
    <row r="979" spans="1:26">
      <c r="A979" s="242"/>
      <c r="B979" s="242"/>
      <c r="C979" s="635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  <c r="Z979" s="242"/>
    </row>
    <row r="980" spans="1:26">
      <c r="A980" s="242"/>
      <c r="B980" s="242"/>
      <c r="C980" s="635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  <c r="Z980" s="242"/>
    </row>
    <row r="981" spans="1:26">
      <c r="A981" s="242"/>
      <c r="B981" s="242"/>
      <c r="C981" s="635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  <c r="Z981" s="242"/>
    </row>
    <row r="982" spans="1:26">
      <c r="A982" s="242"/>
      <c r="B982" s="242"/>
      <c r="C982" s="635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  <c r="Z982" s="242"/>
    </row>
    <row r="983" spans="1:26">
      <c r="A983" s="242"/>
      <c r="B983" s="242"/>
      <c r="C983" s="635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  <c r="Z983" s="242"/>
    </row>
    <row r="984" spans="1:26">
      <c r="A984" s="242"/>
      <c r="B984" s="242"/>
      <c r="C984" s="635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</row>
    <row r="985" spans="1:26">
      <c r="A985" s="242"/>
      <c r="B985" s="242"/>
      <c r="C985" s="635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  <c r="Z985" s="242"/>
    </row>
    <row r="986" spans="1:26">
      <c r="A986" s="242"/>
      <c r="B986" s="242"/>
      <c r="C986" s="635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  <c r="Z986" s="242"/>
    </row>
    <row r="987" spans="1:26">
      <c r="A987" s="242"/>
      <c r="B987" s="242"/>
      <c r="C987" s="635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  <c r="Z987" s="242"/>
    </row>
    <row r="988" spans="1:26">
      <c r="A988" s="242"/>
      <c r="B988" s="242"/>
      <c r="C988" s="635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  <c r="Z988" s="242"/>
    </row>
    <row r="989" spans="1:26">
      <c r="A989" s="242"/>
      <c r="B989" s="242"/>
      <c r="C989" s="635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  <c r="Z989" s="242"/>
    </row>
    <row r="990" spans="1:26">
      <c r="A990" s="242"/>
      <c r="B990" s="242"/>
      <c r="C990" s="635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  <c r="Z990" s="242"/>
    </row>
    <row r="991" spans="1:26">
      <c r="A991" s="242"/>
      <c r="B991" s="242"/>
      <c r="C991" s="635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  <c r="Z991" s="242"/>
    </row>
    <row r="992" spans="1:26">
      <c r="A992" s="242"/>
      <c r="B992" s="242"/>
      <c r="C992" s="635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  <c r="Z992" s="242"/>
    </row>
    <row r="993" spans="1:26">
      <c r="A993" s="242"/>
      <c r="B993" s="242"/>
      <c r="C993" s="635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  <c r="Z993" s="242"/>
    </row>
    <row r="994" spans="1:26">
      <c r="A994" s="242"/>
      <c r="B994" s="242"/>
      <c r="C994" s="635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  <c r="Z994" s="242"/>
    </row>
    <row r="995" spans="1:26">
      <c r="A995" s="242"/>
      <c r="B995" s="242"/>
      <c r="C995" s="635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  <c r="Z995" s="242"/>
    </row>
    <row r="996" spans="1:26">
      <c r="A996" s="242"/>
      <c r="B996" s="242"/>
      <c r="C996" s="635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  <c r="Z996" s="242"/>
    </row>
    <row r="997" spans="1:26">
      <c r="A997" s="242"/>
      <c r="B997" s="242"/>
      <c r="C997" s="635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  <c r="Z997" s="242"/>
    </row>
    <row r="998" spans="1:26">
      <c r="A998" s="242"/>
      <c r="B998" s="242"/>
      <c r="C998" s="635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  <c r="Z998" s="242"/>
    </row>
    <row r="999" spans="1:26">
      <c r="A999" s="242"/>
      <c r="B999" s="242"/>
      <c r="C999" s="635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  <c r="Z999" s="242"/>
    </row>
    <row r="1000" spans="1:26">
      <c r="A1000" s="242"/>
      <c r="B1000" s="242"/>
      <c r="C1000" s="635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  <c r="Z1000" s="242"/>
    </row>
    <row r="1001" spans="1:26">
      <c r="A1001" s="242"/>
      <c r="B1001" s="242"/>
      <c r="C1001" s="635"/>
      <c r="D1001" s="242"/>
      <c r="E1001" s="242"/>
      <c r="F1001" s="242"/>
      <c r="G1001" s="242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2"/>
      <c r="V1001" s="242"/>
      <c r="W1001" s="242"/>
      <c r="X1001" s="242"/>
      <c r="Y1001" s="242"/>
      <c r="Z1001" s="242"/>
    </row>
    <row r="1002" spans="1:26">
      <c r="A1002" s="242"/>
      <c r="B1002" s="242"/>
      <c r="C1002" s="635"/>
      <c r="D1002" s="242"/>
      <c r="E1002" s="242"/>
      <c r="F1002" s="242"/>
      <c r="G1002" s="242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2"/>
      <c r="V1002" s="242"/>
      <c r="W1002" s="242"/>
      <c r="X1002" s="242"/>
      <c r="Y1002" s="242"/>
      <c r="Z1002" s="242"/>
    </row>
    <row r="1003" spans="1:26">
      <c r="A1003" s="242"/>
      <c r="B1003" s="242"/>
      <c r="C1003" s="635"/>
      <c r="D1003" s="242"/>
      <c r="E1003" s="242"/>
      <c r="F1003" s="242"/>
      <c r="G1003" s="242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2"/>
      <c r="V1003" s="242"/>
      <c r="W1003" s="242"/>
      <c r="X1003" s="242"/>
      <c r="Y1003" s="242"/>
      <c r="Z1003" s="242"/>
    </row>
    <row r="1004" spans="1:26">
      <c r="A1004" s="242"/>
      <c r="B1004" s="242"/>
      <c r="C1004" s="635"/>
      <c r="D1004" s="242"/>
      <c r="E1004" s="242"/>
      <c r="F1004" s="242"/>
      <c r="G1004" s="242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2"/>
      <c r="V1004" s="242"/>
      <c r="W1004" s="242"/>
      <c r="X1004" s="242"/>
      <c r="Y1004" s="242"/>
      <c r="Z1004" s="242"/>
    </row>
    <row r="1005" spans="1:26">
      <c r="A1005" s="242"/>
      <c r="B1005" s="242"/>
      <c r="C1005" s="635"/>
      <c r="D1005" s="242"/>
      <c r="E1005" s="242"/>
      <c r="F1005" s="242"/>
      <c r="G1005" s="242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2"/>
      <c r="V1005" s="242"/>
      <c r="W1005" s="242"/>
      <c r="X1005" s="242"/>
      <c r="Y1005" s="242"/>
      <c r="Z1005" s="242"/>
    </row>
    <row r="1006" spans="1:26">
      <c r="A1006" s="242"/>
      <c r="B1006" s="242"/>
      <c r="C1006" s="635"/>
      <c r="D1006" s="242"/>
      <c r="E1006" s="242"/>
      <c r="F1006" s="242"/>
      <c r="G1006" s="242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2"/>
      <c r="V1006" s="242"/>
      <c r="W1006" s="242"/>
      <c r="X1006" s="242"/>
      <c r="Y1006" s="242"/>
      <c r="Z1006" s="242"/>
    </row>
    <row r="1007" spans="1:26">
      <c r="A1007" s="242"/>
      <c r="B1007" s="242"/>
      <c r="C1007" s="635"/>
      <c r="D1007" s="242"/>
      <c r="E1007" s="242"/>
      <c r="F1007" s="242"/>
      <c r="G1007" s="242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2"/>
      <c r="V1007" s="242"/>
      <c r="W1007" s="242"/>
      <c r="X1007" s="242"/>
      <c r="Y1007" s="242"/>
      <c r="Z1007" s="242"/>
    </row>
    <row r="1008" spans="1:26">
      <c r="A1008" s="242"/>
      <c r="B1008" s="242"/>
      <c r="C1008" s="635"/>
      <c r="D1008" s="242"/>
      <c r="E1008" s="242"/>
      <c r="F1008" s="242"/>
      <c r="G1008" s="242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2"/>
      <c r="V1008" s="242"/>
      <c r="W1008" s="242"/>
      <c r="X1008" s="242"/>
      <c r="Y1008" s="242"/>
      <c r="Z1008" s="242"/>
    </row>
    <row r="1009" spans="1:26">
      <c r="A1009" s="242"/>
      <c r="B1009" s="242"/>
      <c r="C1009" s="635"/>
      <c r="D1009" s="242"/>
      <c r="E1009" s="242"/>
      <c r="F1009" s="242"/>
      <c r="G1009" s="242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2"/>
      <c r="V1009" s="242"/>
      <c r="W1009" s="242"/>
      <c r="X1009" s="242"/>
      <c r="Y1009" s="242"/>
      <c r="Z1009" s="242"/>
    </row>
    <row r="1010" spans="1:26">
      <c r="A1010" s="242"/>
      <c r="B1010" s="242"/>
      <c r="C1010" s="635"/>
      <c r="D1010" s="242"/>
      <c r="E1010" s="242"/>
      <c r="F1010" s="242"/>
      <c r="G1010" s="242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2"/>
      <c r="V1010" s="242"/>
      <c r="W1010" s="242"/>
      <c r="X1010" s="242"/>
      <c r="Y1010" s="242"/>
      <c r="Z1010" s="242"/>
    </row>
    <row r="1011" spans="1:26">
      <c r="A1011" s="242"/>
      <c r="B1011" s="242"/>
      <c r="C1011" s="635"/>
      <c r="D1011" s="242"/>
      <c r="E1011" s="242"/>
      <c r="F1011" s="242"/>
      <c r="G1011" s="242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2"/>
      <c r="V1011" s="242"/>
      <c r="W1011" s="242"/>
      <c r="X1011" s="242"/>
      <c r="Y1011" s="242"/>
      <c r="Z1011" s="242"/>
    </row>
  </sheetData>
  <sheetCalcPr fullCalcOnLoad="1"/>
  <sheetProtection password="CA9F" sheet="1"/>
  <mergeCells count="5">
    <mergeCell ref="F6:G6"/>
    <mergeCell ref="E1:G2"/>
    <mergeCell ref="A3:G3"/>
    <mergeCell ref="A5:D5"/>
    <mergeCell ref="E5:G5"/>
  </mergeCells>
  <dataValidations count="1">
    <dataValidation type="decimal" allowBlank="1" showInputMessage="1" showErrorMessage="1" sqref="E9:G30">
      <formula1>0</formula1>
      <formula2>1E+38</formula2>
    </dataValidation>
  </dataValidations>
  <pageMargins left="0.7" right="0.7" top="0.37" bottom="0.28000000000000003" header="0.3" footer="0.3"/>
  <pageSetup scale="9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1877"/>
  <sheetViews>
    <sheetView tabSelected="1" workbookViewId="0">
      <selection activeCell="B40" sqref="B40"/>
    </sheetView>
  </sheetViews>
  <sheetFormatPr defaultColWidth="9.1796875" defaultRowHeight="13"/>
  <cols>
    <col min="1" max="1" width="5.26953125" style="1" customWidth="1"/>
    <col min="2" max="2" width="61.26953125" style="2" customWidth="1"/>
    <col min="3" max="3" width="8.1796875" style="21" customWidth="1"/>
    <col min="4" max="5" width="18.1796875" style="4" customWidth="1"/>
    <col min="6" max="7" width="9.1796875" style="3"/>
    <col min="8" max="16384" width="9.1796875" style="4"/>
  </cols>
  <sheetData>
    <row r="1" spans="1:24" ht="27" customHeight="1">
      <c r="C1" s="1044"/>
      <c r="D1" s="1044"/>
      <c r="E1" s="1044"/>
    </row>
    <row r="2" spans="1:24">
      <c r="C2" s="1044"/>
      <c r="D2" s="1044"/>
      <c r="E2" s="1044"/>
    </row>
    <row r="3" spans="1:24">
      <c r="C3" s="23"/>
      <c r="D3" s="23"/>
      <c r="E3" s="23"/>
    </row>
    <row r="4" spans="1:24" ht="15" customHeight="1">
      <c r="A4" s="1045" t="s">
        <v>0</v>
      </c>
      <c r="B4" s="1045"/>
      <c r="C4" s="1045"/>
      <c r="D4" s="1045"/>
      <c r="E4" s="1045"/>
    </row>
    <row r="5" spans="1:24">
      <c r="A5" s="5"/>
      <c r="B5" s="22"/>
      <c r="C5" s="7"/>
      <c r="D5" s="6"/>
      <c r="E5" s="6"/>
    </row>
    <row r="6" spans="1:24" s="10" customFormat="1" ht="12.75" customHeight="1">
      <c r="A6" s="1046" t="str">
        <f>+i.04108!A7</f>
        <v>Даатгагчийн нэр:</v>
      </c>
      <c r="B6" s="1046"/>
      <c r="C6" s="263"/>
      <c r="D6" s="1042" t="str">
        <f>+i.04108!F7</f>
        <v>..... оны .... сарын ...-ны өдөр</v>
      </c>
      <c r="E6" s="104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s="10" customFormat="1" ht="12.75" customHeight="1">
      <c r="A7" s="11"/>
      <c r="B7" s="63"/>
      <c r="C7" s="8"/>
      <c r="E7" s="12" t="s">
        <v>1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26">
      <c r="A8" s="842" t="s">
        <v>2</v>
      </c>
      <c r="B8" s="843" t="s">
        <v>3</v>
      </c>
      <c r="C8" s="844" t="s">
        <v>4</v>
      </c>
      <c r="D8" s="845" t="str">
        <f>+i.04101a!C7</f>
        <v>... оны ..-р сарын ..</v>
      </c>
      <c r="E8" s="845" t="str">
        <f>+i.04101a!D7</f>
        <v>... оны ..-р сарын ..</v>
      </c>
    </row>
    <row r="9" spans="1:24">
      <c r="A9" s="93" t="s">
        <v>6</v>
      </c>
      <c r="B9" s="846" t="s">
        <v>7</v>
      </c>
      <c r="C9" s="52" t="s">
        <v>8</v>
      </c>
      <c r="D9" s="846">
        <v>1</v>
      </c>
      <c r="E9" s="846">
        <v>2</v>
      </c>
    </row>
    <row r="10" spans="1:24" s="16" customFormat="1">
      <c r="A10" s="53">
        <v>1</v>
      </c>
      <c r="B10" s="185" t="s">
        <v>10</v>
      </c>
      <c r="C10" s="52">
        <v>1</v>
      </c>
      <c r="D10" s="54"/>
      <c r="E10" s="54"/>
      <c r="F10" s="15"/>
      <c r="G10" s="15"/>
    </row>
    <row r="11" spans="1:24" s="16" customFormat="1">
      <c r="A11" s="55" t="s">
        <v>11</v>
      </c>
      <c r="B11" s="105" t="s">
        <v>12</v>
      </c>
      <c r="C11" s="52">
        <f>+C10+1</f>
        <v>2</v>
      </c>
      <c r="D11" s="54"/>
      <c r="E11" s="54"/>
      <c r="F11" s="15"/>
      <c r="G11" s="15"/>
    </row>
    <row r="12" spans="1:24">
      <c r="A12" s="13" t="s">
        <v>13</v>
      </c>
      <c r="B12" s="186" t="s">
        <v>14</v>
      </c>
      <c r="C12" s="14">
        <v>3</v>
      </c>
      <c r="D12" s="839">
        <f>+i.04101a!C9+i.04101a!C10+i.04101a!C11</f>
        <v>0</v>
      </c>
      <c r="E12" s="839">
        <f>+i.04101a!D9+i.04101a!D10+i.04101a!D11</f>
        <v>0</v>
      </c>
    </row>
    <row r="13" spans="1:24">
      <c r="A13" s="13" t="s">
        <v>15</v>
      </c>
      <c r="B13" s="186" t="s">
        <v>16</v>
      </c>
      <c r="C13" s="14">
        <f>+C12+1</f>
        <v>4</v>
      </c>
      <c r="D13" s="839">
        <f>+i.04101a!C12+i.04101a!C13+i.04101a!C14</f>
        <v>0</v>
      </c>
      <c r="E13" s="839">
        <f>+i.04101a!D12+i.04101a!D13+i.04101a!D14</f>
        <v>0</v>
      </c>
    </row>
    <row r="14" spans="1:24">
      <c r="A14" s="13" t="s">
        <v>17</v>
      </c>
      <c r="B14" s="186" t="s">
        <v>18</v>
      </c>
      <c r="C14" s="14">
        <v>5</v>
      </c>
      <c r="D14" s="839">
        <f>+i.04101a!C15+i.04101a!C16+i.04101a!C17+i.04101a!C18+i.04101a!C19+i.04101a!C20+i.04101a!C21+i.04101a!C22+i.04101a!C23+i.04101a!C24</f>
        <v>0</v>
      </c>
      <c r="E14" s="839">
        <f>+i.04101a!D15+i.04101a!D16+i.04101a!D17+i.04101a!D18+i.04101a!D19+i.04101a!D20+i.04101a!D21+i.04101a!D22+i.04101a!D23+i.04101a!D24</f>
        <v>0</v>
      </c>
    </row>
    <row r="15" spans="1:24">
      <c r="A15" s="13" t="s">
        <v>19</v>
      </c>
      <c r="B15" s="186" t="s">
        <v>20</v>
      </c>
      <c r="C15" s="14">
        <f t="shared" ref="C15:C78" si="0">+C14+1</f>
        <v>6</v>
      </c>
      <c r="D15" s="839">
        <f>+i.04101a!C25+i.04101a!C26+i.04101a!C27+i.04101a!C28+i.04101a!C29</f>
        <v>0</v>
      </c>
      <c r="E15" s="839">
        <f>+i.04101a!D25+i.04101a!D26+i.04101a!D27+i.04101a!D28+i.04101a!D29</f>
        <v>0</v>
      </c>
    </row>
    <row r="16" spans="1:24">
      <c r="A16" s="55" t="s">
        <v>21</v>
      </c>
      <c r="B16" s="187" t="s">
        <v>22</v>
      </c>
      <c r="C16" s="52">
        <f t="shared" si="0"/>
        <v>7</v>
      </c>
      <c r="D16" s="56">
        <f>SUM(D12:D15)</f>
        <v>0</v>
      </c>
      <c r="E16" s="56">
        <f>SUM(E12:E15)</f>
        <v>0</v>
      </c>
    </row>
    <row r="17" spans="1:5">
      <c r="A17" s="55" t="s">
        <v>23</v>
      </c>
      <c r="B17" s="187" t="s">
        <v>24</v>
      </c>
      <c r="C17" s="52">
        <f t="shared" si="0"/>
        <v>8</v>
      </c>
      <c r="D17" s="54"/>
      <c r="E17" s="54"/>
    </row>
    <row r="18" spans="1:5">
      <c r="A18" s="13" t="s">
        <v>25</v>
      </c>
      <c r="B18" s="188" t="s">
        <v>26</v>
      </c>
      <c r="C18" s="14">
        <f t="shared" si="0"/>
        <v>9</v>
      </c>
      <c r="D18" s="839">
        <f>+i.04101a!C30-i.04101a!C31</f>
        <v>0</v>
      </c>
      <c r="E18" s="839">
        <f>+i.04101a!D30-i.04101a!D31</f>
        <v>0</v>
      </c>
    </row>
    <row r="19" spans="1:5">
      <c r="A19" s="13" t="s">
        <v>27</v>
      </c>
      <c r="B19" s="188" t="s">
        <v>28</v>
      </c>
      <c r="C19" s="14">
        <f t="shared" si="0"/>
        <v>10</v>
      </c>
      <c r="D19" s="839">
        <f>+i.04101a!C32-i.04101a!C33</f>
        <v>0</v>
      </c>
      <c r="E19" s="839">
        <f>+i.04101a!D32-i.04101a!D33</f>
        <v>0</v>
      </c>
    </row>
    <row r="20" spans="1:5">
      <c r="A20" s="13" t="s">
        <v>29</v>
      </c>
      <c r="B20" s="188" t="s">
        <v>30</v>
      </c>
      <c r="C20" s="14">
        <f t="shared" si="0"/>
        <v>11</v>
      </c>
      <c r="D20" s="839">
        <f>+i.04101a!C34-i.04101a!C35+i.04101a!C36-i.04101a!C37+i.04101a!C38-i.04101a!C39</f>
        <v>0</v>
      </c>
      <c r="E20" s="839">
        <f>+i.04101a!D34-i.04101a!D35+i.04101a!D36-i.04101a!D37+i.04101a!D38-i.04101a!D39</f>
        <v>0</v>
      </c>
    </row>
    <row r="21" spans="1:5">
      <c r="A21" s="55" t="s">
        <v>31</v>
      </c>
      <c r="B21" s="189" t="s">
        <v>32</v>
      </c>
      <c r="C21" s="52">
        <f t="shared" si="0"/>
        <v>12</v>
      </c>
      <c r="D21" s="56">
        <f>SUM(D18:D20)</f>
        <v>0</v>
      </c>
      <c r="E21" s="56">
        <f>SUM(E18:E20)</f>
        <v>0</v>
      </c>
    </row>
    <row r="22" spans="1:5">
      <c r="A22" s="55" t="s">
        <v>33</v>
      </c>
      <c r="B22" s="187" t="s">
        <v>34</v>
      </c>
      <c r="C22" s="52">
        <f t="shared" si="0"/>
        <v>13</v>
      </c>
      <c r="D22" s="56"/>
      <c r="E22" s="56"/>
    </row>
    <row r="23" spans="1:5">
      <c r="A23" s="13" t="s">
        <v>35</v>
      </c>
      <c r="B23" s="188" t="s">
        <v>36</v>
      </c>
      <c r="C23" s="14">
        <f t="shared" si="0"/>
        <v>14</v>
      </c>
      <c r="D23" s="839">
        <f>+i.04101a!C40-i.04101a!C41+i.04101a!C111</f>
        <v>0</v>
      </c>
      <c r="E23" s="839">
        <f>+i.04101a!D40-i.04101a!D41+i.04101a!D111</f>
        <v>0</v>
      </c>
    </row>
    <row r="24" spans="1:5">
      <c r="A24" s="55" t="s">
        <v>37</v>
      </c>
      <c r="B24" s="189" t="s">
        <v>38</v>
      </c>
      <c r="C24" s="52">
        <f t="shared" si="0"/>
        <v>15</v>
      </c>
      <c r="D24" s="56">
        <f>D23</f>
        <v>0</v>
      </c>
      <c r="E24" s="56">
        <f>E23</f>
        <v>0</v>
      </c>
    </row>
    <row r="25" spans="1:5">
      <c r="A25" s="55" t="s">
        <v>39</v>
      </c>
      <c r="B25" s="187" t="s">
        <v>40</v>
      </c>
      <c r="C25" s="52">
        <f t="shared" si="0"/>
        <v>16</v>
      </c>
      <c r="D25" s="56"/>
      <c r="E25" s="56"/>
    </row>
    <row r="26" spans="1:5">
      <c r="A26" s="13" t="s">
        <v>41</v>
      </c>
      <c r="B26" s="188" t="s">
        <v>42</v>
      </c>
      <c r="C26" s="14">
        <f t="shared" si="0"/>
        <v>17</v>
      </c>
      <c r="D26" s="839">
        <f>+i.04101a!C43+i.04101a!C42-i.04101a!C155</f>
        <v>0</v>
      </c>
      <c r="E26" s="839">
        <f>+i.04101a!D43+i.04101a!D42-i.04101a!D155</f>
        <v>0</v>
      </c>
    </row>
    <row r="27" spans="1:5">
      <c r="A27" s="13" t="s">
        <v>43</v>
      </c>
      <c r="B27" s="188" t="s">
        <v>44</v>
      </c>
      <c r="C27" s="14">
        <f t="shared" si="0"/>
        <v>18</v>
      </c>
      <c r="D27" s="839">
        <f>i.04101a!C155</f>
        <v>0</v>
      </c>
      <c r="E27" s="839">
        <f>i.04101a!D155</f>
        <v>0</v>
      </c>
    </row>
    <row r="28" spans="1:5">
      <c r="A28" s="13" t="s">
        <v>45</v>
      </c>
      <c r="B28" s="190" t="s">
        <v>46</v>
      </c>
      <c r="C28" s="14">
        <f t="shared" si="0"/>
        <v>19</v>
      </c>
      <c r="D28" s="839">
        <f>+i.04101a!C44</f>
        <v>0</v>
      </c>
      <c r="E28" s="839">
        <f>+i.04101a!D44</f>
        <v>0</v>
      </c>
    </row>
    <row r="29" spans="1:5">
      <c r="A29" s="13" t="s">
        <v>47</v>
      </c>
      <c r="B29" s="190" t="s">
        <v>48</v>
      </c>
      <c r="C29" s="14">
        <f t="shared" si="0"/>
        <v>20</v>
      </c>
      <c r="D29" s="839">
        <f>+i.04101a!C66+i.04101a!C67+i.04101a!C68+i.04101a!C69+i.04101a!C70</f>
        <v>0</v>
      </c>
      <c r="E29" s="839">
        <f>+i.04101a!D66+i.04101a!D67+i.04101a!D68+i.04101a!D69+i.04101a!D70</f>
        <v>0</v>
      </c>
    </row>
    <row r="30" spans="1:5">
      <c r="A30" s="13" t="s">
        <v>49</v>
      </c>
      <c r="B30" s="190" t="s">
        <v>50</v>
      </c>
      <c r="C30" s="14">
        <f t="shared" si="0"/>
        <v>21</v>
      </c>
      <c r="D30" s="839">
        <f>+i.04101a!C71+i.04101a!C72</f>
        <v>0</v>
      </c>
      <c r="E30" s="839">
        <f>+i.04101a!D71+i.04101a!D72</f>
        <v>0</v>
      </c>
    </row>
    <row r="31" spans="1:5">
      <c r="A31" s="13" t="s">
        <v>51</v>
      </c>
      <c r="B31" s="190" t="s">
        <v>52</v>
      </c>
      <c r="C31" s="14">
        <f t="shared" si="0"/>
        <v>22</v>
      </c>
      <c r="D31" s="839">
        <f>+i.04101a!C73-i.04101a!C74</f>
        <v>0</v>
      </c>
      <c r="E31" s="839">
        <f>+i.04101a!D73-i.04101a!D74</f>
        <v>0</v>
      </c>
    </row>
    <row r="32" spans="1:5">
      <c r="A32" s="55" t="s">
        <v>53</v>
      </c>
      <c r="B32" s="191" t="s">
        <v>54</v>
      </c>
      <c r="C32" s="52">
        <f t="shared" si="0"/>
        <v>23</v>
      </c>
      <c r="D32" s="56">
        <f>SUM(D26:D31)</f>
        <v>0</v>
      </c>
      <c r="E32" s="56">
        <f>SUM(E26:E31)</f>
        <v>0</v>
      </c>
    </row>
    <row r="33" spans="1:7">
      <c r="A33" s="55" t="s">
        <v>55</v>
      </c>
      <c r="B33" s="191" t="s">
        <v>56</v>
      </c>
      <c r="C33" s="52">
        <f t="shared" si="0"/>
        <v>24</v>
      </c>
      <c r="D33" s="54"/>
      <c r="E33" s="54"/>
    </row>
    <row r="34" spans="1:7">
      <c r="A34" s="13" t="s">
        <v>57</v>
      </c>
      <c r="B34" s="192" t="s">
        <v>58</v>
      </c>
      <c r="C34" s="14">
        <f t="shared" si="0"/>
        <v>25</v>
      </c>
      <c r="D34" s="839">
        <f>+SUM(i.04101a!C45:C51)</f>
        <v>0</v>
      </c>
      <c r="E34" s="839">
        <f>+SUM(i.04101a!D45:D51)</f>
        <v>0</v>
      </c>
    </row>
    <row r="35" spans="1:7">
      <c r="A35" s="13" t="s">
        <v>59</v>
      </c>
      <c r="B35" s="193" t="s">
        <v>60</v>
      </c>
      <c r="C35" s="14">
        <f t="shared" si="0"/>
        <v>26</v>
      </c>
      <c r="D35" s="839">
        <f>+i.04101a!C52+i.04101a!C53+i.04101a!C54+i.04101a!C55+i.04101a!C56-i.04101a!C57+i.04101a!C58-i.04101a!C59</f>
        <v>0</v>
      </c>
      <c r="E35" s="839">
        <f>+i.04101a!D52+i.04101a!D53+i.04101a!D54+i.04101a!D55+i.04101a!D56-i.04101a!D57+i.04101a!D58-i.04101a!D59</f>
        <v>0</v>
      </c>
    </row>
    <row r="36" spans="1:7">
      <c r="A36" s="13" t="s">
        <v>61</v>
      </c>
      <c r="B36" s="193" t="s">
        <v>62</v>
      </c>
      <c r="C36" s="14">
        <f t="shared" si="0"/>
        <v>27</v>
      </c>
      <c r="D36" s="839">
        <f>+i.04101a!C60+i.04101a!C61+i.04101a!C62-i.04101a!C63</f>
        <v>0</v>
      </c>
      <c r="E36" s="839">
        <f>+i.04101a!D60+i.04101a!D61+i.04101a!D62-i.04101a!D63</f>
        <v>0</v>
      </c>
    </row>
    <row r="37" spans="1:7">
      <c r="A37" s="13" t="s">
        <v>63</v>
      </c>
      <c r="B37" s="193" t="s">
        <v>64</v>
      </c>
      <c r="C37" s="14">
        <f t="shared" si="0"/>
        <v>28</v>
      </c>
      <c r="D37" s="839">
        <f>+i.04101a!C64+i.04101a!C65</f>
        <v>0</v>
      </c>
      <c r="E37" s="839">
        <f>+i.04101a!D64+i.04101a!D65</f>
        <v>0</v>
      </c>
    </row>
    <row r="38" spans="1:7">
      <c r="A38" s="55" t="s">
        <v>65</v>
      </c>
      <c r="B38" s="194" t="s">
        <v>66</v>
      </c>
      <c r="C38" s="52">
        <f t="shared" si="0"/>
        <v>29</v>
      </c>
      <c r="D38" s="56">
        <f>SUM(D34:D37)</f>
        <v>0</v>
      </c>
      <c r="E38" s="56">
        <f>SUM(E34:E37)</f>
        <v>0</v>
      </c>
    </row>
    <row r="39" spans="1:7">
      <c r="A39" s="55" t="s">
        <v>67</v>
      </c>
      <c r="B39" s="191" t="s">
        <v>68</v>
      </c>
      <c r="C39" s="52">
        <f t="shared" si="0"/>
        <v>30</v>
      </c>
      <c r="D39" s="56"/>
      <c r="E39" s="56"/>
    </row>
    <row r="40" spans="1:7">
      <c r="A40" s="13" t="s">
        <v>69</v>
      </c>
      <c r="B40" s="195" t="s">
        <v>70</v>
      </c>
      <c r="C40" s="14">
        <f t="shared" si="0"/>
        <v>31</v>
      </c>
      <c r="D40" s="839">
        <f>i.04101a!C75</f>
        <v>0</v>
      </c>
      <c r="E40" s="839">
        <f>i.04101a!D75</f>
        <v>0</v>
      </c>
    </row>
    <row r="41" spans="1:7">
      <c r="A41" s="13" t="s">
        <v>71</v>
      </c>
      <c r="B41" s="196" t="s">
        <v>72</v>
      </c>
      <c r="C41" s="14">
        <f t="shared" si="0"/>
        <v>32</v>
      </c>
      <c r="D41" s="839">
        <f>+i.04101a!C76+i.04101a!C77</f>
        <v>0</v>
      </c>
      <c r="E41" s="839">
        <f>+i.04101a!D76+i.04101a!D77</f>
        <v>0</v>
      </c>
    </row>
    <row r="42" spans="1:7">
      <c r="A42" s="13" t="s">
        <v>73</v>
      </c>
      <c r="B42" s="190" t="s">
        <v>74</v>
      </c>
      <c r="C42" s="14">
        <f t="shared" si="0"/>
        <v>33</v>
      </c>
      <c r="D42" s="839">
        <f>+i.04101a!C78+i.04101a!C79</f>
        <v>0</v>
      </c>
      <c r="E42" s="839">
        <f>+i.04101a!D78+i.04101a!D79</f>
        <v>0</v>
      </c>
      <c r="F42" s="1016" t="str">
        <f>IF(E42=(D42+i.04118a!K12+i.04118b!K12-i.04102!E24),"","Дош зөрүүтэй")</f>
        <v/>
      </c>
    </row>
    <row r="43" spans="1:7">
      <c r="A43" s="55" t="s">
        <v>75</v>
      </c>
      <c r="B43" s="191" t="s">
        <v>76</v>
      </c>
      <c r="C43" s="52">
        <f t="shared" si="0"/>
        <v>34</v>
      </c>
      <c r="D43" s="56">
        <f>SUM(D40:D42)</f>
        <v>0</v>
      </c>
      <c r="E43" s="56">
        <f>SUM(E40:E42)</f>
        <v>0</v>
      </c>
    </row>
    <row r="44" spans="1:7">
      <c r="A44" s="55" t="s">
        <v>77</v>
      </c>
      <c r="B44" s="191" t="s">
        <v>78</v>
      </c>
      <c r="C44" s="52">
        <f t="shared" si="0"/>
        <v>35</v>
      </c>
      <c r="D44" s="56">
        <f>+i.04101a!C81-i.04101a!C82+i.04101a!C83-i.04101a!C84+i.04101a!C85-i.04101a!C86+i.04101a!C87-i.04101a!C88+i.04101a!C89-i.04101a!C90+i.04101a!C91-i.04101a!C92+i.04101a!C93-i.04101a!C94+i.04101a!C95-i.04101a!C96+i.04101a!C97</f>
        <v>0</v>
      </c>
      <c r="E44" s="56">
        <f>+i.04101a!D81-i.04101a!D82+i.04101a!D83-i.04101a!D84+i.04101a!D85-i.04101a!D86+i.04101a!D87-i.04101a!D88+i.04101a!D89-i.04101a!D90+i.04101a!D91-i.04101a!D92+i.04101a!D93-i.04101a!D94+i.04101a!D95-i.04101a!D96+i.04101a!D97</f>
        <v>0</v>
      </c>
      <c r="F44" s="30"/>
      <c r="G44" s="17"/>
    </row>
    <row r="45" spans="1:7">
      <c r="A45" s="55" t="s">
        <v>79</v>
      </c>
      <c r="B45" s="191" t="s">
        <v>80</v>
      </c>
      <c r="C45" s="52">
        <f t="shared" si="0"/>
        <v>36</v>
      </c>
      <c r="D45" s="56">
        <f>+i.04101a!C98-i.04101a!C99+i.04101a!C100-i.04101a!C101+i.04101a!C102-i.04101a!C103+i.04101a!C104-i.04101a!C105+i.04101a!C106-i.04101a!C107+i.04101a!C108-i.04101a!C109</f>
        <v>0</v>
      </c>
      <c r="E45" s="56">
        <f>+i.04101a!D98-i.04101a!D99+i.04101a!D100-i.04101a!D101+i.04101a!D102-i.04101a!D103+i.04101a!D104-i.04101a!D105+i.04101a!D106-i.04101a!D107+i.04101a!D108-i.04101a!D109</f>
        <v>0</v>
      </c>
    </row>
    <row r="46" spans="1:7">
      <c r="A46" s="55" t="s">
        <v>81</v>
      </c>
      <c r="B46" s="191" t="s">
        <v>82</v>
      </c>
      <c r="C46" s="52">
        <f t="shared" si="0"/>
        <v>37</v>
      </c>
      <c r="D46" s="56">
        <f>+i.04101a!C110</f>
        <v>0</v>
      </c>
      <c r="E46" s="56">
        <f>+i.04101a!D110</f>
        <v>0</v>
      </c>
    </row>
    <row r="47" spans="1:7" s="16" customFormat="1" ht="13.5" thickBot="1">
      <c r="A47" s="55" t="s">
        <v>83</v>
      </c>
      <c r="B47" s="197" t="s">
        <v>84</v>
      </c>
      <c r="C47" s="91">
        <f t="shared" si="0"/>
        <v>38</v>
      </c>
      <c r="D47" s="92">
        <f>SUM(D16,D21,D24,D32,D38,D43,D44,D45,D46)</f>
        <v>0</v>
      </c>
      <c r="E47" s="92">
        <f>SUM(E16,E21,E24,E32,E38,E43,E44,E45,E46)</f>
        <v>0</v>
      </c>
      <c r="F47" s="15"/>
      <c r="G47" s="15"/>
    </row>
    <row r="48" spans="1:7">
      <c r="A48" s="93" t="s">
        <v>85</v>
      </c>
      <c r="B48" s="198" t="s">
        <v>86</v>
      </c>
      <c r="C48" s="94">
        <f t="shared" si="0"/>
        <v>39</v>
      </c>
      <c r="D48" s="95"/>
      <c r="E48" s="95"/>
    </row>
    <row r="49" spans="1:5">
      <c r="A49" s="93" t="s">
        <v>87</v>
      </c>
      <c r="B49" s="199" t="s">
        <v>88</v>
      </c>
      <c r="C49" s="52">
        <f t="shared" si="0"/>
        <v>40</v>
      </c>
      <c r="D49" s="56"/>
      <c r="E49" s="56"/>
    </row>
    <row r="50" spans="1:5">
      <c r="A50" s="93" t="s">
        <v>89</v>
      </c>
      <c r="B50" s="191" t="s">
        <v>90</v>
      </c>
      <c r="C50" s="52">
        <f t="shared" si="0"/>
        <v>41</v>
      </c>
      <c r="D50" s="56"/>
      <c r="E50" s="56"/>
    </row>
    <row r="51" spans="1:5">
      <c r="A51" s="13" t="s">
        <v>91</v>
      </c>
      <c r="B51" s="190" t="s">
        <v>92</v>
      </c>
      <c r="C51" s="14">
        <f t="shared" si="0"/>
        <v>42</v>
      </c>
      <c r="D51" s="839">
        <f>+i.04101a!C112</f>
        <v>0</v>
      </c>
      <c r="E51" s="839">
        <f>i.04101a!D112</f>
        <v>0</v>
      </c>
    </row>
    <row r="52" spans="1:5">
      <c r="A52" s="13" t="s">
        <v>93</v>
      </c>
      <c r="B52" s="190" t="s">
        <v>94</v>
      </c>
      <c r="C52" s="14">
        <f t="shared" si="0"/>
        <v>43</v>
      </c>
      <c r="D52" s="839">
        <f>+i.04101a!C113</f>
        <v>0</v>
      </c>
      <c r="E52" s="839">
        <f>+i.04101a!D113</f>
        <v>0</v>
      </c>
    </row>
    <row r="53" spans="1:5">
      <c r="A53" s="13" t="s">
        <v>95</v>
      </c>
      <c r="B53" s="190" t="s">
        <v>96</v>
      </c>
      <c r="C53" s="14">
        <f t="shared" si="0"/>
        <v>44</v>
      </c>
      <c r="D53" s="839">
        <f>+i.04101a!C114</f>
        <v>0</v>
      </c>
      <c r="E53" s="839">
        <f>+i.04101a!D114</f>
        <v>0</v>
      </c>
    </row>
    <row r="54" spans="1:5">
      <c r="A54" s="93" t="s">
        <v>97</v>
      </c>
      <c r="B54" s="191" t="s">
        <v>98</v>
      </c>
      <c r="C54" s="52">
        <f t="shared" si="0"/>
        <v>45</v>
      </c>
      <c r="D54" s="56">
        <f>SUM(D51:D53)</f>
        <v>0</v>
      </c>
      <c r="E54" s="56">
        <f>SUM(E51:E53)</f>
        <v>0</v>
      </c>
    </row>
    <row r="55" spans="1:5">
      <c r="A55" s="93" t="s">
        <v>99</v>
      </c>
      <c r="B55" s="191" t="s">
        <v>100</v>
      </c>
      <c r="C55" s="52">
        <f t="shared" si="0"/>
        <v>46</v>
      </c>
      <c r="D55" s="56"/>
      <c r="E55" s="56"/>
    </row>
    <row r="56" spans="1:5">
      <c r="A56" s="13" t="s">
        <v>101</v>
      </c>
      <c r="B56" s="190" t="s">
        <v>102</v>
      </c>
      <c r="C56" s="14">
        <f t="shared" si="0"/>
        <v>47</v>
      </c>
      <c r="D56" s="839">
        <f>+i.04101a!C115</f>
        <v>0</v>
      </c>
      <c r="E56" s="839">
        <f>+i.04101a!D115</f>
        <v>0</v>
      </c>
    </row>
    <row r="57" spans="1:5">
      <c r="A57" s="13" t="s">
        <v>103</v>
      </c>
      <c r="B57" s="190" t="s">
        <v>104</v>
      </c>
      <c r="C57" s="14">
        <f t="shared" si="0"/>
        <v>48</v>
      </c>
      <c r="D57" s="839">
        <f>+i.04101a!C116</f>
        <v>0</v>
      </c>
      <c r="E57" s="839">
        <f>+i.04101a!D116</f>
        <v>0</v>
      </c>
    </row>
    <row r="58" spans="1:5">
      <c r="A58" s="13" t="s">
        <v>105</v>
      </c>
      <c r="B58" s="190" t="s">
        <v>106</v>
      </c>
      <c r="C58" s="14">
        <f t="shared" si="0"/>
        <v>49</v>
      </c>
      <c r="D58" s="839">
        <f>+i.04101a!C117</f>
        <v>0</v>
      </c>
      <c r="E58" s="839">
        <f>+i.04101a!D117</f>
        <v>0</v>
      </c>
    </row>
    <row r="59" spans="1:5">
      <c r="A59" s="13" t="s">
        <v>107</v>
      </c>
      <c r="B59" s="190" t="s">
        <v>108</v>
      </c>
      <c r="C59" s="14">
        <f t="shared" si="0"/>
        <v>50</v>
      </c>
      <c r="D59" s="839">
        <f>+i.04101a!C118</f>
        <v>0</v>
      </c>
      <c r="E59" s="839">
        <f>+i.04101a!D118</f>
        <v>0</v>
      </c>
    </row>
    <row r="60" spans="1:5">
      <c r="A60" s="13" t="s">
        <v>109</v>
      </c>
      <c r="B60" s="190" t="s">
        <v>110</v>
      </c>
      <c r="C60" s="14">
        <f t="shared" si="0"/>
        <v>51</v>
      </c>
      <c r="D60" s="839">
        <f>+i.04101a!C119</f>
        <v>0</v>
      </c>
      <c r="E60" s="839">
        <f>+i.04101a!D119</f>
        <v>0</v>
      </c>
    </row>
    <row r="61" spans="1:5">
      <c r="A61" s="13" t="s">
        <v>111</v>
      </c>
      <c r="B61" s="190" t="s">
        <v>112</v>
      </c>
      <c r="C61" s="14">
        <f t="shared" si="0"/>
        <v>52</v>
      </c>
      <c r="D61" s="839">
        <f>+i.04101a!C120+i.04101a!C140</f>
        <v>0</v>
      </c>
      <c r="E61" s="839">
        <f>+i.04101a!D120+i.04101a!D140</f>
        <v>0</v>
      </c>
    </row>
    <row r="62" spans="1:5">
      <c r="A62" s="93" t="s">
        <v>113</v>
      </c>
      <c r="B62" s="191" t="s">
        <v>114</v>
      </c>
      <c r="C62" s="52">
        <f t="shared" si="0"/>
        <v>53</v>
      </c>
      <c r="D62" s="56">
        <f>SUM(D56:D61)</f>
        <v>0</v>
      </c>
      <c r="E62" s="56">
        <f>SUM(E56:E61)</f>
        <v>0</v>
      </c>
    </row>
    <row r="63" spans="1:5">
      <c r="A63" s="93" t="s">
        <v>115</v>
      </c>
      <c r="B63" s="191" t="s">
        <v>116</v>
      </c>
      <c r="C63" s="52">
        <f t="shared" si="0"/>
        <v>54</v>
      </c>
      <c r="D63" s="56"/>
      <c r="E63" s="56"/>
    </row>
    <row r="64" spans="1:5">
      <c r="A64" s="13" t="s">
        <v>117</v>
      </c>
      <c r="B64" s="190" t="s">
        <v>118</v>
      </c>
      <c r="C64" s="14">
        <f t="shared" si="0"/>
        <v>55</v>
      </c>
      <c r="D64" s="839">
        <f>+i.04101a!C121</f>
        <v>0</v>
      </c>
      <c r="E64" s="839">
        <f>i.04101a!D121</f>
        <v>0</v>
      </c>
    </row>
    <row r="65" spans="1:5">
      <c r="A65" s="13" t="s">
        <v>119</v>
      </c>
      <c r="B65" s="190" t="s">
        <v>120</v>
      </c>
      <c r="C65" s="14">
        <f t="shared" si="0"/>
        <v>56</v>
      </c>
      <c r="D65" s="839">
        <f>+i.04101a!C122</f>
        <v>0</v>
      </c>
      <c r="E65" s="839">
        <f>i.04101a!D122</f>
        <v>0</v>
      </c>
    </row>
    <row r="66" spans="1:5">
      <c r="A66" s="13" t="s">
        <v>121</v>
      </c>
      <c r="B66" s="190" t="s">
        <v>122</v>
      </c>
      <c r="C66" s="14">
        <f t="shared" si="0"/>
        <v>57</v>
      </c>
      <c r="D66" s="839">
        <f>+i.04101a!C124</f>
        <v>0</v>
      </c>
      <c r="E66" s="839">
        <f>i.04101a!D124</f>
        <v>0</v>
      </c>
    </row>
    <row r="67" spans="1:5">
      <c r="A67" s="13" t="s">
        <v>123</v>
      </c>
      <c r="B67" s="190" t="s">
        <v>124</v>
      </c>
      <c r="C67" s="14">
        <f t="shared" si="0"/>
        <v>58</v>
      </c>
      <c r="D67" s="839">
        <f>+i.04101a!C125</f>
        <v>0</v>
      </c>
      <c r="E67" s="839">
        <f>i.04101a!D125</f>
        <v>0</v>
      </c>
    </row>
    <row r="68" spans="1:5">
      <c r="A68" s="13" t="s">
        <v>125</v>
      </c>
      <c r="B68" s="190" t="s">
        <v>126</v>
      </c>
      <c r="C68" s="14">
        <f t="shared" si="0"/>
        <v>59</v>
      </c>
      <c r="D68" s="839">
        <f>+i.04101a!C126</f>
        <v>0</v>
      </c>
      <c r="E68" s="839">
        <f>i.04101a!D126</f>
        <v>0</v>
      </c>
    </row>
    <row r="69" spans="1:5">
      <c r="A69" s="13" t="s">
        <v>127</v>
      </c>
      <c r="B69" s="190" t="s">
        <v>128</v>
      </c>
      <c r="C69" s="14">
        <f t="shared" si="0"/>
        <v>60</v>
      </c>
      <c r="D69" s="839">
        <f>+i.04101a!C127</f>
        <v>0</v>
      </c>
      <c r="E69" s="839">
        <f>i.04101a!D127</f>
        <v>0</v>
      </c>
    </row>
    <row r="70" spans="1:5">
      <c r="A70" s="13" t="s">
        <v>129</v>
      </c>
      <c r="B70" s="190" t="s">
        <v>130</v>
      </c>
      <c r="C70" s="14">
        <f t="shared" si="0"/>
        <v>61</v>
      </c>
      <c r="D70" s="839">
        <f>+i.04101a!C128</f>
        <v>0</v>
      </c>
      <c r="E70" s="839">
        <f>i.04101a!D128</f>
        <v>0</v>
      </c>
    </row>
    <row r="71" spans="1:5">
      <c r="A71" s="13" t="s">
        <v>131</v>
      </c>
      <c r="B71" s="190" t="s">
        <v>132</v>
      </c>
      <c r="C71" s="14">
        <f t="shared" si="0"/>
        <v>62</v>
      </c>
      <c r="D71" s="839">
        <f>+i.04101a!C129</f>
        <v>0</v>
      </c>
      <c r="E71" s="839">
        <f>i.04101a!D129</f>
        <v>0</v>
      </c>
    </row>
    <row r="72" spans="1:5">
      <c r="A72" s="13" t="s">
        <v>133</v>
      </c>
      <c r="B72" s="190" t="s">
        <v>134</v>
      </c>
      <c r="C72" s="14">
        <f t="shared" si="0"/>
        <v>63</v>
      </c>
      <c r="D72" s="839">
        <f>+i.04101a!C130</f>
        <v>0</v>
      </c>
      <c r="E72" s="839">
        <f>i.04101a!D130</f>
        <v>0</v>
      </c>
    </row>
    <row r="73" spans="1:5">
      <c r="A73" s="13" t="s">
        <v>135</v>
      </c>
      <c r="B73" s="190" t="s">
        <v>136</v>
      </c>
      <c r="C73" s="14">
        <f t="shared" si="0"/>
        <v>64</v>
      </c>
      <c r="D73" s="839">
        <f>+i.04101a!C156</f>
        <v>0</v>
      </c>
      <c r="E73" s="839">
        <f>i.04101a!D156</f>
        <v>0</v>
      </c>
    </row>
    <row r="74" spans="1:5">
      <c r="A74" s="13" t="s">
        <v>137</v>
      </c>
      <c r="B74" s="190" t="s">
        <v>116</v>
      </c>
      <c r="C74" s="14">
        <f t="shared" si="0"/>
        <v>65</v>
      </c>
      <c r="D74" s="839">
        <f>+i.04101a!C123+i.04101a!C131</f>
        <v>0</v>
      </c>
      <c r="E74" s="839">
        <f>+i.04101a!D123+i.04101a!D131</f>
        <v>0</v>
      </c>
    </row>
    <row r="75" spans="1:5">
      <c r="A75" s="93" t="s">
        <v>138</v>
      </c>
      <c r="B75" s="191" t="s">
        <v>139</v>
      </c>
      <c r="C75" s="52">
        <f t="shared" si="0"/>
        <v>66</v>
      </c>
      <c r="D75" s="56">
        <f>SUM(D64:D74)</f>
        <v>0</v>
      </c>
      <c r="E75" s="56">
        <f>SUM(E64:E74)</f>
        <v>0</v>
      </c>
    </row>
    <row r="76" spans="1:5">
      <c r="A76" s="93" t="s">
        <v>140</v>
      </c>
      <c r="B76" s="199" t="s">
        <v>141</v>
      </c>
      <c r="C76" s="52">
        <f t="shared" si="0"/>
        <v>67</v>
      </c>
      <c r="D76" s="56">
        <f>i.04101a!C132</f>
        <v>0</v>
      </c>
      <c r="E76" s="56">
        <f>i.04101a!D132</f>
        <v>0</v>
      </c>
    </row>
    <row r="77" spans="1:5">
      <c r="A77" s="93" t="s">
        <v>142</v>
      </c>
      <c r="B77" s="199" t="s">
        <v>143</v>
      </c>
      <c r="C77" s="52">
        <f t="shared" si="0"/>
        <v>68</v>
      </c>
      <c r="D77" s="56">
        <f>i.04101a!C133</f>
        <v>0</v>
      </c>
      <c r="E77" s="56">
        <f>i.04101a!D133</f>
        <v>0</v>
      </c>
    </row>
    <row r="78" spans="1:5">
      <c r="A78" s="93" t="s">
        <v>144</v>
      </c>
      <c r="B78" s="200" t="s">
        <v>145</v>
      </c>
      <c r="C78" s="52">
        <f t="shared" si="0"/>
        <v>69</v>
      </c>
      <c r="D78" s="56">
        <f>i.04101a!C134</f>
        <v>0</v>
      </c>
      <c r="E78" s="56">
        <f>i.04101a!D134</f>
        <v>0</v>
      </c>
    </row>
    <row r="79" spans="1:5">
      <c r="A79" s="93" t="s">
        <v>146</v>
      </c>
      <c r="B79" s="200" t="s">
        <v>147</v>
      </c>
      <c r="C79" s="52">
        <f t="shared" ref="C79:C96" si="1">+C78+1</f>
        <v>70</v>
      </c>
      <c r="D79" s="56"/>
      <c r="E79" s="56"/>
    </row>
    <row r="80" spans="1:5">
      <c r="A80" s="13" t="s">
        <v>148</v>
      </c>
      <c r="B80" s="201" t="s">
        <v>149</v>
      </c>
      <c r="C80" s="14">
        <f t="shared" si="1"/>
        <v>71</v>
      </c>
      <c r="D80" s="840">
        <f>SUM(i.04101a!C135,i.04101a!C136)</f>
        <v>0</v>
      </c>
      <c r="E80" s="840">
        <f>SUM(i.04101a!D135,i.04101a!D136)</f>
        <v>0</v>
      </c>
    </row>
    <row r="81" spans="1:7">
      <c r="A81" s="13" t="s">
        <v>150</v>
      </c>
      <c r="B81" s="201" t="s">
        <v>151</v>
      </c>
      <c r="C81" s="14">
        <f t="shared" si="1"/>
        <v>72</v>
      </c>
      <c r="D81" s="839">
        <f>+i.04101a!C137</f>
        <v>0</v>
      </c>
      <c r="E81" s="839">
        <f>+i.04101a!D137</f>
        <v>0</v>
      </c>
    </row>
    <row r="82" spans="1:7">
      <c r="A82" s="13" t="s">
        <v>152</v>
      </c>
      <c r="B82" s="192" t="s">
        <v>153</v>
      </c>
      <c r="C82" s="14">
        <f t="shared" si="1"/>
        <v>73</v>
      </c>
      <c r="D82" s="839">
        <f>+i.04101a!C138</f>
        <v>0</v>
      </c>
      <c r="E82" s="839">
        <f>+i.04101a!D138</f>
        <v>0</v>
      </c>
    </row>
    <row r="83" spans="1:7">
      <c r="A83" s="13" t="s">
        <v>154</v>
      </c>
      <c r="B83" s="202" t="s">
        <v>156</v>
      </c>
      <c r="C83" s="14">
        <v>74</v>
      </c>
      <c r="D83" s="841">
        <f>+i.04101a!C139</f>
        <v>0</v>
      </c>
      <c r="E83" s="841">
        <f>+i.04101a!D139</f>
        <v>0</v>
      </c>
    </row>
    <row r="84" spans="1:7">
      <c r="A84" s="93" t="s">
        <v>155</v>
      </c>
      <c r="B84" s="200" t="s">
        <v>157</v>
      </c>
      <c r="C84" s="52">
        <f>+C83+1</f>
        <v>75</v>
      </c>
      <c r="D84" s="96">
        <f>SUM(D80:D83)</f>
        <v>0</v>
      </c>
      <c r="E84" s="96">
        <f>SUM(E80:E83)</f>
        <v>0</v>
      </c>
    </row>
    <row r="85" spans="1:7" ht="13.5" thickBot="1">
      <c r="A85" s="97" t="s">
        <v>158</v>
      </c>
      <c r="B85" s="197" t="s">
        <v>159</v>
      </c>
      <c r="C85" s="91">
        <f t="shared" si="1"/>
        <v>76</v>
      </c>
      <c r="D85" s="98">
        <f>+D54+D62+D75+D76+D77+D78+D84</f>
        <v>0</v>
      </c>
      <c r="E85" s="98">
        <f>+E54+E62+E75+E76+E77+E78+E84</f>
        <v>0</v>
      </c>
    </row>
    <row r="86" spans="1:7">
      <c r="A86" s="99" t="s">
        <v>160</v>
      </c>
      <c r="B86" s="203" t="s">
        <v>161</v>
      </c>
      <c r="C86" s="94">
        <f t="shared" si="1"/>
        <v>77</v>
      </c>
      <c r="D86" s="95"/>
      <c r="E86" s="95"/>
    </row>
    <row r="87" spans="1:7">
      <c r="A87" s="93" t="s">
        <v>162</v>
      </c>
      <c r="B87" s="187" t="s">
        <v>163</v>
      </c>
      <c r="C87" s="52">
        <f t="shared" si="1"/>
        <v>78</v>
      </c>
      <c r="D87" s="56">
        <f>+i.04101a!C141+i.04101a!C142</f>
        <v>0</v>
      </c>
      <c r="E87" s="56">
        <f>+i.04101a!D141+i.04101a!D142</f>
        <v>0</v>
      </c>
    </row>
    <row r="88" spans="1:7">
      <c r="A88" s="93" t="s">
        <v>164</v>
      </c>
      <c r="B88" s="187" t="s">
        <v>165</v>
      </c>
      <c r="C88" s="52">
        <f t="shared" si="1"/>
        <v>79</v>
      </c>
      <c r="D88" s="56">
        <f>+i.04101a!C145+i.04101a!C146</f>
        <v>0</v>
      </c>
      <c r="E88" s="56">
        <f>+i.04101a!D145+i.04101a!D146</f>
        <v>0</v>
      </c>
    </row>
    <row r="89" spans="1:7">
      <c r="A89" s="93" t="s">
        <v>166</v>
      </c>
      <c r="B89" s="187" t="s">
        <v>167</v>
      </c>
      <c r="C89" s="52">
        <f t="shared" si="1"/>
        <v>80</v>
      </c>
      <c r="D89" s="56">
        <f>+i.04101a!C143+i.04101a!C144</f>
        <v>0</v>
      </c>
      <c r="E89" s="56">
        <f>+i.04101a!D143+i.04101a!D144</f>
        <v>0</v>
      </c>
    </row>
    <row r="90" spans="1:7">
      <c r="A90" s="93" t="s">
        <v>168</v>
      </c>
      <c r="B90" s="187" t="s">
        <v>169</v>
      </c>
      <c r="C90" s="52">
        <f t="shared" si="1"/>
        <v>81</v>
      </c>
      <c r="D90" s="56">
        <f>+i.04101a!C147</f>
        <v>0</v>
      </c>
      <c r="E90" s="56">
        <f>+i.04101a!D147</f>
        <v>0</v>
      </c>
    </row>
    <row r="91" spans="1:7">
      <c r="A91" s="93" t="s">
        <v>170</v>
      </c>
      <c r="B91" s="187" t="s">
        <v>171</v>
      </c>
      <c r="C91" s="52">
        <f t="shared" si="1"/>
        <v>82</v>
      </c>
      <c r="D91" s="56">
        <f>+i.04101a!C148</f>
        <v>0</v>
      </c>
      <c r="E91" s="56">
        <f>+i.04101a!D148</f>
        <v>0</v>
      </c>
    </row>
    <row r="92" spans="1:7">
      <c r="A92" s="93" t="s">
        <v>172</v>
      </c>
      <c r="B92" s="187" t="s">
        <v>173</v>
      </c>
      <c r="C92" s="52">
        <f t="shared" si="1"/>
        <v>83</v>
      </c>
      <c r="D92" s="56">
        <f>+i.04101a!C153</f>
        <v>0</v>
      </c>
      <c r="E92" s="56">
        <f>+i.04101a!D153</f>
        <v>0</v>
      </c>
    </row>
    <row r="93" spans="1:7">
      <c r="A93" s="93" t="s">
        <v>174</v>
      </c>
      <c r="B93" s="187" t="s">
        <v>175</v>
      </c>
      <c r="C93" s="52">
        <f t="shared" si="1"/>
        <v>84</v>
      </c>
      <c r="D93" s="56">
        <f>+i.04101a!C150+i.04101a!C151+i.04101a!C152+i.04101a!C154</f>
        <v>0</v>
      </c>
      <c r="E93" s="56">
        <f>+i.04101a!D150+i.04101a!D151+i.04101a!D152+i.04101a!D154</f>
        <v>0</v>
      </c>
    </row>
    <row r="94" spans="1:7">
      <c r="A94" s="93" t="s">
        <v>176</v>
      </c>
      <c r="B94" s="187" t="s">
        <v>177</v>
      </c>
      <c r="C94" s="52">
        <f t="shared" si="1"/>
        <v>85</v>
      </c>
      <c r="D94" s="56">
        <f>+i.04101a!C149</f>
        <v>0</v>
      </c>
      <c r="E94" s="56">
        <f>+i.04101a!D149</f>
        <v>0</v>
      </c>
    </row>
    <row r="95" spans="1:7" s="16" customFormat="1" ht="13.5" thickBot="1">
      <c r="A95" s="93" t="s">
        <v>178</v>
      </c>
      <c r="B95" s="204" t="s">
        <v>179</v>
      </c>
      <c r="C95" s="100">
        <f t="shared" si="1"/>
        <v>86</v>
      </c>
      <c r="D95" s="101">
        <f>SUM(D87:D94)</f>
        <v>0</v>
      </c>
      <c r="E95" s="101">
        <f>SUM(E87:E94)</f>
        <v>0</v>
      </c>
      <c r="F95" s="15"/>
      <c r="G95" s="15"/>
    </row>
    <row r="96" spans="1:7" s="16" customFormat="1" ht="15.75" customHeight="1" thickBot="1">
      <c r="A96" s="102" t="s">
        <v>180</v>
      </c>
      <c r="B96" s="205" t="s">
        <v>181</v>
      </c>
      <c r="C96" s="103">
        <f t="shared" si="1"/>
        <v>87</v>
      </c>
      <c r="D96" s="104">
        <f>SUM(D85,D95)</f>
        <v>0</v>
      </c>
      <c r="E96" s="104">
        <f>SUM(E85,E95)</f>
        <v>0</v>
      </c>
      <c r="F96" s="15"/>
      <c r="G96" s="15"/>
    </row>
    <row r="97" spans="1:24">
      <c r="C97" s="18"/>
      <c r="D97" s="19"/>
      <c r="E97" s="24"/>
    </row>
    <row r="98" spans="1:24" s="10" customFormat="1" ht="12.75" customHeight="1">
      <c r="A98" s="241"/>
      <c r="B98" s="238" t="s">
        <v>910</v>
      </c>
      <c r="C98" s="57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1:24">
      <c r="B99" s="239" t="str">
        <f>+i.04108!C34</f>
        <v xml:space="preserve">ТАЙЛАН ГАРГАСАН:    </v>
      </c>
      <c r="C99" s="2"/>
      <c r="D99" s="2"/>
      <c r="E99" s="2"/>
    </row>
    <row r="100" spans="1:24">
      <c r="C100" s="2"/>
      <c r="D100" s="2"/>
      <c r="E100" s="2"/>
    </row>
    <row r="101" spans="1:24">
      <c r="A101" s="20"/>
      <c r="B101" s="237" t="str">
        <f>+i.04108!C36</f>
        <v xml:space="preserve"> Гүйцэтгэх захирал</v>
      </c>
      <c r="C101" s="1043" t="str">
        <f>+i.04108!D36</f>
        <v xml:space="preserve">/................................../   </v>
      </c>
      <c r="D101" s="1043"/>
      <c r="E101" s="2" t="str">
        <f>+i.04108!F36</f>
        <v>/................................./</v>
      </c>
    </row>
    <row r="102" spans="1:24">
      <c r="A102" s="20"/>
      <c r="B102" s="237"/>
      <c r="C102" s="2"/>
      <c r="D102" s="2"/>
      <c r="E102" s="2"/>
    </row>
    <row r="103" spans="1:24">
      <c r="A103" s="20"/>
      <c r="B103" s="237" t="str">
        <f>+i.04108!C38</f>
        <v xml:space="preserve"> Ерөнхий нягтлан бодогч  </v>
      </c>
      <c r="C103" s="1043" t="str">
        <f>+i.04108!D38</f>
        <v xml:space="preserve">/.................................../   </v>
      </c>
      <c r="D103" s="1043"/>
      <c r="E103" s="2" t="str">
        <f>+i.04108!F38</f>
        <v>/................................/</v>
      </c>
    </row>
    <row r="104" spans="1:24">
      <c r="A104" s="20"/>
      <c r="B104" s="237"/>
      <c r="C104" s="2"/>
      <c r="D104" s="2"/>
      <c r="E104" s="2"/>
    </row>
    <row r="105" spans="1:24">
      <c r="B105" s="237" t="str">
        <f>+i.04108!C40</f>
        <v>...................................................</v>
      </c>
      <c r="C105" s="1043" t="str">
        <f>+i.04108!D40</f>
        <v xml:space="preserve">/................................../   </v>
      </c>
      <c r="D105" s="1043"/>
      <c r="E105" s="2" t="str">
        <f>+i.04108!F40</f>
        <v>/................................/</v>
      </c>
    </row>
    <row r="106" spans="1:24">
      <c r="C106" s="2"/>
      <c r="D106" s="2"/>
      <c r="E106" s="2"/>
    </row>
    <row r="107" spans="1:24">
      <c r="C107" s="18"/>
    </row>
    <row r="108" spans="1:24">
      <c r="C108" s="18"/>
    </row>
    <row r="109" spans="1:24">
      <c r="C109" s="18"/>
    </row>
    <row r="110" spans="1:24">
      <c r="C110" s="18"/>
    </row>
    <row r="111" spans="1:24">
      <c r="C111" s="18"/>
    </row>
    <row r="112" spans="1:24">
      <c r="C112" s="18"/>
    </row>
    <row r="113" spans="3:3">
      <c r="C113" s="18"/>
    </row>
    <row r="114" spans="3:3">
      <c r="C114" s="18"/>
    </row>
    <row r="115" spans="3:3">
      <c r="C115" s="18"/>
    </row>
    <row r="116" spans="3:3">
      <c r="C116" s="18"/>
    </row>
    <row r="117" spans="3:3">
      <c r="C117" s="18"/>
    </row>
    <row r="118" spans="3:3">
      <c r="C118" s="18"/>
    </row>
    <row r="119" spans="3:3">
      <c r="C119" s="18"/>
    </row>
    <row r="120" spans="3:3">
      <c r="C120" s="18"/>
    </row>
    <row r="121" spans="3:3">
      <c r="C121" s="18"/>
    </row>
    <row r="122" spans="3:3">
      <c r="C122" s="18"/>
    </row>
    <row r="123" spans="3:3">
      <c r="C123" s="18"/>
    </row>
    <row r="124" spans="3:3">
      <c r="C124" s="18"/>
    </row>
    <row r="125" spans="3:3">
      <c r="C125" s="18"/>
    </row>
    <row r="126" spans="3:3">
      <c r="C126" s="18"/>
    </row>
    <row r="127" spans="3:3">
      <c r="C127" s="18"/>
    </row>
    <row r="128" spans="3:3">
      <c r="C128" s="18"/>
    </row>
    <row r="129" spans="3:3">
      <c r="C129" s="18"/>
    </row>
    <row r="130" spans="3:3">
      <c r="C130" s="18"/>
    </row>
    <row r="131" spans="3:3">
      <c r="C131" s="18"/>
    </row>
    <row r="132" spans="3:3">
      <c r="C132" s="18"/>
    </row>
    <row r="133" spans="3:3">
      <c r="C133" s="18"/>
    </row>
    <row r="134" spans="3:3">
      <c r="C134" s="18"/>
    </row>
    <row r="135" spans="3:3">
      <c r="C135" s="18"/>
    </row>
    <row r="136" spans="3:3">
      <c r="C136" s="18"/>
    </row>
    <row r="137" spans="3:3">
      <c r="C137" s="18"/>
    </row>
    <row r="138" spans="3:3">
      <c r="C138" s="18"/>
    </row>
    <row r="139" spans="3:3">
      <c r="C139" s="18"/>
    </row>
    <row r="140" spans="3:3">
      <c r="C140" s="18"/>
    </row>
    <row r="141" spans="3:3">
      <c r="C141" s="18"/>
    </row>
    <row r="142" spans="3:3">
      <c r="C142" s="18"/>
    </row>
    <row r="143" spans="3:3">
      <c r="C143" s="18"/>
    </row>
    <row r="144" spans="3:3">
      <c r="C144" s="18"/>
    </row>
    <row r="145" spans="3:3">
      <c r="C145" s="18"/>
    </row>
    <row r="146" spans="3:3">
      <c r="C146" s="18"/>
    </row>
    <row r="147" spans="3:3">
      <c r="C147" s="18"/>
    </row>
    <row r="148" spans="3:3">
      <c r="C148" s="18"/>
    </row>
    <row r="149" spans="3:3">
      <c r="C149" s="18"/>
    </row>
    <row r="150" spans="3:3">
      <c r="C150" s="18"/>
    </row>
    <row r="151" spans="3:3">
      <c r="C151" s="18"/>
    </row>
    <row r="152" spans="3:3">
      <c r="C152" s="18"/>
    </row>
    <row r="153" spans="3:3">
      <c r="C153" s="18"/>
    </row>
    <row r="154" spans="3:3">
      <c r="C154" s="18"/>
    </row>
    <row r="155" spans="3:3">
      <c r="C155" s="18"/>
    </row>
    <row r="156" spans="3:3">
      <c r="C156" s="18"/>
    </row>
    <row r="157" spans="3:3">
      <c r="C157" s="18"/>
    </row>
    <row r="158" spans="3:3">
      <c r="C158" s="18"/>
    </row>
    <row r="159" spans="3:3">
      <c r="C159" s="18"/>
    </row>
    <row r="160" spans="3:3">
      <c r="C160" s="18"/>
    </row>
    <row r="161" spans="3:3">
      <c r="C161" s="18"/>
    </row>
    <row r="162" spans="3:3">
      <c r="C162" s="18"/>
    </row>
    <row r="163" spans="3:3">
      <c r="C163" s="18"/>
    </row>
    <row r="164" spans="3:3">
      <c r="C164" s="18"/>
    </row>
    <row r="165" spans="3:3">
      <c r="C165" s="18"/>
    </row>
    <row r="166" spans="3:3">
      <c r="C166" s="18"/>
    </row>
    <row r="167" spans="3:3">
      <c r="C167" s="18"/>
    </row>
    <row r="168" spans="3:3">
      <c r="C168" s="18"/>
    </row>
    <row r="169" spans="3:3">
      <c r="C169" s="18"/>
    </row>
    <row r="170" spans="3:3">
      <c r="C170" s="18"/>
    </row>
    <row r="171" spans="3:3">
      <c r="C171" s="18"/>
    </row>
    <row r="172" spans="3:3">
      <c r="C172" s="18"/>
    </row>
    <row r="173" spans="3:3">
      <c r="C173" s="18"/>
    </row>
    <row r="174" spans="3:3">
      <c r="C174" s="18"/>
    </row>
    <row r="175" spans="3:3">
      <c r="C175" s="18"/>
    </row>
    <row r="176" spans="3:3">
      <c r="C176" s="18"/>
    </row>
    <row r="177" spans="3:3">
      <c r="C177" s="18"/>
    </row>
    <row r="178" spans="3:3">
      <c r="C178" s="18"/>
    </row>
    <row r="179" spans="3:3">
      <c r="C179" s="18"/>
    </row>
    <row r="180" spans="3:3">
      <c r="C180" s="18"/>
    </row>
    <row r="181" spans="3:3">
      <c r="C181" s="18"/>
    </row>
    <row r="182" spans="3:3">
      <c r="C182" s="18"/>
    </row>
    <row r="183" spans="3:3">
      <c r="C183" s="18"/>
    </row>
    <row r="184" spans="3:3">
      <c r="C184" s="18"/>
    </row>
    <row r="185" spans="3:3">
      <c r="C185" s="18"/>
    </row>
    <row r="186" spans="3:3">
      <c r="C186" s="18"/>
    </row>
    <row r="187" spans="3:3">
      <c r="C187" s="18"/>
    </row>
    <row r="188" spans="3:3">
      <c r="C188" s="18"/>
    </row>
    <row r="189" spans="3:3">
      <c r="C189" s="18"/>
    </row>
    <row r="190" spans="3:3">
      <c r="C190" s="18"/>
    </row>
    <row r="191" spans="3:3">
      <c r="C191" s="18"/>
    </row>
    <row r="192" spans="3:3">
      <c r="C192" s="18"/>
    </row>
    <row r="193" spans="3:3">
      <c r="C193" s="18"/>
    </row>
    <row r="194" spans="3:3">
      <c r="C194" s="18"/>
    </row>
    <row r="195" spans="3:3">
      <c r="C195" s="18"/>
    </row>
    <row r="196" spans="3:3">
      <c r="C196" s="18"/>
    </row>
    <row r="197" spans="3:3">
      <c r="C197" s="18"/>
    </row>
    <row r="198" spans="3:3">
      <c r="C198" s="18"/>
    </row>
    <row r="199" spans="3:3">
      <c r="C199" s="18"/>
    </row>
    <row r="200" spans="3:3">
      <c r="C200" s="18"/>
    </row>
    <row r="201" spans="3:3">
      <c r="C201" s="18"/>
    </row>
    <row r="202" spans="3:3">
      <c r="C202" s="18"/>
    </row>
    <row r="203" spans="3:3">
      <c r="C203" s="18"/>
    </row>
    <row r="204" spans="3:3">
      <c r="C204" s="18"/>
    </row>
    <row r="205" spans="3:3">
      <c r="C205" s="18"/>
    </row>
    <row r="206" spans="3:3">
      <c r="C206" s="18"/>
    </row>
    <row r="207" spans="3:3">
      <c r="C207" s="18"/>
    </row>
    <row r="208" spans="3:3">
      <c r="C208" s="18"/>
    </row>
    <row r="209" spans="3:3">
      <c r="C209" s="18"/>
    </row>
    <row r="210" spans="3:3">
      <c r="C210" s="18"/>
    </row>
    <row r="211" spans="3:3">
      <c r="C211" s="18"/>
    </row>
    <row r="212" spans="3:3">
      <c r="C212" s="18"/>
    </row>
    <row r="213" spans="3:3">
      <c r="C213" s="18"/>
    </row>
    <row r="214" spans="3:3">
      <c r="C214" s="18"/>
    </row>
    <row r="215" spans="3:3">
      <c r="C215" s="18"/>
    </row>
    <row r="216" spans="3:3">
      <c r="C216" s="18"/>
    </row>
    <row r="217" spans="3:3">
      <c r="C217" s="18"/>
    </row>
    <row r="218" spans="3:3">
      <c r="C218" s="18"/>
    </row>
    <row r="219" spans="3:3">
      <c r="C219" s="18"/>
    </row>
    <row r="220" spans="3:3">
      <c r="C220" s="18"/>
    </row>
    <row r="221" spans="3:3">
      <c r="C221" s="18"/>
    </row>
    <row r="222" spans="3:3">
      <c r="C222" s="18"/>
    </row>
    <row r="223" spans="3:3">
      <c r="C223" s="18"/>
    </row>
    <row r="224" spans="3:3">
      <c r="C224" s="18"/>
    </row>
    <row r="225" spans="3:3">
      <c r="C225" s="18"/>
    </row>
    <row r="226" spans="3:3">
      <c r="C226" s="18"/>
    </row>
    <row r="227" spans="3:3">
      <c r="C227" s="18"/>
    </row>
    <row r="228" spans="3:3">
      <c r="C228" s="18"/>
    </row>
    <row r="229" spans="3:3">
      <c r="C229" s="18"/>
    </row>
    <row r="230" spans="3:3">
      <c r="C230" s="18"/>
    </row>
    <row r="231" spans="3:3">
      <c r="C231" s="18"/>
    </row>
    <row r="232" spans="3:3">
      <c r="C232" s="18"/>
    </row>
    <row r="233" spans="3:3">
      <c r="C233" s="18"/>
    </row>
    <row r="234" spans="3:3">
      <c r="C234" s="18"/>
    </row>
    <row r="235" spans="3:3">
      <c r="C235" s="18"/>
    </row>
    <row r="236" spans="3:3">
      <c r="C236" s="18"/>
    </row>
    <row r="237" spans="3:3">
      <c r="C237" s="18"/>
    </row>
    <row r="238" spans="3:3">
      <c r="C238" s="18"/>
    </row>
    <row r="239" spans="3:3">
      <c r="C239" s="18"/>
    </row>
    <row r="240" spans="3:3">
      <c r="C240" s="18"/>
    </row>
    <row r="241" spans="3:3">
      <c r="C241" s="18"/>
    </row>
    <row r="242" spans="3:3">
      <c r="C242" s="18"/>
    </row>
    <row r="243" spans="3:3">
      <c r="C243" s="18"/>
    </row>
    <row r="244" spans="3:3">
      <c r="C244" s="18"/>
    </row>
    <row r="245" spans="3:3">
      <c r="C245" s="18"/>
    </row>
    <row r="246" spans="3:3">
      <c r="C246" s="18"/>
    </row>
    <row r="247" spans="3:3">
      <c r="C247" s="18"/>
    </row>
    <row r="248" spans="3:3">
      <c r="C248" s="18"/>
    </row>
    <row r="249" spans="3:3">
      <c r="C249" s="18"/>
    </row>
    <row r="250" spans="3:3">
      <c r="C250" s="18"/>
    </row>
    <row r="251" spans="3:3">
      <c r="C251" s="18"/>
    </row>
    <row r="252" spans="3:3">
      <c r="C252" s="18"/>
    </row>
    <row r="253" spans="3:3">
      <c r="C253" s="18"/>
    </row>
    <row r="254" spans="3:3">
      <c r="C254" s="18"/>
    </row>
    <row r="255" spans="3:3">
      <c r="C255" s="18"/>
    </row>
    <row r="256" spans="3:3">
      <c r="C256" s="18"/>
    </row>
    <row r="257" spans="3:3">
      <c r="C257" s="18"/>
    </row>
    <row r="258" spans="3:3">
      <c r="C258" s="18"/>
    </row>
    <row r="259" spans="3:3">
      <c r="C259" s="18"/>
    </row>
    <row r="260" spans="3:3">
      <c r="C260" s="18"/>
    </row>
    <row r="261" spans="3:3">
      <c r="C261" s="18"/>
    </row>
    <row r="262" spans="3:3">
      <c r="C262" s="18"/>
    </row>
    <row r="263" spans="3:3">
      <c r="C263" s="18"/>
    </row>
    <row r="264" spans="3:3">
      <c r="C264" s="18"/>
    </row>
    <row r="265" spans="3:3">
      <c r="C265" s="18"/>
    </row>
    <row r="266" spans="3:3">
      <c r="C266" s="18"/>
    </row>
    <row r="267" spans="3:3">
      <c r="C267" s="18"/>
    </row>
    <row r="268" spans="3:3">
      <c r="C268" s="18"/>
    </row>
    <row r="269" spans="3:3">
      <c r="C269" s="18"/>
    </row>
    <row r="270" spans="3:3">
      <c r="C270" s="18"/>
    </row>
    <row r="271" spans="3:3">
      <c r="C271" s="18"/>
    </row>
    <row r="272" spans="3:3">
      <c r="C272" s="18"/>
    </row>
    <row r="273" spans="3:3">
      <c r="C273" s="18"/>
    </row>
    <row r="274" spans="3:3">
      <c r="C274" s="18"/>
    </row>
    <row r="275" spans="3:3">
      <c r="C275" s="18"/>
    </row>
    <row r="276" spans="3:3">
      <c r="C276" s="18"/>
    </row>
    <row r="277" spans="3:3">
      <c r="C277" s="18"/>
    </row>
    <row r="278" spans="3:3">
      <c r="C278" s="18"/>
    </row>
    <row r="279" spans="3:3">
      <c r="C279" s="18"/>
    </row>
    <row r="280" spans="3:3">
      <c r="C280" s="18"/>
    </row>
    <row r="281" spans="3:3">
      <c r="C281" s="18"/>
    </row>
    <row r="282" spans="3:3">
      <c r="C282" s="18"/>
    </row>
    <row r="283" spans="3:3">
      <c r="C283" s="18"/>
    </row>
    <row r="284" spans="3:3">
      <c r="C284" s="18"/>
    </row>
    <row r="285" spans="3:3">
      <c r="C285" s="18"/>
    </row>
    <row r="286" spans="3:3">
      <c r="C286" s="18"/>
    </row>
    <row r="287" spans="3:3">
      <c r="C287" s="18"/>
    </row>
    <row r="288" spans="3:3">
      <c r="C288" s="18"/>
    </row>
    <row r="289" spans="3:3">
      <c r="C289" s="18"/>
    </row>
    <row r="290" spans="3:3">
      <c r="C290" s="18"/>
    </row>
    <row r="291" spans="3:3">
      <c r="C291" s="18"/>
    </row>
    <row r="292" spans="3:3">
      <c r="C292" s="18"/>
    </row>
    <row r="293" spans="3:3">
      <c r="C293" s="18"/>
    </row>
    <row r="294" spans="3:3">
      <c r="C294" s="18"/>
    </row>
    <row r="295" spans="3:3">
      <c r="C295" s="18"/>
    </row>
    <row r="296" spans="3:3">
      <c r="C296" s="18"/>
    </row>
    <row r="297" spans="3:3">
      <c r="C297" s="18"/>
    </row>
    <row r="298" spans="3:3">
      <c r="C298" s="18"/>
    </row>
    <row r="299" spans="3:3">
      <c r="C299" s="18"/>
    </row>
    <row r="300" spans="3:3">
      <c r="C300" s="18"/>
    </row>
    <row r="301" spans="3:3">
      <c r="C301" s="18"/>
    </row>
    <row r="302" spans="3:3">
      <c r="C302" s="18"/>
    </row>
    <row r="303" spans="3:3">
      <c r="C303" s="18"/>
    </row>
    <row r="304" spans="3:3">
      <c r="C304" s="18"/>
    </row>
    <row r="305" spans="3:3">
      <c r="C305" s="18"/>
    </row>
    <row r="306" spans="3:3">
      <c r="C306" s="18"/>
    </row>
    <row r="307" spans="3:3">
      <c r="C307" s="18"/>
    </row>
    <row r="308" spans="3:3">
      <c r="C308" s="18"/>
    </row>
    <row r="309" spans="3:3">
      <c r="C309" s="18"/>
    </row>
    <row r="310" spans="3:3">
      <c r="C310" s="18"/>
    </row>
    <row r="311" spans="3:3">
      <c r="C311" s="18"/>
    </row>
    <row r="312" spans="3:3">
      <c r="C312" s="18"/>
    </row>
    <row r="313" spans="3:3">
      <c r="C313" s="18"/>
    </row>
    <row r="314" spans="3:3">
      <c r="C314" s="18"/>
    </row>
    <row r="315" spans="3:3">
      <c r="C315" s="18"/>
    </row>
    <row r="316" spans="3:3">
      <c r="C316" s="18"/>
    </row>
    <row r="317" spans="3:3">
      <c r="C317" s="18"/>
    </row>
    <row r="318" spans="3:3">
      <c r="C318" s="18"/>
    </row>
    <row r="319" spans="3:3">
      <c r="C319" s="18"/>
    </row>
    <row r="320" spans="3:3">
      <c r="C320" s="18"/>
    </row>
    <row r="321" spans="3:3">
      <c r="C321" s="18"/>
    </row>
    <row r="322" spans="3:3">
      <c r="C322" s="18"/>
    </row>
    <row r="323" spans="3:3">
      <c r="C323" s="18"/>
    </row>
    <row r="324" spans="3:3">
      <c r="C324" s="18"/>
    </row>
    <row r="325" spans="3:3">
      <c r="C325" s="18"/>
    </row>
    <row r="326" spans="3:3">
      <c r="C326" s="18"/>
    </row>
    <row r="327" spans="3:3">
      <c r="C327" s="18"/>
    </row>
    <row r="328" spans="3:3">
      <c r="C328" s="18"/>
    </row>
    <row r="329" spans="3:3">
      <c r="C329" s="18"/>
    </row>
    <row r="330" spans="3:3">
      <c r="C330" s="18"/>
    </row>
    <row r="331" spans="3:3">
      <c r="C331" s="18"/>
    </row>
    <row r="332" spans="3:3">
      <c r="C332" s="18"/>
    </row>
    <row r="333" spans="3:3">
      <c r="C333" s="18"/>
    </row>
    <row r="334" spans="3:3">
      <c r="C334" s="18"/>
    </row>
    <row r="335" spans="3:3">
      <c r="C335" s="18"/>
    </row>
    <row r="336" spans="3:3">
      <c r="C336" s="18"/>
    </row>
    <row r="337" spans="3:3">
      <c r="C337" s="18"/>
    </row>
    <row r="338" spans="3:3">
      <c r="C338" s="18"/>
    </row>
    <row r="339" spans="3:3">
      <c r="C339" s="18"/>
    </row>
    <row r="340" spans="3:3">
      <c r="C340" s="18"/>
    </row>
    <row r="341" spans="3:3">
      <c r="C341" s="18"/>
    </row>
    <row r="342" spans="3:3">
      <c r="C342" s="18"/>
    </row>
    <row r="343" spans="3:3">
      <c r="C343" s="18"/>
    </row>
    <row r="344" spans="3:3">
      <c r="C344" s="18"/>
    </row>
    <row r="345" spans="3:3">
      <c r="C345" s="18"/>
    </row>
    <row r="346" spans="3:3">
      <c r="C346" s="18"/>
    </row>
    <row r="347" spans="3:3">
      <c r="C347" s="18"/>
    </row>
    <row r="348" spans="3:3">
      <c r="C348" s="18"/>
    </row>
    <row r="349" spans="3:3">
      <c r="C349" s="18"/>
    </row>
    <row r="350" spans="3:3">
      <c r="C350" s="18"/>
    </row>
    <row r="351" spans="3:3">
      <c r="C351" s="18"/>
    </row>
    <row r="352" spans="3:3">
      <c r="C352" s="18"/>
    </row>
    <row r="353" spans="3:3">
      <c r="C353" s="18"/>
    </row>
    <row r="354" spans="3:3">
      <c r="C354" s="18"/>
    </row>
    <row r="355" spans="3:3">
      <c r="C355" s="18"/>
    </row>
    <row r="356" spans="3:3">
      <c r="C356" s="18"/>
    </row>
    <row r="357" spans="3:3">
      <c r="C357" s="18"/>
    </row>
    <row r="358" spans="3:3">
      <c r="C358" s="18"/>
    </row>
    <row r="359" spans="3:3">
      <c r="C359" s="18"/>
    </row>
    <row r="360" spans="3:3">
      <c r="C360" s="18"/>
    </row>
    <row r="361" spans="3:3">
      <c r="C361" s="18"/>
    </row>
    <row r="362" spans="3:3">
      <c r="C362" s="18"/>
    </row>
    <row r="363" spans="3:3">
      <c r="C363" s="18"/>
    </row>
    <row r="364" spans="3:3">
      <c r="C364" s="18"/>
    </row>
    <row r="365" spans="3:3">
      <c r="C365" s="18"/>
    </row>
    <row r="366" spans="3:3">
      <c r="C366" s="18"/>
    </row>
    <row r="367" spans="3:3">
      <c r="C367" s="18"/>
    </row>
    <row r="368" spans="3:3">
      <c r="C368" s="18"/>
    </row>
    <row r="369" spans="3:3">
      <c r="C369" s="18"/>
    </row>
    <row r="370" spans="3:3">
      <c r="C370" s="18"/>
    </row>
    <row r="371" spans="3:3">
      <c r="C371" s="18"/>
    </row>
    <row r="372" spans="3:3">
      <c r="C372" s="18"/>
    </row>
    <row r="373" spans="3:3">
      <c r="C373" s="18"/>
    </row>
    <row r="374" spans="3:3">
      <c r="C374" s="18"/>
    </row>
    <row r="375" spans="3:3">
      <c r="C375" s="18"/>
    </row>
    <row r="376" spans="3:3">
      <c r="C376" s="18"/>
    </row>
    <row r="377" spans="3:3">
      <c r="C377" s="18"/>
    </row>
    <row r="378" spans="3:3">
      <c r="C378" s="18"/>
    </row>
    <row r="379" spans="3:3">
      <c r="C379" s="18"/>
    </row>
    <row r="380" spans="3:3">
      <c r="C380" s="18"/>
    </row>
    <row r="381" spans="3:3">
      <c r="C381" s="18"/>
    </row>
    <row r="382" spans="3:3">
      <c r="C382" s="18"/>
    </row>
    <row r="383" spans="3:3">
      <c r="C383" s="18"/>
    </row>
    <row r="384" spans="3:3">
      <c r="C384" s="18"/>
    </row>
    <row r="385" spans="3:3">
      <c r="C385" s="18"/>
    </row>
    <row r="386" spans="3:3">
      <c r="C386" s="18"/>
    </row>
    <row r="387" spans="3:3">
      <c r="C387" s="18"/>
    </row>
    <row r="388" spans="3:3">
      <c r="C388" s="18"/>
    </row>
    <row r="389" spans="3:3">
      <c r="C389" s="18"/>
    </row>
    <row r="390" spans="3:3">
      <c r="C390" s="18"/>
    </row>
    <row r="391" spans="3:3">
      <c r="C391" s="18"/>
    </row>
    <row r="392" spans="3:3">
      <c r="C392" s="18"/>
    </row>
    <row r="393" spans="3:3">
      <c r="C393" s="18"/>
    </row>
    <row r="394" spans="3:3">
      <c r="C394" s="18"/>
    </row>
    <row r="395" spans="3:3">
      <c r="C395" s="18"/>
    </row>
    <row r="396" spans="3:3">
      <c r="C396" s="18"/>
    </row>
    <row r="397" spans="3:3">
      <c r="C397" s="18"/>
    </row>
    <row r="398" spans="3:3">
      <c r="C398" s="18"/>
    </row>
    <row r="399" spans="3:3">
      <c r="C399" s="18"/>
    </row>
    <row r="400" spans="3:3">
      <c r="C400" s="18"/>
    </row>
    <row r="401" spans="3:3">
      <c r="C401" s="18"/>
    </row>
    <row r="402" spans="3:3">
      <c r="C402" s="18"/>
    </row>
    <row r="403" spans="3:3">
      <c r="C403" s="18"/>
    </row>
    <row r="404" spans="3:3">
      <c r="C404" s="18"/>
    </row>
    <row r="405" spans="3:3">
      <c r="C405" s="18"/>
    </row>
    <row r="406" spans="3:3">
      <c r="C406" s="18"/>
    </row>
    <row r="407" spans="3:3">
      <c r="C407" s="18"/>
    </row>
    <row r="408" spans="3:3">
      <c r="C408" s="18"/>
    </row>
    <row r="409" spans="3:3">
      <c r="C409" s="18"/>
    </row>
    <row r="410" spans="3:3">
      <c r="C410" s="18"/>
    </row>
    <row r="411" spans="3:3">
      <c r="C411" s="18"/>
    </row>
    <row r="412" spans="3:3">
      <c r="C412" s="18"/>
    </row>
    <row r="413" spans="3:3">
      <c r="C413" s="18"/>
    </row>
    <row r="414" spans="3:3">
      <c r="C414" s="18"/>
    </row>
    <row r="415" spans="3:3">
      <c r="C415" s="18"/>
    </row>
    <row r="416" spans="3:3">
      <c r="C416" s="18"/>
    </row>
    <row r="417" spans="3:3">
      <c r="C417" s="18"/>
    </row>
    <row r="418" spans="3:3">
      <c r="C418" s="18"/>
    </row>
    <row r="419" spans="3:3">
      <c r="C419" s="18"/>
    </row>
    <row r="420" spans="3:3">
      <c r="C420" s="18"/>
    </row>
    <row r="421" spans="3:3">
      <c r="C421" s="18"/>
    </row>
    <row r="422" spans="3:3">
      <c r="C422" s="18"/>
    </row>
    <row r="423" spans="3:3">
      <c r="C423" s="18"/>
    </row>
    <row r="424" spans="3:3">
      <c r="C424" s="18"/>
    </row>
    <row r="425" spans="3:3">
      <c r="C425" s="18"/>
    </row>
    <row r="426" spans="3:3">
      <c r="C426" s="18"/>
    </row>
    <row r="427" spans="3:3">
      <c r="C427" s="18"/>
    </row>
    <row r="428" spans="3:3">
      <c r="C428" s="18"/>
    </row>
    <row r="429" spans="3:3">
      <c r="C429" s="18"/>
    </row>
    <row r="430" spans="3:3">
      <c r="C430" s="18"/>
    </row>
    <row r="431" spans="3:3">
      <c r="C431" s="18"/>
    </row>
    <row r="432" spans="3:3">
      <c r="C432" s="18"/>
    </row>
    <row r="433" spans="3:3">
      <c r="C433" s="18"/>
    </row>
    <row r="434" spans="3:3">
      <c r="C434" s="18"/>
    </row>
    <row r="435" spans="3:3">
      <c r="C435" s="18"/>
    </row>
    <row r="436" spans="3:3">
      <c r="C436" s="18"/>
    </row>
    <row r="437" spans="3:3">
      <c r="C437" s="18"/>
    </row>
    <row r="438" spans="3:3">
      <c r="C438" s="18"/>
    </row>
    <row r="439" spans="3:3">
      <c r="C439" s="18"/>
    </row>
    <row r="440" spans="3:3">
      <c r="C440" s="18"/>
    </row>
    <row r="441" spans="3:3">
      <c r="C441" s="18"/>
    </row>
    <row r="442" spans="3:3">
      <c r="C442" s="18"/>
    </row>
    <row r="443" spans="3:3">
      <c r="C443" s="18"/>
    </row>
    <row r="444" spans="3:3">
      <c r="C444" s="18"/>
    </row>
    <row r="445" spans="3:3">
      <c r="C445" s="18"/>
    </row>
    <row r="446" spans="3:3">
      <c r="C446" s="18"/>
    </row>
    <row r="447" spans="3:3">
      <c r="C447" s="18"/>
    </row>
    <row r="448" spans="3:3">
      <c r="C448" s="18"/>
    </row>
    <row r="449" spans="3:3">
      <c r="C449" s="18"/>
    </row>
    <row r="450" spans="3:3">
      <c r="C450" s="18"/>
    </row>
    <row r="451" spans="3:3">
      <c r="C451" s="18"/>
    </row>
    <row r="452" spans="3:3">
      <c r="C452" s="18"/>
    </row>
    <row r="453" spans="3:3">
      <c r="C453" s="18"/>
    </row>
    <row r="454" spans="3:3">
      <c r="C454" s="18"/>
    </row>
    <row r="455" spans="3:3">
      <c r="C455" s="18"/>
    </row>
    <row r="456" spans="3:3">
      <c r="C456" s="18"/>
    </row>
    <row r="457" spans="3:3">
      <c r="C457" s="18"/>
    </row>
    <row r="458" spans="3:3">
      <c r="C458" s="18"/>
    </row>
    <row r="459" spans="3:3">
      <c r="C459" s="18"/>
    </row>
    <row r="460" spans="3:3">
      <c r="C460" s="18"/>
    </row>
    <row r="461" spans="3:3">
      <c r="C461" s="18"/>
    </row>
    <row r="462" spans="3:3">
      <c r="C462" s="18"/>
    </row>
    <row r="463" spans="3:3">
      <c r="C463" s="18"/>
    </row>
    <row r="464" spans="3:3">
      <c r="C464" s="18"/>
    </row>
    <row r="465" spans="3:3">
      <c r="C465" s="18"/>
    </row>
    <row r="466" spans="3:3">
      <c r="C466" s="18"/>
    </row>
    <row r="467" spans="3:3">
      <c r="C467" s="18"/>
    </row>
    <row r="468" spans="3:3">
      <c r="C468" s="18"/>
    </row>
    <row r="469" spans="3:3">
      <c r="C469" s="18"/>
    </row>
    <row r="470" spans="3:3">
      <c r="C470" s="18"/>
    </row>
    <row r="471" spans="3:3">
      <c r="C471" s="18"/>
    </row>
    <row r="472" spans="3:3">
      <c r="C472" s="18"/>
    </row>
    <row r="473" spans="3:3">
      <c r="C473" s="18"/>
    </row>
    <row r="474" spans="3:3">
      <c r="C474" s="18"/>
    </row>
    <row r="475" spans="3:3">
      <c r="C475" s="18"/>
    </row>
    <row r="476" spans="3:3">
      <c r="C476" s="18"/>
    </row>
    <row r="477" spans="3:3">
      <c r="C477" s="18"/>
    </row>
    <row r="478" spans="3:3">
      <c r="C478" s="18"/>
    </row>
    <row r="479" spans="3:3">
      <c r="C479" s="18"/>
    </row>
    <row r="480" spans="3:3">
      <c r="C480" s="18"/>
    </row>
    <row r="481" spans="3:3">
      <c r="C481" s="18"/>
    </row>
    <row r="482" spans="3:3">
      <c r="C482" s="18"/>
    </row>
    <row r="483" spans="3:3">
      <c r="C483" s="18"/>
    </row>
    <row r="484" spans="3:3">
      <c r="C484" s="18"/>
    </row>
    <row r="485" spans="3:3">
      <c r="C485" s="18"/>
    </row>
    <row r="486" spans="3:3">
      <c r="C486" s="18"/>
    </row>
    <row r="487" spans="3:3">
      <c r="C487" s="18"/>
    </row>
    <row r="488" spans="3:3">
      <c r="C488" s="18"/>
    </row>
    <row r="489" spans="3:3">
      <c r="C489" s="18"/>
    </row>
    <row r="490" spans="3:3">
      <c r="C490" s="18"/>
    </row>
    <row r="491" spans="3:3">
      <c r="C491" s="18"/>
    </row>
    <row r="492" spans="3:3">
      <c r="C492" s="18"/>
    </row>
    <row r="493" spans="3:3">
      <c r="C493" s="18"/>
    </row>
    <row r="494" spans="3:3">
      <c r="C494" s="18"/>
    </row>
    <row r="495" spans="3:3">
      <c r="C495" s="18"/>
    </row>
    <row r="496" spans="3:3">
      <c r="C496" s="18"/>
    </row>
    <row r="497" spans="3:3">
      <c r="C497" s="18"/>
    </row>
    <row r="498" spans="3:3">
      <c r="C498" s="18"/>
    </row>
    <row r="499" spans="3:3">
      <c r="C499" s="18"/>
    </row>
    <row r="500" spans="3:3">
      <c r="C500" s="18"/>
    </row>
    <row r="501" spans="3:3">
      <c r="C501" s="18"/>
    </row>
    <row r="502" spans="3:3">
      <c r="C502" s="18"/>
    </row>
    <row r="503" spans="3:3">
      <c r="C503" s="18"/>
    </row>
    <row r="504" spans="3:3">
      <c r="C504" s="18"/>
    </row>
    <row r="505" spans="3:3">
      <c r="C505" s="18"/>
    </row>
    <row r="506" spans="3:3">
      <c r="C506" s="18"/>
    </row>
    <row r="507" spans="3:3">
      <c r="C507" s="18"/>
    </row>
    <row r="508" spans="3:3">
      <c r="C508" s="18"/>
    </row>
    <row r="509" spans="3:3">
      <c r="C509" s="18"/>
    </row>
    <row r="510" spans="3:3">
      <c r="C510" s="18"/>
    </row>
    <row r="511" spans="3:3">
      <c r="C511" s="18"/>
    </row>
    <row r="512" spans="3:3">
      <c r="C512" s="18"/>
    </row>
    <row r="513" spans="3:3">
      <c r="C513" s="18"/>
    </row>
    <row r="514" spans="3:3">
      <c r="C514" s="18"/>
    </row>
    <row r="515" spans="3:3">
      <c r="C515" s="18"/>
    </row>
    <row r="516" spans="3:3">
      <c r="C516" s="18"/>
    </row>
    <row r="517" spans="3:3">
      <c r="C517" s="18"/>
    </row>
    <row r="518" spans="3:3">
      <c r="C518" s="18"/>
    </row>
    <row r="519" spans="3:3">
      <c r="C519" s="18"/>
    </row>
    <row r="520" spans="3:3">
      <c r="C520" s="18"/>
    </row>
    <row r="521" spans="3:3">
      <c r="C521" s="18"/>
    </row>
    <row r="522" spans="3:3">
      <c r="C522" s="18"/>
    </row>
    <row r="523" spans="3:3">
      <c r="C523" s="18"/>
    </row>
    <row r="524" spans="3:3">
      <c r="C524" s="18"/>
    </row>
    <row r="525" spans="3:3">
      <c r="C525" s="18"/>
    </row>
    <row r="526" spans="3:3">
      <c r="C526" s="18"/>
    </row>
    <row r="527" spans="3:3">
      <c r="C527" s="18"/>
    </row>
    <row r="528" spans="3:3">
      <c r="C528" s="18"/>
    </row>
    <row r="529" spans="3:3">
      <c r="C529" s="18"/>
    </row>
    <row r="530" spans="3:3">
      <c r="C530" s="18"/>
    </row>
    <row r="531" spans="3:3">
      <c r="C531" s="18"/>
    </row>
    <row r="532" spans="3:3">
      <c r="C532" s="18"/>
    </row>
    <row r="533" spans="3:3">
      <c r="C533" s="18"/>
    </row>
    <row r="534" spans="3:3">
      <c r="C534" s="18"/>
    </row>
    <row r="535" spans="3:3">
      <c r="C535" s="18"/>
    </row>
    <row r="536" spans="3:3">
      <c r="C536" s="18"/>
    </row>
    <row r="537" spans="3:3">
      <c r="C537" s="18"/>
    </row>
    <row r="538" spans="3:3">
      <c r="C538" s="18"/>
    </row>
    <row r="539" spans="3:3">
      <c r="C539" s="18"/>
    </row>
    <row r="540" spans="3:3">
      <c r="C540" s="18"/>
    </row>
    <row r="541" spans="3:3">
      <c r="C541" s="18"/>
    </row>
    <row r="542" spans="3:3">
      <c r="C542" s="18"/>
    </row>
    <row r="543" spans="3:3">
      <c r="C543" s="18"/>
    </row>
    <row r="544" spans="3:3">
      <c r="C544" s="18"/>
    </row>
    <row r="545" spans="3:3">
      <c r="C545" s="18"/>
    </row>
    <row r="546" spans="3:3">
      <c r="C546" s="18"/>
    </row>
    <row r="547" spans="3:3">
      <c r="C547" s="18"/>
    </row>
    <row r="548" spans="3:3">
      <c r="C548" s="18"/>
    </row>
    <row r="549" spans="3:3">
      <c r="C549" s="18"/>
    </row>
    <row r="550" spans="3:3">
      <c r="C550" s="18"/>
    </row>
    <row r="551" spans="3:3">
      <c r="C551" s="18"/>
    </row>
    <row r="552" spans="3:3">
      <c r="C552" s="18"/>
    </row>
    <row r="553" spans="3:3">
      <c r="C553" s="18"/>
    </row>
    <row r="554" spans="3:3">
      <c r="C554" s="18"/>
    </row>
    <row r="555" spans="3:3">
      <c r="C555" s="18"/>
    </row>
    <row r="556" spans="3:3">
      <c r="C556" s="18"/>
    </row>
    <row r="557" spans="3:3">
      <c r="C557" s="18"/>
    </row>
    <row r="558" spans="3:3">
      <c r="C558" s="18"/>
    </row>
    <row r="559" spans="3:3">
      <c r="C559" s="18"/>
    </row>
    <row r="560" spans="3:3">
      <c r="C560" s="18"/>
    </row>
    <row r="561" spans="3:3">
      <c r="C561" s="18"/>
    </row>
    <row r="562" spans="3:3">
      <c r="C562" s="18"/>
    </row>
    <row r="563" spans="3:3">
      <c r="C563" s="18"/>
    </row>
    <row r="564" spans="3:3">
      <c r="C564" s="18"/>
    </row>
    <row r="565" spans="3:3">
      <c r="C565" s="18"/>
    </row>
    <row r="566" spans="3:3">
      <c r="C566" s="18"/>
    </row>
    <row r="567" spans="3:3">
      <c r="C567" s="18"/>
    </row>
    <row r="568" spans="3:3">
      <c r="C568" s="18"/>
    </row>
    <row r="569" spans="3:3">
      <c r="C569" s="18"/>
    </row>
    <row r="570" spans="3:3">
      <c r="C570" s="18"/>
    </row>
    <row r="571" spans="3:3">
      <c r="C571" s="18"/>
    </row>
    <row r="572" spans="3:3">
      <c r="C572" s="18"/>
    </row>
    <row r="573" spans="3:3">
      <c r="C573" s="18"/>
    </row>
    <row r="574" spans="3:3">
      <c r="C574" s="18"/>
    </row>
    <row r="575" spans="3:3">
      <c r="C575" s="18"/>
    </row>
    <row r="576" spans="3:3">
      <c r="C576" s="18"/>
    </row>
    <row r="577" spans="3:3">
      <c r="C577" s="18"/>
    </row>
    <row r="578" spans="3:3">
      <c r="C578" s="18"/>
    </row>
    <row r="579" spans="3:3">
      <c r="C579" s="18"/>
    </row>
    <row r="580" spans="3:3">
      <c r="C580" s="18"/>
    </row>
    <row r="581" spans="3:3">
      <c r="C581" s="18"/>
    </row>
    <row r="582" spans="3:3">
      <c r="C582" s="18"/>
    </row>
    <row r="583" spans="3:3">
      <c r="C583" s="18"/>
    </row>
    <row r="584" spans="3:3">
      <c r="C584" s="18"/>
    </row>
    <row r="585" spans="3:3">
      <c r="C585" s="18"/>
    </row>
    <row r="586" spans="3:3">
      <c r="C586" s="18"/>
    </row>
    <row r="587" spans="3:3">
      <c r="C587" s="18"/>
    </row>
    <row r="588" spans="3:3">
      <c r="C588" s="18"/>
    </row>
    <row r="589" spans="3:3">
      <c r="C589" s="18"/>
    </row>
    <row r="590" spans="3:3">
      <c r="C590" s="18"/>
    </row>
    <row r="591" spans="3:3">
      <c r="C591" s="18"/>
    </row>
    <row r="592" spans="3:3">
      <c r="C592" s="18"/>
    </row>
    <row r="593" spans="3:3">
      <c r="C593" s="18"/>
    </row>
    <row r="594" spans="3:3">
      <c r="C594" s="18"/>
    </row>
    <row r="595" spans="3:3">
      <c r="C595" s="18"/>
    </row>
    <row r="596" spans="3:3">
      <c r="C596" s="18"/>
    </row>
    <row r="597" spans="3:3">
      <c r="C597" s="18"/>
    </row>
    <row r="598" spans="3:3">
      <c r="C598" s="18"/>
    </row>
    <row r="599" spans="3:3">
      <c r="C599" s="18"/>
    </row>
    <row r="600" spans="3:3">
      <c r="C600" s="18"/>
    </row>
    <row r="601" spans="3:3">
      <c r="C601" s="18"/>
    </row>
    <row r="602" spans="3:3">
      <c r="C602" s="18"/>
    </row>
    <row r="603" spans="3:3">
      <c r="C603" s="18"/>
    </row>
    <row r="604" spans="3:3">
      <c r="C604" s="18"/>
    </row>
    <row r="605" spans="3:3">
      <c r="C605" s="18"/>
    </row>
    <row r="606" spans="3:3">
      <c r="C606" s="18"/>
    </row>
    <row r="607" spans="3:3">
      <c r="C607" s="18"/>
    </row>
    <row r="608" spans="3:3">
      <c r="C608" s="18"/>
    </row>
    <row r="609" spans="3:3">
      <c r="C609" s="18"/>
    </row>
    <row r="610" spans="3:3">
      <c r="C610" s="18"/>
    </row>
    <row r="611" spans="3:3">
      <c r="C611" s="18"/>
    </row>
    <row r="612" spans="3:3">
      <c r="C612" s="18"/>
    </row>
    <row r="613" spans="3:3">
      <c r="C613" s="18"/>
    </row>
    <row r="614" spans="3:3">
      <c r="C614" s="18"/>
    </row>
    <row r="615" spans="3:3">
      <c r="C615" s="18"/>
    </row>
    <row r="616" spans="3:3">
      <c r="C616" s="18"/>
    </row>
    <row r="617" spans="3:3">
      <c r="C617" s="18"/>
    </row>
    <row r="618" spans="3:3">
      <c r="C618" s="18"/>
    </row>
    <row r="619" spans="3:3">
      <c r="C619" s="18"/>
    </row>
    <row r="620" spans="3:3">
      <c r="C620" s="18"/>
    </row>
    <row r="621" spans="3:3">
      <c r="C621" s="18"/>
    </row>
    <row r="622" spans="3:3">
      <c r="C622" s="18"/>
    </row>
    <row r="623" spans="3:3">
      <c r="C623" s="18"/>
    </row>
    <row r="624" spans="3:3">
      <c r="C624" s="18"/>
    </row>
    <row r="625" spans="3:3">
      <c r="C625" s="18"/>
    </row>
    <row r="626" spans="3:3">
      <c r="C626" s="18"/>
    </row>
    <row r="627" spans="3:3">
      <c r="C627" s="18"/>
    </row>
    <row r="628" spans="3:3">
      <c r="C628" s="18"/>
    </row>
    <row r="629" spans="3:3">
      <c r="C629" s="18"/>
    </row>
    <row r="630" spans="3:3">
      <c r="C630" s="18"/>
    </row>
    <row r="631" spans="3:3">
      <c r="C631" s="18"/>
    </row>
    <row r="632" spans="3:3">
      <c r="C632" s="18"/>
    </row>
    <row r="633" spans="3:3">
      <c r="C633" s="18"/>
    </row>
    <row r="634" spans="3:3">
      <c r="C634" s="18"/>
    </row>
    <row r="635" spans="3:3">
      <c r="C635" s="18"/>
    </row>
    <row r="636" spans="3:3">
      <c r="C636" s="18"/>
    </row>
    <row r="637" spans="3:3">
      <c r="C637" s="18"/>
    </row>
    <row r="638" spans="3:3">
      <c r="C638" s="18"/>
    </row>
    <row r="639" spans="3:3">
      <c r="C639" s="18"/>
    </row>
    <row r="640" spans="3:3">
      <c r="C640" s="18"/>
    </row>
    <row r="641" spans="3:3">
      <c r="C641" s="18"/>
    </row>
    <row r="642" spans="3:3">
      <c r="C642" s="18"/>
    </row>
    <row r="643" spans="3:3">
      <c r="C643" s="18"/>
    </row>
    <row r="644" spans="3:3">
      <c r="C644" s="18"/>
    </row>
    <row r="645" spans="3:3">
      <c r="C645" s="18"/>
    </row>
    <row r="646" spans="3:3">
      <c r="C646" s="18"/>
    </row>
    <row r="647" spans="3:3">
      <c r="C647" s="18"/>
    </row>
    <row r="648" spans="3:3">
      <c r="C648" s="18"/>
    </row>
    <row r="649" spans="3:3">
      <c r="C649" s="18"/>
    </row>
    <row r="650" spans="3:3">
      <c r="C650" s="18"/>
    </row>
    <row r="651" spans="3:3">
      <c r="C651" s="18"/>
    </row>
    <row r="652" spans="3:3">
      <c r="C652" s="18"/>
    </row>
    <row r="653" spans="3:3">
      <c r="C653" s="18"/>
    </row>
    <row r="654" spans="3:3">
      <c r="C654" s="18"/>
    </row>
    <row r="655" spans="3:3">
      <c r="C655" s="18"/>
    </row>
    <row r="656" spans="3:3">
      <c r="C656" s="18"/>
    </row>
    <row r="657" spans="3:3">
      <c r="C657" s="18"/>
    </row>
    <row r="658" spans="3:3">
      <c r="C658" s="18"/>
    </row>
    <row r="659" spans="3:3">
      <c r="C659" s="18"/>
    </row>
    <row r="660" spans="3:3">
      <c r="C660" s="18"/>
    </row>
    <row r="661" spans="3:3">
      <c r="C661" s="18"/>
    </row>
    <row r="662" spans="3:3">
      <c r="C662" s="18"/>
    </row>
    <row r="663" spans="3:3">
      <c r="C663" s="18"/>
    </row>
    <row r="664" spans="3:3">
      <c r="C664" s="18"/>
    </row>
    <row r="665" spans="3:3">
      <c r="C665" s="18"/>
    </row>
    <row r="666" spans="3:3">
      <c r="C666" s="18"/>
    </row>
    <row r="667" spans="3:3">
      <c r="C667" s="18"/>
    </row>
    <row r="668" spans="3:3">
      <c r="C668" s="18"/>
    </row>
    <row r="669" spans="3:3">
      <c r="C669" s="18"/>
    </row>
    <row r="670" spans="3:3">
      <c r="C670" s="18"/>
    </row>
    <row r="671" spans="3:3">
      <c r="C671" s="18"/>
    </row>
    <row r="672" spans="3:3">
      <c r="C672" s="18"/>
    </row>
    <row r="673" spans="3:3">
      <c r="C673" s="18"/>
    </row>
    <row r="674" spans="3:3">
      <c r="C674" s="18"/>
    </row>
    <row r="675" spans="3:3">
      <c r="C675" s="18"/>
    </row>
    <row r="676" spans="3:3">
      <c r="C676" s="18"/>
    </row>
    <row r="677" spans="3:3">
      <c r="C677" s="18"/>
    </row>
    <row r="678" spans="3:3">
      <c r="C678" s="18"/>
    </row>
    <row r="679" spans="3:3">
      <c r="C679" s="18"/>
    </row>
    <row r="680" spans="3:3">
      <c r="C680" s="18"/>
    </row>
    <row r="681" spans="3:3">
      <c r="C681" s="18"/>
    </row>
    <row r="682" spans="3:3">
      <c r="C682" s="18"/>
    </row>
    <row r="683" spans="3:3">
      <c r="C683" s="18"/>
    </row>
    <row r="684" spans="3:3">
      <c r="C684" s="18"/>
    </row>
    <row r="685" spans="3:3">
      <c r="C685" s="18"/>
    </row>
    <row r="686" spans="3:3">
      <c r="C686" s="18"/>
    </row>
    <row r="687" spans="3:3">
      <c r="C687" s="18"/>
    </row>
    <row r="688" spans="3:3">
      <c r="C688" s="18"/>
    </row>
    <row r="689" spans="3:3">
      <c r="C689" s="18"/>
    </row>
    <row r="690" spans="3:3">
      <c r="C690" s="18"/>
    </row>
    <row r="691" spans="3:3">
      <c r="C691" s="18"/>
    </row>
    <row r="692" spans="3:3">
      <c r="C692" s="18"/>
    </row>
    <row r="693" spans="3:3">
      <c r="C693" s="18"/>
    </row>
    <row r="694" spans="3:3">
      <c r="C694" s="18"/>
    </row>
    <row r="695" spans="3:3">
      <c r="C695" s="18"/>
    </row>
    <row r="696" spans="3:3">
      <c r="C696" s="18"/>
    </row>
    <row r="697" spans="3:3">
      <c r="C697" s="18"/>
    </row>
    <row r="698" spans="3:3">
      <c r="C698" s="18"/>
    </row>
    <row r="699" spans="3:3">
      <c r="C699" s="18"/>
    </row>
    <row r="700" spans="3:3">
      <c r="C700" s="18"/>
    </row>
    <row r="701" spans="3:3">
      <c r="C701" s="18"/>
    </row>
    <row r="702" spans="3:3">
      <c r="C702" s="18"/>
    </row>
    <row r="703" spans="3:3">
      <c r="C703" s="18"/>
    </row>
    <row r="704" spans="3:3">
      <c r="C704" s="18"/>
    </row>
    <row r="705" spans="3:3">
      <c r="C705" s="18"/>
    </row>
    <row r="706" spans="3:3">
      <c r="C706" s="18"/>
    </row>
    <row r="707" spans="3:3">
      <c r="C707" s="18"/>
    </row>
    <row r="708" spans="3:3">
      <c r="C708" s="18"/>
    </row>
    <row r="709" spans="3:3">
      <c r="C709" s="18"/>
    </row>
    <row r="710" spans="3:3">
      <c r="C710" s="18"/>
    </row>
    <row r="711" spans="3:3">
      <c r="C711" s="18"/>
    </row>
    <row r="712" spans="3:3">
      <c r="C712" s="18"/>
    </row>
    <row r="713" spans="3:3">
      <c r="C713" s="18"/>
    </row>
    <row r="714" spans="3:3">
      <c r="C714" s="18"/>
    </row>
    <row r="715" spans="3:3">
      <c r="C715" s="18"/>
    </row>
    <row r="716" spans="3:3">
      <c r="C716" s="18"/>
    </row>
    <row r="717" spans="3:3">
      <c r="C717" s="18"/>
    </row>
    <row r="718" spans="3:3">
      <c r="C718" s="18"/>
    </row>
    <row r="719" spans="3:3">
      <c r="C719" s="18"/>
    </row>
    <row r="720" spans="3:3">
      <c r="C720" s="18"/>
    </row>
    <row r="721" spans="3:3">
      <c r="C721" s="18"/>
    </row>
    <row r="722" spans="3:3">
      <c r="C722" s="18"/>
    </row>
    <row r="723" spans="3:3">
      <c r="C723" s="18"/>
    </row>
    <row r="724" spans="3:3">
      <c r="C724" s="18"/>
    </row>
    <row r="725" spans="3:3">
      <c r="C725" s="18"/>
    </row>
    <row r="726" spans="3:3">
      <c r="C726" s="18"/>
    </row>
    <row r="727" spans="3:3">
      <c r="C727" s="18"/>
    </row>
    <row r="728" spans="3:3">
      <c r="C728" s="18"/>
    </row>
    <row r="729" spans="3:3">
      <c r="C729" s="18"/>
    </row>
    <row r="730" spans="3:3">
      <c r="C730" s="18"/>
    </row>
    <row r="731" spans="3:3">
      <c r="C731" s="18"/>
    </row>
    <row r="732" spans="3:3">
      <c r="C732" s="18"/>
    </row>
    <row r="733" spans="3:3">
      <c r="C733" s="18"/>
    </row>
    <row r="734" spans="3:3">
      <c r="C734" s="18"/>
    </row>
    <row r="735" spans="3:3">
      <c r="C735" s="18"/>
    </row>
    <row r="736" spans="3:3">
      <c r="C736" s="18"/>
    </row>
    <row r="737" spans="3:3">
      <c r="C737" s="18"/>
    </row>
    <row r="738" spans="3:3">
      <c r="C738" s="18"/>
    </row>
    <row r="739" spans="3:3">
      <c r="C739" s="18"/>
    </row>
    <row r="740" spans="3:3">
      <c r="C740" s="18"/>
    </row>
    <row r="741" spans="3:3">
      <c r="C741" s="18"/>
    </row>
    <row r="742" spans="3:3">
      <c r="C742" s="18"/>
    </row>
    <row r="743" spans="3:3">
      <c r="C743" s="18"/>
    </row>
    <row r="744" spans="3:3">
      <c r="C744" s="18"/>
    </row>
    <row r="745" spans="3:3">
      <c r="C745" s="18"/>
    </row>
    <row r="746" spans="3:3">
      <c r="C746" s="18"/>
    </row>
    <row r="747" spans="3:3">
      <c r="C747" s="18"/>
    </row>
    <row r="748" spans="3:3">
      <c r="C748" s="18"/>
    </row>
    <row r="749" spans="3:3">
      <c r="C749" s="18"/>
    </row>
    <row r="750" spans="3:3">
      <c r="C750" s="18"/>
    </row>
    <row r="751" spans="3:3">
      <c r="C751" s="18"/>
    </row>
    <row r="752" spans="3:3">
      <c r="C752" s="18"/>
    </row>
    <row r="753" spans="3:3">
      <c r="C753" s="18"/>
    </row>
    <row r="754" spans="3:3">
      <c r="C754" s="18"/>
    </row>
    <row r="755" spans="3:3">
      <c r="C755" s="18"/>
    </row>
    <row r="756" spans="3:3">
      <c r="C756" s="18"/>
    </row>
    <row r="757" spans="3:3">
      <c r="C757" s="18"/>
    </row>
    <row r="758" spans="3:3">
      <c r="C758" s="18"/>
    </row>
    <row r="759" spans="3:3">
      <c r="C759" s="18"/>
    </row>
    <row r="760" spans="3:3">
      <c r="C760" s="18"/>
    </row>
    <row r="761" spans="3:3">
      <c r="C761" s="18"/>
    </row>
    <row r="762" spans="3:3">
      <c r="C762" s="18"/>
    </row>
    <row r="763" spans="3:3">
      <c r="C763" s="18"/>
    </row>
    <row r="764" spans="3:3">
      <c r="C764" s="18"/>
    </row>
    <row r="765" spans="3:3">
      <c r="C765" s="18"/>
    </row>
    <row r="766" spans="3:3">
      <c r="C766" s="18"/>
    </row>
    <row r="767" spans="3:3">
      <c r="C767" s="18"/>
    </row>
    <row r="768" spans="3:3">
      <c r="C768" s="18"/>
    </row>
    <row r="769" spans="3:3">
      <c r="C769" s="18"/>
    </row>
    <row r="770" spans="3:3">
      <c r="C770" s="18"/>
    </row>
    <row r="771" spans="3:3">
      <c r="C771" s="18"/>
    </row>
    <row r="772" spans="3:3">
      <c r="C772" s="18"/>
    </row>
    <row r="773" spans="3:3">
      <c r="C773" s="18"/>
    </row>
    <row r="774" spans="3:3">
      <c r="C774" s="18"/>
    </row>
    <row r="775" spans="3:3">
      <c r="C775" s="18"/>
    </row>
    <row r="776" spans="3:3">
      <c r="C776" s="18"/>
    </row>
    <row r="777" spans="3:3">
      <c r="C777" s="18"/>
    </row>
    <row r="778" spans="3:3">
      <c r="C778" s="18"/>
    </row>
    <row r="779" spans="3:3">
      <c r="C779" s="18"/>
    </row>
    <row r="780" spans="3:3">
      <c r="C780" s="18"/>
    </row>
    <row r="781" spans="3:3">
      <c r="C781" s="18"/>
    </row>
    <row r="782" spans="3:3">
      <c r="C782" s="18"/>
    </row>
    <row r="783" spans="3:3">
      <c r="C783" s="18"/>
    </row>
    <row r="784" spans="3:3">
      <c r="C784" s="18"/>
    </row>
    <row r="785" spans="3:3">
      <c r="C785" s="18"/>
    </row>
    <row r="786" spans="3:3">
      <c r="C786" s="18"/>
    </row>
    <row r="787" spans="3:3">
      <c r="C787" s="18"/>
    </row>
    <row r="788" spans="3:3">
      <c r="C788" s="18"/>
    </row>
    <row r="789" spans="3:3">
      <c r="C789" s="18"/>
    </row>
    <row r="790" spans="3:3">
      <c r="C790" s="18"/>
    </row>
    <row r="791" spans="3:3">
      <c r="C791" s="18"/>
    </row>
    <row r="792" spans="3:3">
      <c r="C792" s="18"/>
    </row>
    <row r="793" spans="3:3">
      <c r="C793" s="18"/>
    </row>
    <row r="794" spans="3:3">
      <c r="C794" s="18"/>
    </row>
    <row r="795" spans="3:3">
      <c r="C795" s="18"/>
    </row>
    <row r="796" spans="3:3">
      <c r="C796" s="18"/>
    </row>
    <row r="797" spans="3:3">
      <c r="C797" s="18"/>
    </row>
    <row r="798" spans="3:3">
      <c r="C798" s="18"/>
    </row>
    <row r="799" spans="3:3">
      <c r="C799" s="18"/>
    </row>
    <row r="800" spans="3:3">
      <c r="C800" s="18"/>
    </row>
    <row r="801" spans="3:3">
      <c r="C801" s="18"/>
    </row>
    <row r="802" spans="3:3">
      <c r="C802" s="18"/>
    </row>
    <row r="803" spans="3:3">
      <c r="C803" s="18"/>
    </row>
    <row r="804" spans="3:3">
      <c r="C804" s="18"/>
    </row>
    <row r="805" spans="3:3">
      <c r="C805" s="18"/>
    </row>
    <row r="806" spans="3:3">
      <c r="C806" s="18"/>
    </row>
    <row r="807" spans="3:3">
      <c r="C807" s="18"/>
    </row>
    <row r="808" spans="3:3">
      <c r="C808" s="18"/>
    </row>
    <row r="809" spans="3:3">
      <c r="C809" s="18"/>
    </row>
    <row r="810" spans="3:3">
      <c r="C810" s="18"/>
    </row>
    <row r="811" spans="3:3">
      <c r="C811" s="18"/>
    </row>
    <row r="812" spans="3:3">
      <c r="C812" s="18"/>
    </row>
    <row r="813" spans="3:3">
      <c r="C813" s="18"/>
    </row>
    <row r="814" spans="3:3">
      <c r="C814" s="18"/>
    </row>
    <row r="815" spans="3:3">
      <c r="C815" s="18"/>
    </row>
    <row r="816" spans="3:3">
      <c r="C816" s="18"/>
    </row>
    <row r="817" spans="3:3">
      <c r="C817" s="18"/>
    </row>
    <row r="818" spans="3:3">
      <c r="C818" s="18"/>
    </row>
    <row r="819" spans="3:3">
      <c r="C819" s="18"/>
    </row>
    <row r="820" spans="3:3">
      <c r="C820" s="18"/>
    </row>
    <row r="821" spans="3:3">
      <c r="C821" s="18"/>
    </row>
    <row r="822" spans="3:3">
      <c r="C822" s="18"/>
    </row>
    <row r="823" spans="3:3">
      <c r="C823" s="18"/>
    </row>
    <row r="824" spans="3:3">
      <c r="C824" s="18"/>
    </row>
    <row r="825" spans="3:3">
      <c r="C825" s="18"/>
    </row>
    <row r="826" spans="3:3">
      <c r="C826" s="18"/>
    </row>
    <row r="827" spans="3:3">
      <c r="C827" s="18"/>
    </row>
    <row r="828" spans="3:3">
      <c r="C828" s="18"/>
    </row>
    <row r="829" spans="3:3">
      <c r="C829" s="18"/>
    </row>
    <row r="830" spans="3:3">
      <c r="C830" s="18"/>
    </row>
    <row r="831" spans="3:3">
      <c r="C831" s="18"/>
    </row>
    <row r="832" spans="3:3">
      <c r="C832" s="18"/>
    </row>
    <row r="833" spans="3:3">
      <c r="C833" s="18"/>
    </row>
    <row r="834" spans="3:3">
      <c r="C834" s="18"/>
    </row>
    <row r="835" spans="3:3">
      <c r="C835" s="18"/>
    </row>
    <row r="836" spans="3:3">
      <c r="C836" s="18"/>
    </row>
    <row r="837" spans="3:3">
      <c r="C837" s="18"/>
    </row>
    <row r="838" spans="3:3">
      <c r="C838" s="18"/>
    </row>
    <row r="839" spans="3:3">
      <c r="C839" s="18"/>
    </row>
    <row r="840" spans="3:3">
      <c r="C840" s="18"/>
    </row>
    <row r="841" spans="3:3">
      <c r="C841" s="18"/>
    </row>
    <row r="842" spans="3:3">
      <c r="C842" s="18"/>
    </row>
    <row r="843" spans="3:3">
      <c r="C843" s="18"/>
    </row>
    <row r="844" spans="3:3">
      <c r="C844" s="18"/>
    </row>
    <row r="845" spans="3:3">
      <c r="C845" s="18"/>
    </row>
    <row r="846" spans="3:3">
      <c r="C846" s="18"/>
    </row>
    <row r="847" spans="3:3">
      <c r="C847" s="18"/>
    </row>
    <row r="848" spans="3:3">
      <c r="C848" s="18"/>
    </row>
    <row r="849" spans="3:3">
      <c r="C849" s="18"/>
    </row>
    <row r="850" spans="3:3">
      <c r="C850" s="18"/>
    </row>
    <row r="851" spans="3:3">
      <c r="C851" s="18"/>
    </row>
    <row r="852" spans="3:3">
      <c r="C852" s="18"/>
    </row>
    <row r="853" spans="3:3">
      <c r="C853" s="18"/>
    </row>
    <row r="854" spans="3:3">
      <c r="C854" s="18"/>
    </row>
    <row r="855" spans="3:3">
      <c r="C855" s="18"/>
    </row>
    <row r="856" spans="3:3">
      <c r="C856" s="18"/>
    </row>
    <row r="857" spans="3:3">
      <c r="C857" s="18"/>
    </row>
    <row r="858" spans="3:3">
      <c r="C858" s="18"/>
    </row>
    <row r="859" spans="3:3">
      <c r="C859" s="18"/>
    </row>
    <row r="860" spans="3:3">
      <c r="C860" s="18"/>
    </row>
    <row r="861" spans="3:3">
      <c r="C861" s="18"/>
    </row>
    <row r="862" spans="3:3">
      <c r="C862" s="18"/>
    </row>
    <row r="863" spans="3:3">
      <c r="C863" s="18"/>
    </row>
    <row r="864" spans="3:3">
      <c r="C864" s="18"/>
    </row>
    <row r="865" spans="3:3">
      <c r="C865" s="18"/>
    </row>
    <row r="866" spans="3:3">
      <c r="C866" s="18"/>
    </row>
    <row r="867" spans="3:3">
      <c r="C867" s="18"/>
    </row>
    <row r="868" spans="3:3">
      <c r="C868" s="18"/>
    </row>
    <row r="869" spans="3:3">
      <c r="C869" s="18"/>
    </row>
    <row r="870" spans="3:3">
      <c r="C870" s="18"/>
    </row>
    <row r="871" spans="3:3">
      <c r="C871" s="18"/>
    </row>
    <row r="872" spans="3:3">
      <c r="C872" s="18"/>
    </row>
    <row r="873" spans="3:3">
      <c r="C873" s="18"/>
    </row>
    <row r="874" spans="3:3">
      <c r="C874" s="18"/>
    </row>
    <row r="875" spans="3:3">
      <c r="C875" s="18"/>
    </row>
    <row r="876" spans="3:3">
      <c r="C876" s="18"/>
    </row>
    <row r="877" spans="3:3">
      <c r="C877" s="18"/>
    </row>
    <row r="878" spans="3:3">
      <c r="C878" s="18"/>
    </row>
    <row r="879" spans="3:3">
      <c r="C879" s="18"/>
    </row>
    <row r="880" spans="3:3">
      <c r="C880" s="18"/>
    </row>
    <row r="881" spans="3:3">
      <c r="C881" s="18"/>
    </row>
    <row r="882" spans="3:3">
      <c r="C882" s="18"/>
    </row>
    <row r="883" spans="3:3">
      <c r="C883" s="18"/>
    </row>
    <row r="884" spans="3:3">
      <c r="C884" s="18"/>
    </row>
    <row r="885" spans="3:3">
      <c r="C885" s="18"/>
    </row>
    <row r="886" spans="3:3">
      <c r="C886" s="18"/>
    </row>
    <row r="887" spans="3:3">
      <c r="C887" s="18"/>
    </row>
    <row r="888" spans="3:3">
      <c r="C888" s="18"/>
    </row>
    <row r="889" spans="3:3">
      <c r="C889" s="18"/>
    </row>
    <row r="890" spans="3:3">
      <c r="C890" s="18"/>
    </row>
    <row r="891" spans="3:3">
      <c r="C891" s="18"/>
    </row>
    <row r="892" spans="3:3">
      <c r="C892" s="18"/>
    </row>
    <row r="893" spans="3:3">
      <c r="C893" s="18"/>
    </row>
    <row r="894" spans="3:3">
      <c r="C894" s="18"/>
    </row>
    <row r="895" spans="3:3">
      <c r="C895" s="18"/>
    </row>
    <row r="896" spans="3:3">
      <c r="C896" s="18"/>
    </row>
    <row r="897" spans="3:3">
      <c r="C897" s="18"/>
    </row>
    <row r="898" spans="3:3">
      <c r="C898" s="18"/>
    </row>
    <row r="899" spans="3:3">
      <c r="C899" s="18"/>
    </row>
    <row r="900" spans="3:3">
      <c r="C900" s="18"/>
    </row>
    <row r="901" spans="3:3">
      <c r="C901" s="18"/>
    </row>
    <row r="902" spans="3:3">
      <c r="C902" s="18"/>
    </row>
    <row r="903" spans="3:3">
      <c r="C903" s="18"/>
    </row>
    <row r="904" spans="3:3">
      <c r="C904" s="18"/>
    </row>
    <row r="905" spans="3:3">
      <c r="C905" s="18"/>
    </row>
    <row r="906" spans="3:3">
      <c r="C906" s="18"/>
    </row>
    <row r="907" spans="3:3">
      <c r="C907" s="18"/>
    </row>
    <row r="908" spans="3:3">
      <c r="C908" s="18"/>
    </row>
    <row r="909" spans="3:3">
      <c r="C909" s="18"/>
    </row>
    <row r="910" spans="3:3">
      <c r="C910" s="18"/>
    </row>
    <row r="911" spans="3:3">
      <c r="C911" s="18"/>
    </row>
    <row r="912" spans="3:3">
      <c r="C912" s="18"/>
    </row>
    <row r="913" spans="3:3">
      <c r="C913" s="18"/>
    </row>
    <row r="914" spans="3:3">
      <c r="C914" s="18"/>
    </row>
    <row r="915" spans="3:3">
      <c r="C915" s="18"/>
    </row>
    <row r="916" spans="3:3">
      <c r="C916" s="18"/>
    </row>
    <row r="917" spans="3:3">
      <c r="C917" s="18"/>
    </row>
    <row r="918" spans="3:3">
      <c r="C918" s="18"/>
    </row>
    <row r="919" spans="3:3">
      <c r="C919" s="18"/>
    </row>
    <row r="920" spans="3:3">
      <c r="C920" s="18"/>
    </row>
    <row r="921" spans="3:3">
      <c r="C921" s="18"/>
    </row>
    <row r="922" spans="3:3">
      <c r="C922" s="18"/>
    </row>
    <row r="923" spans="3:3">
      <c r="C923" s="18"/>
    </row>
    <row r="924" spans="3:3">
      <c r="C924" s="18"/>
    </row>
    <row r="925" spans="3:3">
      <c r="C925" s="18"/>
    </row>
    <row r="926" spans="3:3">
      <c r="C926" s="18"/>
    </row>
    <row r="927" spans="3:3">
      <c r="C927" s="18"/>
    </row>
    <row r="928" spans="3:3">
      <c r="C928" s="18"/>
    </row>
    <row r="929" spans="3:3">
      <c r="C929" s="18"/>
    </row>
    <row r="930" spans="3:3">
      <c r="C930" s="18"/>
    </row>
    <row r="931" spans="3:3">
      <c r="C931" s="18"/>
    </row>
    <row r="932" spans="3:3">
      <c r="C932" s="18"/>
    </row>
    <row r="933" spans="3:3">
      <c r="C933" s="18"/>
    </row>
    <row r="934" spans="3:3">
      <c r="C934" s="18"/>
    </row>
    <row r="935" spans="3:3">
      <c r="C935" s="18"/>
    </row>
    <row r="936" spans="3:3">
      <c r="C936" s="18"/>
    </row>
    <row r="937" spans="3:3">
      <c r="C937" s="18"/>
    </row>
    <row r="938" spans="3:3">
      <c r="C938" s="18"/>
    </row>
    <row r="939" spans="3:3">
      <c r="C939" s="18"/>
    </row>
    <row r="940" spans="3:3">
      <c r="C940" s="18"/>
    </row>
    <row r="941" spans="3:3">
      <c r="C941" s="18"/>
    </row>
    <row r="942" spans="3:3">
      <c r="C942" s="18"/>
    </row>
    <row r="943" spans="3:3">
      <c r="C943" s="18"/>
    </row>
    <row r="944" spans="3:3">
      <c r="C944" s="18"/>
    </row>
    <row r="945" spans="3:3">
      <c r="C945" s="18"/>
    </row>
    <row r="946" spans="3:3">
      <c r="C946" s="18"/>
    </row>
    <row r="947" spans="3:3">
      <c r="C947" s="18"/>
    </row>
    <row r="948" spans="3:3">
      <c r="C948" s="18"/>
    </row>
    <row r="949" spans="3:3">
      <c r="C949" s="18"/>
    </row>
    <row r="950" spans="3:3">
      <c r="C950" s="18"/>
    </row>
    <row r="951" spans="3:3">
      <c r="C951" s="18"/>
    </row>
    <row r="952" spans="3:3">
      <c r="C952" s="18"/>
    </row>
    <row r="953" spans="3:3">
      <c r="C953" s="18"/>
    </row>
    <row r="954" spans="3:3">
      <c r="C954" s="18"/>
    </row>
    <row r="955" spans="3:3">
      <c r="C955" s="18"/>
    </row>
    <row r="956" spans="3:3">
      <c r="C956" s="18"/>
    </row>
    <row r="957" spans="3:3">
      <c r="C957" s="18"/>
    </row>
    <row r="958" spans="3:3">
      <c r="C958" s="18"/>
    </row>
    <row r="959" spans="3:3">
      <c r="C959" s="18"/>
    </row>
    <row r="960" spans="3:3">
      <c r="C960" s="18"/>
    </row>
    <row r="961" spans="3:3">
      <c r="C961" s="18"/>
    </row>
    <row r="962" spans="3:3">
      <c r="C962" s="18"/>
    </row>
    <row r="963" spans="3:3">
      <c r="C963" s="18"/>
    </row>
    <row r="964" spans="3:3">
      <c r="C964" s="18"/>
    </row>
    <row r="965" spans="3:3">
      <c r="C965" s="18"/>
    </row>
    <row r="966" spans="3:3">
      <c r="C966" s="18"/>
    </row>
    <row r="967" spans="3:3">
      <c r="C967" s="18"/>
    </row>
    <row r="968" spans="3:3">
      <c r="C968" s="18"/>
    </row>
    <row r="969" spans="3:3">
      <c r="C969" s="18"/>
    </row>
    <row r="970" spans="3:3">
      <c r="C970" s="18"/>
    </row>
    <row r="971" spans="3:3">
      <c r="C971" s="18"/>
    </row>
    <row r="972" spans="3:3">
      <c r="C972" s="18"/>
    </row>
    <row r="973" spans="3:3">
      <c r="C973" s="18"/>
    </row>
    <row r="974" spans="3:3">
      <c r="C974" s="18"/>
    </row>
    <row r="975" spans="3:3">
      <c r="C975" s="18"/>
    </row>
    <row r="976" spans="3:3">
      <c r="C976" s="18"/>
    </row>
    <row r="977" spans="3:3">
      <c r="C977" s="18"/>
    </row>
    <row r="978" spans="3:3">
      <c r="C978" s="18"/>
    </row>
    <row r="979" spans="3:3">
      <c r="C979" s="18"/>
    </row>
    <row r="980" spans="3:3">
      <c r="C980" s="18"/>
    </row>
    <row r="981" spans="3:3">
      <c r="C981" s="18"/>
    </row>
    <row r="982" spans="3:3">
      <c r="C982" s="18"/>
    </row>
    <row r="983" spans="3:3">
      <c r="C983" s="18"/>
    </row>
    <row r="984" spans="3:3">
      <c r="C984" s="18"/>
    </row>
    <row r="985" spans="3:3">
      <c r="C985" s="18"/>
    </row>
    <row r="986" spans="3:3">
      <c r="C986" s="18"/>
    </row>
    <row r="987" spans="3:3">
      <c r="C987" s="18"/>
    </row>
    <row r="988" spans="3:3">
      <c r="C988" s="18"/>
    </row>
    <row r="989" spans="3:3">
      <c r="C989" s="18"/>
    </row>
    <row r="990" spans="3:3">
      <c r="C990" s="18"/>
    </row>
    <row r="991" spans="3:3">
      <c r="C991" s="18"/>
    </row>
    <row r="992" spans="3:3">
      <c r="C992" s="18"/>
    </row>
    <row r="993" spans="3:3">
      <c r="C993" s="18"/>
    </row>
    <row r="994" spans="3:3">
      <c r="C994" s="18"/>
    </row>
    <row r="995" spans="3:3">
      <c r="C995" s="18"/>
    </row>
    <row r="996" spans="3:3">
      <c r="C996" s="18"/>
    </row>
    <row r="997" spans="3:3">
      <c r="C997" s="18"/>
    </row>
    <row r="998" spans="3:3">
      <c r="C998" s="18"/>
    </row>
    <row r="999" spans="3:3">
      <c r="C999" s="18"/>
    </row>
    <row r="1000" spans="3:3">
      <c r="C1000" s="18"/>
    </row>
    <row r="1001" spans="3:3">
      <c r="C1001" s="18"/>
    </row>
    <row r="1002" spans="3:3">
      <c r="C1002" s="18"/>
    </row>
    <row r="1003" spans="3:3">
      <c r="C1003" s="18"/>
    </row>
    <row r="1004" spans="3:3">
      <c r="C1004" s="18"/>
    </row>
    <row r="1005" spans="3:3">
      <c r="C1005" s="18"/>
    </row>
    <row r="1006" spans="3:3">
      <c r="C1006" s="18"/>
    </row>
    <row r="1007" spans="3:3">
      <c r="C1007" s="18"/>
    </row>
    <row r="1008" spans="3:3">
      <c r="C1008" s="18"/>
    </row>
    <row r="1009" spans="3:3">
      <c r="C1009" s="18"/>
    </row>
    <row r="1010" spans="3:3">
      <c r="C1010" s="18"/>
    </row>
    <row r="1011" spans="3:3">
      <c r="C1011" s="18"/>
    </row>
    <row r="1012" spans="3:3">
      <c r="C1012" s="18"/>
    </row>
    <row r="1013" spans="3:3">
      <c r="C1013" s="18"/>
    </row>
    <row r="1014" spans="3:3">
      <c r="C1014" s="18"/>
    </row>
    <row r="1015" spans="3:3">
      <c r="C1015" s="18"/>
    </row>
    <row r="1016" spans="3:3">
      <c r="C1016" s="18"/>
    </row>
    <row r="1017" spans="3:3">
      <c r="C1017" s="18"/>
    </row>
    <row r="1018" spans="3:3">
      <c r="C1018" s="18"/>
    </row>
    <row r="1019" spans="3:3">
      <c r="C1019" s="18"/>
    </row>
    <row r="1020" spans="3:3">
      <c r="C1020" s="18"/>
    </row>
    <row r="1021" spans="3:3">
      <c r="C1021" s="18"/>
    </row>
    <row r="1022" spans="3:3">
      <c r="C1022" s="18"/>
    </row>
    <row r="1023" spans="3:3">
      <c r="C1023" s="18"/>
    </row>
    <row r="1024" spans="3:3">
      <c r="C1024" s="18"/>
    </row>
    <row r="1025" spans="3:3">
      <c r="C1025" s="18"/>
    </row>
    <row r="1026" spans="3:3">
      <c r="C1026" s="18"/>
    </row>
    <row r="1027" spans="3:3">
      <c r="C1027" s="18"/>
    </row>
    <row r="1028" spans="3:3">
      <c r="C1028" s="18"/>
    </row>
    <row r="1029" spans="3:3">
      <c r="C1029" s="18"/>
    </row>
    <row r="1030" spans="3:3">
      <c r="C1030" s="18"/>
    </row>
    <row r="1031" spans="3:3">
      <c r="C1031" s="18"/>
    </row>
    <row r="1032" spans="3:3">
      <c r="C1032" s="18"/>
    </row>
    <row r="1033" spans="3:3">
      <c r="C1033" s="18"/>
    </row>
    <row r="1034" spans="3:3">
      <c r="C1034" s="18"/>
    </row>
    <row r="1035" spans="3:3">
      <c r="C1035" s="18"/>
    </row>
    <row r="1036" spans="3:3">
      <c r="C1036" s="18"/>
    </row>
    <row r="1037" spans="3:3">
      <c r="C1037" s="18"/>
    </row>
    <row r="1038" spans="3:3">
      <c r="C1038" s="18"/>
    </row>
    <row r="1039" spans="3:3">
      <c r="C1039" s="18"/>
    </row>
    <row r="1040" spans="3:3">
      <c r="C1040" s="18"/>
    </row>
    <row r="1041" spans="3:3">
      <c r="C1041" s="18"/>
    </row>
    <row r="1042" spans="3:3">
      <c r="C1042" s="18"/>
    </row>
    <row r="1043" spans="3:3">
      <c r="C1043" s="18"/>
    </row>
    <row r="1044" spans="3:3">
      <c r="C1044" s="18"/>
    </row>
    <row r="1045" spans="3:3">
      <c r="C1045" s="18"/>
    </row>
    <row r="1046" spans="3:3">
      <c r="C1046" s="18"/>
    </row>
    <row r="1047" spans="3:3">
      <c r="C1047" s="18"/>
    </row>
    <row r="1048" spans="3:3">
      <c r="C1048" s="18"/>
    </row>
    <row r="1049" spans="3:3">
      <c r="C1049" s="18"/>
    </row>
    <row r="1050" spans="3:3">
      <c r="C1050" s="18"/>
    </row>
    <row r="1051" spans="3:3">
      <c r="C1051" s="18"/>
    </row>
    <row r="1052" spans="3:3">
      <c r="C1052" s="18"/>
    </row>
    <row r="1053" spans="3:3">
      <c r="C1053" s="18"/>
    </row>
    <row r="1054" spans="3:3">
      <c r="C1054" s="18"/>
    </row>
    <row r="1055" spans="3:3">
      <c r="C1055" s="18"/>
    </row>
    <row r="1056" spans="3:3">
      <c r="C1056" s="18"/>
    </row>
    <row r="1057" spans="3:3">
      <c r="C1057" s="18"/>
    </row>
    <row r="1058" spans="3:3">
      <c r="C1058" s="18"/>
    </row>
    <row r="1059" spans="3:3">
      <c r="C1059" s="18"/>
    </row>
    <row r="1060" spans="3:3">
      <c r="C1060" s="18"/>
    </row>
    <row r="1061" spans="3:3">
      <c r="C1061" s="18"/>
    </row>
    <row r="1062" spans="3:3">
      <c r="C1062" s="18"/>
    </row>
    <row r="1063" spans="3:3">
      <c r="C1063" s="18"/>
    </row>
    <row r="1064" spans="3:3">
      <c r="C1064" s="18"/>
    </row>
    <row r="1065" spans="3:3">
      <c r="C1065" s="18"/>
    </row>
    <row r="1066" spans="3:3">
      <c r="C1066" s="18"/>
    </row>
    <row r="1067" spans="3:3">
      <c r="C1067" s="18"/>
    </row>
    <row r="1068" spans="3:3">
      <c r="C1068" s="18"/>
    </row>
    <row r="1069" spans="3:3">
      <c r="C1069" s="18"/>
    </row>
    <row r="1070" spans="3:3">
      <c r="C1070" s="18"/>
    </row>
    <row r="1071" spans="3:3">
      <c r="C1071" s="18"/>
    </row>
    <row r="1072" spans="3:3">
      <c r="C1072" s="18"/>
    </row>
    <row r="1073" spans="3:3">
      <c r="C1073" s="18"/>
    </row>
    <row r="1074" spans="3:3">
      <c r="C1074" s="18"/>
    </row>
    <row r="1075" spans="3:3">
      <c r="C1075" s="18"/>
    </row>
    <row r="1076" spans="3:3">
      <c r="C1076" s="18"/>
    </row>
    <row r="1077" spans="3:3">
      <c r="C1077" s="18"/>
    </row>
    <row r="1078" spans="3:3">
      <c r="C1078" s="18"/>
    </row>
    <row r="1079" spans="3:3">
      <c r="C1079" s="18"/>
    </row>
    <row r="1080" spans="3:3">
      <c r="C1080" s="18"/>
    </row>
    <row r="1081" spans="3:3">
      <c r="C1081" s="18"/>
    </row>
    <row r="1082" spans="3:3">
      <c r="C1082" s="18"/>
    </row>
    <row r="1083" spans="3:3">
      <c r="C1083" s="18"/>
    </row>
    <row r="1084" spans="3:3">
      <c r="C1084" s="18"/>
    </row>
    <row r="1085" spans="3:3">
      <c r="C1085" s="18"/>
    </row>
    <row r="1086" spans="3:3">
      <c r="C1086" s="18"/>
    </row>
    <row r="1087" spans="3:3">
      <c r="C1087" s="18"/>
    </row>
    <row r="1088" spans="3:3">
      <c r="C1088" s="18"/>
    </row>
    <row r="1089" spans="3:3">
      <c r="C1089" s="18"/>
    </row>
    <row r="1090" spans="3:3">
      <c r="C1090" s="18"/>
    </row>
    <row r="1091" spans="3:3">
      <c r="C1091" s="18"/>
    </row>
    <row r="1092" spans="3:3">
      <c r="C1092" s="18"/>
    </row>
    <row r="1093" spans="3:3">
      <c r="C1093" s="18"/>
    </row>
    <row r="1094" spans="3:3">
      <c r="C1094" s="18"/>
    </row>
    <row r="1095" spans="3:3">
      <c r="C1095" s="18"/>
    </row>
    <row r="1096" spans="3:3">
      <c r="C1096" s="18"/>
    </row>
    <row r="1097" spans="3:3">
      <c r="C1097" s="18"/>
    </row>
    <row r="1098" spans="3:3">
      <c r="C1098" s="18"/>
    </row>
    <row r="1099" spans="3:3">
      <c r="C1099" s="18"/>
    </row>
    <row r="1100" spans="3:3">
      <c r="C1100" s="18"/>
    </row>
    <row r="1101" spans="3:3">
      <c r="C1101" s="18"/>
    </row>
    <row r="1102" spans="3:3">
      <c r="C1102" s="18"/>
    </row>
    <row r="1103" spans="3:3">
      <c r="C1103" s="18"/>
    </row>
    <row r="1104" spans="3:3">
      <c r="C1104" s="18"/>
    </row>
    <row r="1105" spans="3:3">
      <c r="C1105" s="18"/>
    </row>
    <row r="1106" spans="3:3">
      <c r="C1106" s="18"/>
    </row>
    <row r="1107" spans="3:3">
      <c r="C1107" s="18"/>
    </row>
    <row r="1108" spans="3:3">
      <c r="C1108" s="18"/>
    </row>
    <row r="1109" spans="3:3">
      <c r="C1109" s="18"/>
    </row>
    <row r="1110" spans="3:3">
      <c r="C1110" s="18"/>
    </row>
    <row r="1111" spans="3:3">
      <c r="C1111" s="18"/>
    </row>
    <row r="1112" spans="3:3">
      <c r="C1112" s="18"/>
    </row>
    <row r="1113" spans="3:3">
      <c r="C1113" s="18"/>
    </row>
    <row r="1114" spans="3:3">
      <c r="C1114" s="18"/>
    </row>
    <row r="1115" spans="3:3">
      <c r="C1115" s="18"/>
    </row>
    <row r="1116" spans="3:3">
      <c r="C1116" s="18"/>
    </row>
    <row r="1117" spans="3:3">
      <c r="C1117" s="18"/>
    </row>
    <row r="1118" spans="3:3">
      <c r="C1118" s="18"/>
    </row>
    <row r="1119" spans="3:3">
      <c r="C1119" s="18"/>
    </row>
    <row r="1120" spans="3:3">
      <c r="C1120" s="18"/>
    </row>
    <row r="1121" spans="3:3">
      <c r="C1121" s="18"/>
    </row>
    <row r="1122" spans="3:3">
      <c r="C1122" s="18"/>
    </row>
    <row r="1123" spans="3:3">
      <c r="C1123" s="18"/>
    </row>
    <row r="1124" spans="3:3">
      <c r="C1124" s="18"/>
    </row>
    <row r="1125" spans="3:3">
      <c r="C1125" s="18"/>
    </row>
    <row r="1126" spans="3:3">
      <c r="C1126" s="18"/>
    </row>
    <row r="1127" spans="3:3">
      <c r="C1127" s="18"/>
    </row>
    <row r="1128" spans="3:3">
      <c r="C1128" s="18"/>
    </row>
    <row r="1129" spans="3:3">
      <c r="C1129" s="18"/>
    </row>
    <row r="1130" spans="3:3">
      <c r="C1130" s="18"/>
    </row>
    <row r="1131" spans="3:3">
      <c r="C1131" s="18"/>
    </row>
    <row r="1132" spans="3:3">
      <c r="C1132" s="18"/>
    </row>
    <row r="1133" spans="3:3">
      <c r="C1133" s="18"/>
    </row>
    <row r="1134" spans="3:3">
      <c r="C1134" s="18"/>
    </row>
    <row r="1135" spans="3:3">
      <c r="C1135" s="18"/>
    </row>
    <row r="1136" spans="3:3">
      <c r="C1136" s="18"/>
    </row>
    <row r="1137" spans="3:3">
      <c r="C1137" s="18"/>
    </row>
    <row r="1138" spans="3:3">
      <c r="C1138" s="18"/>
    </row>
    <row r="1139" spans="3:3">
      <c r="C1139" s="18"/>
    </row>
    <row r="1140" spans="3:3">
      <c r="C1140" s="18"/>
    </row>
    <row r="1141" spans="3:3">
      <c r="C1141" s="18"/>
    </row>
    <row r="1142" spans="3:3">
      <c r="C1142" s="18"/>
    </row>
    <row r="1143" spans="3:3">
      <c r="C1143" s="18"/>
    </row>
    <row r="1144" spans="3:3">
      <c r="C1144" s="18"/>
    </row>
    <row r="1145" spans="3:3">
      <c r="C1145" s="18"/>
    </row>
    <row r="1146" spans="3:3">
      <c r="C1146" s="18"/>
    </row>
    <row r="1147" spans="3:3">
      <c r="C1147" s="18"/>
    </row>
    <row r="1148" spans="3:3">
      <c r="C1148" s="18"/>
    </row>
    <row r="1149" spans="3:3">
      <c r="C1149" s="18"/>
    </row>
    <row r="1150" spans="3:3">
      <c r="C1150" s="18"/>
    </row>
    <row r="1151" spans="3:3">
      <c r="C1151" s="18"/>
    </row>
    <row r="1152" spans="3:3">
      <c r="C1152" s="18"/>
    </row>
    <row r="1153" spans="3:3">
      <c r="C1153" s="18"/>
    </row>
    <row r="1154" spans="3:3">
      <c r="C1154" s="18"/>
    </row>
    <row r="1155" spans="3:3">
      <c r="C1155" s="18"/>
    </row>
    <row r="1156" spans="3:3">
      <c r="C1156" s="18"/>
    </row>
    <row r="1157" spans="3:3">
      <c r="C1157" s="18"/>
    </row>
    <row r="1158" spans="3:3">
      <c r="C1158" s="18"/>
    </row>
    <row r="1159" spans="3:3">
      <c r="C1159" s="18"/>
    </row>
    <row r="1160" spans="3:3">
      <c r="C1160" s="18"/>
    </row>
    <row r="1161" spans="3:3">
      <c r="C1161" s="18"/>
    </row>
    <row r="1162" spans="3:3">
      <c r="C1162" s="18"/>
    </row>
    <row r="1163" spans="3:3">
      <c r="C1163" s="18"/>
    </row>
    <row r="1164" spans="3:3">
      <c r="C1164" s="18"/>
    </row>
    <row r="1165" spans="3:3">
      <c r="C1165" s="18"/>
    </row>
    <row r="1166" spans="3:3">
      <c r="C1166" s="18"/>
    </row>
    <row r="1167" spans="3:3">
      <c r="C1167" s="18"/>
    </row>
    <row r="1168" spans="3:3">
      <c r="C1168" s="18"/>
    </row>
    <row r="1169" spans="3:3">
      <c r="C1169" s="18"/>
    </row>
    <row r="1170" spans="3:3">
      <c r="C1170" s="18"/>
    </row>
    <row r="1171" spans="3:3">
      <c r="C1171" s="18"/>
    </row>
    <row r="1172" spans="3:3">
      <c r="C1172" s="18"/>
    </row>
    <row r="1173" spans="3:3">
      <c r="C1173" s="18"/>
    </row>
    <row r="1174" spans="3:3">
      <c r="C1174" s="18"/>
    </row>
    <row r="1175" spans="3:3">
      <c r="C1175" s="18"/>
    </row>
    <row r="1176" spans="3:3">
      <c r="C1176" s="18"/>
    </row>
    <row r="1177" spans="3:3">
      <c r="C1177" s="18"/>
    </row>
    <row r="1178" spans="3:3">
      <c r="C1178" s="18"/>
    </row>
    <row r="1179" spans="3:3">
      <c r="C1179" s="18"/>
    </row>
    <row r="1180" spans="3:3">
      <c r="C1180" s="18"/>
    </row>
    <row r="1181" spans="3:3">
      <c r="C1181" s="18"/>
    </row>
    <row r="1182" spans="3:3">
      <c r="C1182" s="18"/>
    </row>
    <row r="1183" spans="3:3">
      <c r="C1183" s="18"/>
    </row>
    <row r="1184" spans="3:3">
      <c r="C1184" s="18"/>
    </row>
    <row r="1185" spans="3:3">
      <c r="C1185" s="18"/>
    </row>
    <row r="1186" spans="3:3">
      <c r="C1186" s="18"/>
    </row>
    <row r="1187" spans="3:3">
      <c r="C1187" s="18"/>
    </row>
    <row r="1188" spans="3:3">
      <c r="C1188" s="18"/>
    </row>
    <row r="1189" spans="3:3">
      <c r="C1189" s="18"/>
    </row>
    <row r="1190" spans="3:3">
      <c r="C1190" s="18"/>
    </row>
    <row r="1191" spans="3:3">
      <c r="C1191" s="18"/>
    </row>
    <row r="1192" spans="3:3">
      <c r="C1192" s="18"/>
    </row>
    <row r="1193" spans="3:3">
      <c r="C1193" s="18"/>
    </row>
    <row r="1194" spans="3:3">
      <c r="C1194" s="18"/>
    </row>
    <row r="1195" spans="3:3">
      <c r="C1195" s="18"/>
    </row>
    <row r="1196" spans="3:3">
      <c r="C1196" s="18"/>
    </row>
    <row r="1197" spans="3:3">
      <c r="C1197" s="18"/>
    </row>
    <row r="1198" spans="3:3">
      <c r="C1198" s="18"/>
    </row>
    <row r="1199" spans="3:3">
      <c r="C1199" s="18"/>
    </row>
    <row r="1200" spans="3:3">
      <c r="C1200" s="18"/>
    </row>
    <row r="1201" spans="3:3">
      <c r="C1201" s="18"/>
    </row>
    <row r="1202" spans="3:3">
      <c r="C1202" s="18"/>
    </row>
    <row r="1203" spans="3:3">
      <c r="C1203" s="18"/>
    </row>
    <row r="1204" spans="3:3">
      <c r="C1204" s="18"/>
    </row>
    <row r="1205" spans="3:3">
      <c r="C1205" s="18"/>
    </row>
    <row r="1206" spans="3:3">
      <c r="C1206" s="18"/>
    </row>
    <row r="1207" spans="3:3">
      <c r="C1207" s="18"/>
    </row>
    <row r="1208" spans="3:3">
      <c r="C1208" s="18"/>
    </row>
    <row r="1209" spans="3:3">
      <c r="C1209" s="18"/>
    </row>
    <row r="1210" spans="3:3">
      <c r="C1210" s="18"/>
    </row>
    <row r="1211" spans="3:3">
      <c r="C1211" s="18"/>
    </row>
    <row r="1212" spans="3:3">
      <c r="C1212" s="18"/>
    </row>
    <row r="1213" spans="3:3">
      <c r="C1213" s="18"/>
    </row>
    <row r="1214" spans="3:3">
      <c r="C1214" s="18"/>
    </row>
    <row r="1215" spans="3:3">
      <c r="C1215" s="18"/>
    </row>
    <row r="1216" spans="3:3">
      <c r="C1216" s="18"/>
    </row>
    <row r="1217" spans="3:3">
      <c r="C1217" s="18"/>
    </row>
    <row r="1218" spans="3:3">
      <c r="C1218" s="18"/>
    </row>
    <row r="1219" spans="3:3">
      <c r="C1219" s="18"/>
    </row>
    <row r="1220" spans="3:3">
      <c r="C1220" s="18"/>
    </row>
    <row r="1221" spans="3:3">
      <c r="C1221" s="18"/>
    </row>
    <row r="1222" spans="3:3">
      <c r="C1222" s="18"/>
    </row>
    <row r="1223" spans="3:3">
      <c r="C1223" s="18"/>
    </row>
    <row r="1224" spans="3:3">
      <c r="C1224" s="18"/>
    </row>
    <row r="1225" spans="3:3">
      <c r="C1225" s="18"/>
    </row>
    <row r="1226" spans="3:3">
      <c r="C1226" s="18"/>
    </row>
    <row r="1227" spans="3:3">
      <c r="C1227" s="18"/>
    </row>
    <row r="1228" spans="3:3">
      <c r="C1228" s="18"/>
    </row>
    <row r="1229" spans="3:3">
      <c r="C1229" s="18"/>
    </row>
    <row r="1230" spans="3:3">
      <c r="C1230" s="18"/>
    </row>
    <row r="1231" spans="3:3">
      <c r="C1231" s="18"/>
    </row>
    <row r="1232" spans="3:3">
      <c r="C1232" s="18"/>
    </row>
    <row r="1233" spans="3:3">
      <c r="C1233" s="18"/>
    </row>
    <row r="1234" spans="3:3">
      <c r="C1234" s="18"/>
    </row>
    <row r="1235" spans="3:3">
      <c r="C1235" s="18"/>
    </row>
    <row r="1236" spans="3:3">
      <c r="C1236" s="18"/>
    </row>
    <row r="1237" spans="3:3">
      <c r="C1237" s="18"/>
    </row>
    <row r="1238" spans="3:3">
      <c r="C1238" s="18"/>
    </row>
    <row r="1239" spans="3:3">
      <c r="C1239" s="18"/>
    </row>
    <row r="1240" spans="3:3">
      <c r="C1240" s="18"/>
    </row>
    <row r="1241" spans="3:3">
      <c r="C1241" s="18"/>
    </row>
    <row r="1242" spans="3:3">
      <c r="C1242" s="18"/>
    </row>
    <row r="1243" spans="3:3">
      <c r="C1243" s="18"/>
    </row>
    <row r="1244" spans="3:3">
      <c r="C1244" s="18"/>
    </row>
    <row r="1245" spans="3:3">
      <c r="C1245" s="18"/>
    </row>
    <row r="1246" spans="3:3">
      <c r="C1246" s="18"/>
    </row>
    <row r="1247" spans="3:3">
      <c r="C1247" s="18"/>
    </row>
    <row r="1248" spans="3:3">
      <c r="C1248" s="18"/>
    </row>
    <row r="1249" spans="3:3">
      <c r="C1249" s="18"/>
    </row>
    <row r="1250" spans="3:3">
      <c r="C1250" s="18"/>
    </row>
    <row r="1251" spans="3:3">
      <c r="C1251" s="18"/>
    </row>
    <row r="1252" spans="3:3">
      <c r="C1252" s="18"/>
    </row>
    <row r="1253" spans="3:3">
      <c r="C1253" s="18"/>
    </row>
    <row r="1254" spans="3:3">
      <c r="C1254" s="18"/>
    </row>
    <row r="1255" spans="3:3">
      <c r="C1255" s="18"/>
    </row>
    <row r="1256" spans="3:3">
      <c r="C1256" s="18"/>
    </row>
    <row r="1257" spans="3:3">
      <c r="C1257" s="18"/>
    </row>
    <row r="1258" spans="3:3">
      <c r="C1258" s="18"/>
    </row>
    <row r="1259" spans="3:3">
      <c r="C1259" s="18"/>
    </row>
    <row r="1260" spans="3:3">
      <c r="C1260" s="18"/>
    </row>
    <row r="1261" spans="3:3">
      <c r="C1261" s="18"/>
    </row>
    <row r="1262" spans="3:3">
      <c r="C1262" s="18"/>
    </row>
    <row r="1263" spans="3:3">
      <c r="C1263" s="18"/>
    </row>
    <row r="1264" spans="3:3">
      <c r="C1264" s="18"/>
    </row>
    <row r="1265" spans="3:3">
      <c r="C1265" s="18"/>
    </row>
    <row r="1266" spans="3:3">
      <c r="C1266" s="18"/>
    </row>
    <row r="1267" spans="3:3">
      <c r="C1267" s="18"/>
    </row>
    <row r="1268" spans="3:3">
      <c r="C1268" s="18"/>
    </row>
    <row r="1269" spans="3:3">
      <c r="C1269" s="18"/>
    </row>
    <row r="1270" spans="3:3">
      <c r="C1270" s="18"/>
    </row>
    <row r="1271" spans="3:3">
      <c r="C1271" s="18"/>
    </row>
    <row r="1272" spans="3:3">
      <c r="C1272" s="18"/>
    </row>
    <row r="1273" spans="3:3">
      <c r="C1273" s="18"/>
    </row>
    <row r="1274" spans="3:3">
      <c r="C1274" s="18"/>
    </row>
    <row r="1275" spans="3:3">
      <c r="C1275" s="18"/>
    </row>
    <row r="1276" spans="3:3">
      <c r="C1276" s="18"/>
    </row>
    <row r="1277" spans="3:3">
      <c r="C1277" s="18"/>
    </row>
    <row r="1278" spans="3:3">
      <c r="C1278" s="18"/>
    </row>
    <row r="1279" spans="3:3">
      <c r="C1279" s="18"/>
    </row>
    <row r="1280" spans="3:3">
      <c r="C1280" s="18"/>
    </row>
    <row r="1281" spans="3:3">
      <c r="C1281" s="18"/>
    </row>
    <row r="1282" spans="3:3">
      <c r="C1282" s="18"/>
    </row>
    <row r="1283" spans="3:3">
      <c r="C1283" s="18"/>
    </row>
    <row r="1284" spans="3:3">
      <c r="C1284" s="18"/>
    </row>
    <row r="1285" spans="3:3">
      <c r="C1285" s="18"/>
    </row>
    <row r="1286" spans="3:3">
      <c r="C1286" s="18"/>
    </row>
    <row r="1287" spans="3:3">
      <c r="C1287" s="18"/>
    </row>
    <row r="1288" spans="3:3">
      <c r="C1288" s="18"/>
    </row>
    <row r="1289" spans="3:3">
      <c r="C1289" s="18"/>
    </row>
    <row r="1290" spans="3:3">
      <c r="C1290" s="18"/>
    </row>
    <row r="1291" spans="3:3">
      <c r="C1291" s="18"/>
    </row>
    <row r="1292" spans="3:3">
      <c r="C1292" s="18"/>
    </row>
    <row r="1293" spans="3:3">
      <c r="C1293" s="18"/>
    </row>
    <row r="1294" spans="3:3">
      <c r="C1294" s="18"/>
    </row>
    <row r="1295" spans="3:3">
      <c r="C1295" s="18"/>
    </row>
    <row r="1296" spans="3:3">
      <c r="C1296" s="18"/>
    </row>
    <row r="1297" spans="3:3">
      <c r="C1297" s="18"/>
    </row>
    <row r="1298" spans="3:3">
      <c r="C1298" s="18"/>
    </row>
    <row r="1299" spans="3:3">
      <c r="C1299" s="18"/>
    </row>
    <row r="1300" spans="3:3">
      <c r="C1300" s="18"/>
    </row>
    <row r="1301" spans="3:3">
      <c r="C1301" s="18"/>
    </row>
    <row r="1302" spans="3:3">
      <c r="C1302" s="18"/>
    </row>
    <row r="1303" spans="3:3">
      <c r="C1303" s="18"/>
    </row>
    <row r="1304" spans="3:3">
      <c r="C1304" s="18"/>
    </row>
    <row r="1305" spans="3:3">
      <c r="C1305" s="18"/>
    </row>
    <row r="1306" spans="3:3">
      <c r="C1306" s="18"/>
    </row>
    <row r="1307" spans="3:3">
      <c r="C1307" s="18"/>
    </row>
    <row r="1308" spans="3:3">
      <c r="C1308" s="18"/>
    </row>
    <row r="1309" spans="3:3">
      <c r="C1309" s="18"/>
    </row>
    <row r="1310" spans="3:3">
      <c r="C1310" s="18"/>
    </row>
    <row r="1311" spans="3:3">
      <c r="C1311" s="18"/>
    </row>
    <row r="1312" spans="3:3">
      <c r="C1312" s="18"/>
    </row>
    <row r="1313" spans="3:3">
      <c r="C1313" s="18"/>
    </row>
    <row r="1314" spans="3:3">
      <c r="C1314" s="18"/>
    </row>
    <row r="1315" spans="3:3">
      <c r="C1315" s="18"/>
    </row>
    <row r="1316" spans="3:3">
      <c r="C1316" s="18"/>
    </row>
    <row r="1317" spans="3:3">
      <c r="C1317" s="18"/>
    </row>
    <row r="1318" spans="3:3">
      <c r="C1318" s="18"/>
    </row>
    <row r="1319" spans="3:3">
      <c r="C1319" s="18"/>
    </row>
    <row r="1320" spans="3:3">
      <c r="C1320" s="18"/>
    </row>
    <row r="1321" spans="3:3">
      <c r="C1321" s="18"/>
    </row>
    <row r="1322" spans="3:3">
      <c r="C1322" s="18"/>
    </row>
    <row r="1323" spans="3:3">
      <c r="C1323" s="18"/>
    </row>
    <row r="1324" spans="3:3">
      <c r="C1324" s="18"/>
    </row>
    <row r="1325" spans="3:3">
      <c r="C1325" s="18"/>
    </row>
    <row r="1326" spans="3:3">
      <c r="C1326" s="18"/>
    </row>
    <row r="1327" spans="3:3">
      <c r="C1327" s="18"/>
    </row>
    <row r="1328" spans="3:3">
      <c r="C1328" s="18"/>
    </row>
    <row r="1329" spans="3:3">
      <c r="C1329" s="18"/>
    </row>
    <row r="1330" spans="3:3">
      <c r="C1330" s="18"/>
    </row>
    <row r="1331" spans="3:3">
      <c r="C1331" s="18"/>
    </row>
    <row r="1332" spans="3:3">
      <c r="C1332" s="18"/>
    </row>
    <row r="1333" spans="3:3">
      <c r="C1333" s="18"/>
    </row>
    <row r="1334" spans="3:3">
      <c r="C1334" s="18"/>
    </row>
    <row r="1335" spans="3:3">
      <c r="C1335" s="18"/>
    </row>
    <row r="1336" spans="3:3">
      <c r="C1336" s="18"/>
    </row>
    <row r="1337" spans="3:3">
      <c r="C1337" s="18"/>
    </row>
    <row r="1338" spans="3:3">
      <c r="C1338" s="18"/>
    </row>
    <row r="1339" spans="3:3">
      <c r="C1339" s="18"/>
    </row>
    <row r="1340" spans="3:3">
      <c r="C1340" s="18"/>
    </row>
    <row r="1341" spans="3:3">
      <c r="C1341" s="18"/>
    </row>
    <row r="1342" spans="3:3">
      <c r="C1342" s="18"/>
    </row>
    <row r="1343" spans="3:3">
      <c r="C1343" s="18"/>
    </row>
    <row r="1344" spans="3:3">
      <c r="C1344" s="18"/>
    </row>
    <row r="1345" spans="3:3">
      <c r="C1345" s="18"/>
    </row>
    <row r="1346" spans="3:3">
      <c r="C1346" s="18"/>
    </row>
    <row r="1347" spans="3:3">
      <c r="C1347" s="18"/>
    </row>
    <row r="1348" spans="3:3">
      <c r="C1348" s="18"/>
    </row>
    <row r="1349" spans="3:3">
      <c r="C1349" s="18"/>
    </row>
    <row r="1350" spans="3:3">
      <c r="C1350" s="18"/>
    </row>
    <row r="1351" spans="3:3">
      <c r="C1351" s="18"/>
    </row>
    <row r="1352" spans="3:3">
      <c r="C1352" s="18"/>
    </row>
    <row r="1353" spans="3:3">
      <c r="C1353" s="18"/>
    </row>
    <row r="1354" spans="3:3">
      <c r="C1354" s="18"/>
    </row>
    <row r="1355" spans="3:3">
      <c r="C1355" s="18"/>
    </row>
    <row r="1356" spans="3:3">
      <c r="C1356" s="18"/>
    </row>
    <row r="1357" spans="3:3">
      <c r="C1357" s="18"/>
    </row>
    <row r="1358" spans="3:3">
      <c r="C1358" s="18"/>
    </row>
    <row r="1359" spans="3:3">
      <c r="C1359" s="18"/>
    </row>
    <row r="1360" spans="3:3">
      <c r="C1360" s="18"/>
    </row>
    <row r="1361" spans="3:3">
      <c r="C1361" s="18"/>
    </row>
    <row r="1362" spans="3:3">
      <c r="C1362" s="18"/>
    </row>
    <row r="1363" spans="3:3">
      <c r="C1363" s="18"/>
    </row>
    <row r="1364" spans="3:3">
      <c r="C1364" s="18"/>
    </row>
    <row r="1365" spans="3:3">
      <c r="C1365" s="18"/>
    </row>
    <row r="1366" spans="3:3">
      <c r="C1366" s="18"/>
    </row>
    <row r="1367" spans="3:3">
      <c r="C1367" s="18"/>
    </row>
    <row r="1368" spans="3:3">
      <c r="C1368" s="18"/>
    </row>
    <row r="1369" spans="3:3">
      <c r="C1369" s="18"/>
    </row>
    <row r="1370" spans="3:3">
      <c r="C1370" s="18"/>
    </row>
    <row r="1371" spans="3:3">
      <c r="C1371" s="18"/>
    </row>
    <row r="1372" spans="3:3">
      <c r="C1372" s="18"/>
    </row>
    <row r="1373" spans="3:3">
      <c r="C1373" s="18"/>
    </row>
    <row r="1374" spans="3:3">
      <c r="C1374" s="18"/>
    </row>
    <row r="1375" spans="3:3">
      <c r="C1375" s="18"/>
    </row>
    <row r="1376" spans="3:3">
      <c r="C1376" s="18"/>
    </row>
    <row r="1377" spans="3:3">
      <c r="C1377" s="18"/>
    </row>
    <row r="1378" spans="3:3">
      <c r="C1378" s="18"/>
    </row>
    <row r="1379" spans="3:3">
      <c r="C1379" s="18"/>
    </row>
    <row r="1380" spans="3:3">
      <c r="C1380" s="18"/>
    </row>
    <row r="1381" spans="3:3">
      <c r="C1381" s="18"/>
    </row>
    <row r="1382" spans="3:3">
      <c r="C1382" s="18"/>
    </row>
    <row r="1383" spans="3:3">
      <c r="C1383" s="18"/>
    </row>
    <row r="1384" spans="3:3">
      <c r="C1384" s="18"/>
    </row>
    <row r="1385" spans="3:3">
      <c r="C1385" s="18"/>
    </row>
    <row r="1386" spans="3:3">
      <c r="C1386" s="18"/>
    </row>
    <row r="1387" spans="3:3">
      <c r="C1387" s="18"/>
    </row>
    <row r="1388" spans="3:3">
      <c r="C1388" s="18"/>
    </row>
    <row r="1389" spans="3:3">
      <c r="C1389" s="18"/>
    </row>
    <row r="1390" spans="3:3">
      <c r="C1390" s="18"/>
    </row>
    <row r="1391" spans="3:3">
      <c r="C1391" s="18"/>
    </row>
    <row r="1392" spans="3:3">
      <c r="C1392" s="18"/>
    </row>
    <row r="1393" spans="3:3">
      <c r="C1393" s="18"/>
    </row>
    <row r="1394" spans="3:3">
      <c r="C1394" s="18"/>
    </row>
    <row r="1395" spans="3:3">
      <c r="C1395" s="18"/>
    </row>
    <row r="1396" spans="3:3">
      <c r="C1396" s="18"/>
    </row>
    <row r="1397" spans="3:3">
      <c r="C1397" s="18"/>
    </row>
    <row r="1398" spans="3:3">
      <c r="C1398" s="18"/>
    </row>
    <row r="1399" spans="3:3">
      <c r="C1399" s="18"/>
    </row>
    <row r="1400" spans="3:3">
      <c r="C1400" s="18"/>
    </row>
    <row r="1401" spans="3:3">
      <c r="C1401" s="18"/>
    </row>
    <row r="1402" spans="3:3">
      <c r="C1402" s="18"/>
    </row>
    <row r="1403" spans="3:3">
      <c r="C1403" s="18"/>
    </row>
    <row r="1404" spans="3:3">
      <c r="C1404" s="18"/>
    </row>
    <row r="1405" spans="3:3">
      <c r="C1405" s="18"/>
    </row>
    <row r="1406" spans="3:3">
      <c r="C1406" s="18"/>
    </row>
    <row r="1407" spans="3:3">
      <c r="C1407" s="18"/>
    </row>
    <row r="1408" spans="3:3">
      <c r="C1408" s="18"/>
    </row>
    <row r="1409" spans="3:3">
      <c r="C1409" s="18"/>
    </row>
    <row r="1410" spans="3:3">
      <c r="C1410" s="18"/>
    </row>
    <row r="1411" spans="3:3">
      <c r="C1411" s="18"/>
    </row>
    <row r="1412" spans="3:3">
      <c r="C1412" s="18"/>
    </row>
    <row r="1413" spans="3:3">
      <c r="C1413" s="18"/>
    </row>
    <row r="1414" spans="3:3">
      <c r="C1414" s="18"/>
    </row>
    <row r="1415" spans="3:3">
      <c r="C1415" s="18"/>
    </row>
    <row r="1416" spans="3:3">
      <c r="C1416" s="18"/>
    </row>
    <row r="1417" spans="3:3">
      <c r="C1417" s="18"/>
    </row>
    <row r="1418" spans="3:3">
      <c r="C1418" s="18"/>
    </row>
    <row r="1419" spans="3:3">
      <c r="C1419" s="18"/>
    </row>
    <row r="1420" spans="3:3">
      <c r="C1420" s="18"/>
    </row>
    <row r="1421" spans="3:3">
      <c r="C1421" s="18"/>
    </row>
    <row r="1422" spans="3:3">
      <c r="C1422" s="18"/>
    </row>
    <row r="1423" spans="3:3">
      <c r="C1423" s="18"/>
    </row>
    <row r="1424" spans="3:3">
      <c r="C1424" s="18"/>
    </row>
    <row r="1425" spans="3:3">
      <c r="C1425" s="18"/>
    </row>
    <row r="1426" spans="3:3">
      <c r="C1426" s="18"/>
    </row>
    <row r="1427" spans="3:3">
      <c r="C1427" s="18"/>
    </row>
    <row r="1428" spans="3:3">
      <c r="C1428" s="18"/>
    </row>
    <row r="1429" spans="3:3">
      <c r="C1429" s="18"/>
    </row>
    <row r="1430" spans="3:3">
      <c r="C1430" s="18"/>
    </row>
    <row r="1431" spans="3:3">
      <c r="C1431" s="18"/>
    </row>
    <row r="1432" spans="3:3">
      <c r="C1432" s="18"/>
    </row>
    <row r="1433" spans="3:3">
      <c r="C1433" s="18"/>
    </row>
    <row r="1434" spans="3:3">
      <c r="C1434" s="18"/>
    </row>
    <row r="1435" spans="3:3">
      <c r="C1435" s="18"/>
    </row>
    <row r="1436" spans="3:3">
      <c r="C1436" s="18"/>
    </row>
    <row r="1437" spans="3:3">
      <c r="C1437" s="18"/>
    </row>
    <row r="1438" spans="3:3">
      <c r="C1438" s="18"/>
    </row>
    <row r="1439" spans="3:3">
      <c r="C1439" s="18"/>
    </row>
    <row r="1440" spans="3:3">
      <c r="C1440" s="18"/>
    </row>
    <row r="1441" spans="3:3">
      <c r="C1441" s="18"/>
    </row>
    <row r="1442" spans="3:3">
      <c r="C1442" s="18"/>
    </row>
    <row r="1443" spans="3:3">
      <c r="C1443" s="18"/>
    </row>
    <row r="1444" spans="3:3">
      <c r="C1444" s="18"/>
    </row>
    <row r="1445" spans="3:3">
      <c r="C1445" s="18"/>
    </row>
    <row r="1446" spans="3:3">
      <c r="C1446" s="18"/>
    </row>
    <row r="1447" spans="3:3">
      <c r="C1447" s="18"/>
    </row>
    <row r="1448" spans="3:3">
      <c r="C1448" s="18"/>
    </row>
    <row r="1449" spans="3:3">
      <c r="C1449" s="18"/>
    </row>
    <row r="1450" spans="3:3">
      <c r="C1450" s="18"/>
    </row>
    <row r="1451" spans="3:3">
      <c r="C1451" s="18"/>
    </row>
    <row r="1452" spans="3:3">
      <c r="C1452" s="18"/>
    </row>
    <row r="1453" spans="3:3">
      <c r="C1453" s="18"/>
    </row>
    <row r="1454" spans="3:3">
      <c r="C1454" s="18"/>
    </row>
    <row r="1455" spans="3:3">
      <c r="C1455" s="18"/>
    </row>
    <row r="1456" spans="3:3">
      <c r="C1456" s="18"/>
    </row>
    <row r="1457" spans="3:3">
      <c r="C1457" s="18"/>
    </row>
    <row r="1458" spans="3:3">
      <c r="C1458" s="18"/>
    </row>
    <row r="1459" spans="3:3">
      <c r="C1459" s="18"/>
    </row>
    <row r="1460" spans="3:3">
      <c r="C1460" s="18"/>
    </row>
    <row r="1461" spans="3:3">
      <c r="C1461" s="18"/>
    </row>
    <row r="1462" spans="3:3">
      <c r="C1462" s="18"/>
    </row>
    <row r="1463" spans="3:3">
      <c r="C1463" s="18"/>
    </row>
    <row r="1464" spans="3:3">
      <c r="C1464" s="18"/>
    </row>
    <row r="1465" spans="3:3">
      <c r="C1465" s="18"/>
    </row>
    <row r="1466" spans="3:3">
      <c r="C1466" s="18"/>
    </row>
    <row r="1467" spans="3:3">
      <c r="C1467" s="18"/>
    </row>
    <row r="1468" spans="3:3">
      <c r="C1468" s="18"/>
    </row>
    <row r="1469" spans="3:3">
      <c r="C1469" s="18"/>
    </row>
    <row r="1470" spans="3:3">
      <c r="C1470" s="18"/>
    </row>
    <row r="1471" spans="3:3">
      <c r="C1471" s="18"/>
    </row>
    <row r="1472" spans="3:3">
      <c r="C1472" s="18"/>
    </row>
    <row r="1473" spans="3:3">
      <c r="C1473" s="18"/>
    </row>
    <row r="1474" spans="3:3">
      <c r="C1474" s="18"/>
    </row>
    <row r="1475" spans="3:3">
      <c r="C1475" s="18"/>
    </row>
    <row r="1476" spans="3:3">
      <c r="C1476" s="18"/>
    </row>
    <row r="1477" spans="3:3">
      <c r="C1477" s="18"/>
    </row>
    <row r="1478" spans="3:3">
      <c r="C1478" s="18"/>
    </row>
    <row r="1479" spans="3:3">
      <c r="C1479" s="18"/>
    </row>
    <row r="1480" spans="3:3">
      <c r="C1480" s="18"/>
    </row>
    <row r="1481" spans="3:3">
      <c r="C1481" s="18"/>
    </row>
    <row r="1482" spans="3:3">
      <c r="C1482" s="18"/>
    </row>
    <row r="1483" spans="3:3">
      <c r="C1483" s="18"/>
    </row>
    <row r="1484" spans="3:3">
      <c r="C1484" s="18"/>
    </row>
    <row r="1485" spans="3:3">
      <c r="C1485" s="18"/>
    </row>
    <row r="1486" spans="3:3">
      <c r="C1486" s="18"/>
    </row>
    <row r="1487" spans="3:3">
      <c r="C1487" s="18"/>
    </row>
    <row r="1488" spans="3:3">
      <c r="C1488" s="18"/>
    </row>
    <row r="1489" spans="3:3">
      <c r="C1489" s="18"/>
    </row>
    <row r="1490" spans="3:3">
      <c r="C1490" s="18"/>
    </row>
    <row r="1491" spans="3:3">
      <c r="C1491" s="18"/>
    </row>
    <row r="1492" spans="3:3">
      <c r="C1492" s="18"/>
    </row>
    <row r="1493" spans="3:3">
      <c r="C1493" s="18"/>
    </row>
    <row r="1494" spans="3:3">
      <c r="C1494" s="18"/>
    </row>
    <row r="1495" spans="3:3">
      <c r="C1495" s="18"/>
    </row>
    <row r="1496" spans="3:3">
      <c r="C1496" s="18"/>
    </row>
    <row r="1497" spans="3:3">
      <c r="C1497" s="18"/>
    </row>
    <row r="1498" spans="3:3">
      <c r="C1498" s="18"/>
    </row>
    <row r="1499" spans="3:3">
      <c r="C1499" s="18"/>
    </row>
    <row r="1500" spans="3:3">
      <c r="C1500" s="18"/>
    </row>
    <row r="1501" spans="3:3">
      <c r="C1501" s="18"/>
    </row>
    <row r="1502" spans="3:3">
      <c r="C1502" s="18"/>
    </row>
    <row r="1503" spans="3:3">
      <c r="C1503" s="18"/>
    </row>
    <row r="1504" spans="3:3">
      <c r="C1504" s="18"/>
    </row>
    <row r="1505" spans="3:3">
      <c r="C1505" s="18"/>
    </row>
    <row r="1506" spans="3:3">
      <c r="C1506" s="18"/>
    </row>
    <row r="1507" spans="3:3">
      <c r="C1507" s="18"/>
    </row>
    <row r="1508" spans="3:3">
      <c r="C1508" s="18"/>
    </row>
    <row r="1509" spans="3:3">
      <c r="C1509" s="18"/>
    </row>
    <row r="1510" spans="3:3">
      <c r="C1510" s="18"/>
    </row>
    <row r="1511" spans="3:3">
      <c r="C1511" s="18"/>
    </row>
    <row r="1512" spans="3:3">
      <c r="C1512" s="18"/>
    </row>
    <row r="1513" spans="3:3">
      <c r="C1513" s="18"/>
    </row>
    <row r="1514" spans="3:3">
      <c r="C1514" s="18"/>
    </row>
    <row r="1515" spans="3:3">
      <c r="C1515" s="18"/>
    </row>
    <row r="1516" spans="3:3">
      <c r="C1516" s="18"/>
    </row>
    <row r="1517" spans="3:3">
      <c r="C1517" s="18"/>
    </row>
    <row r="1518" spans="3:3">
      <c r="C1518" s="18"/>
    </row>
    <row r="1519" spans="3:3">
      <c r="C1519" s="18"/>
    </row>
    <row r="1520" spans="3:3">
      <c r="C1520" s="18"/>
    </row>
    <row r="1521" spans="3:3">
      <c r="C1521" s="18"/>
    </row>
    <row r="1522" spans="3:3">
      <c r="C1522" s="18"/>
    </row>
    <row r="1523" spans="3:3">
      <c r="C1523" s="18"/>
    </row>
    <row r="1524" spans="3:3">
      <c r="C1524" s="18"/>
    </row>
    <row r="1525" spans="3:3">
      <c r="C1525" s="18"/>
    </row>
    <row r="1526" spans="3:3">
      <c r="C1526" s="18"/>
    </row>
    <row r="1527" spans="3:3">
      <c r="C1527" s="18"/>
    </row>
    <row r="1528" spans="3:3">
      <c r="C1528" s="18"/>
    </row>
    <row r="1529" spans="3:3">
      <c r="C1529" s="18"/>
    </row>
    <row r="1530" spans="3:3">
      <c r="C1530" s="18"/>
    </row>
    <row r="1531" spans="3:3">
      <c r="C1531" s="18"/>
    </row>
    <row r="1532" spans="3:3">
      <c r="C1532" s="18"/>
    </row>
    <row r="1533" spans="3:3">
      <c r="C1533" s="18"/>
    </row>
    <row r="1534" spans="3:3">
      <c r="C1534" s="18"/>
    </row>
    <row r="1535" spans="3:3">
      <c r="C1535" s="18"/>
    </row>
    <row r="1536" spans="3:3">
      <c r="C1536" s="18"/>
    </row>
    <row r="1537" spans="3:3">
      <c r="C1537" s="18"/>
    </row>
    <row r="1538" spans="3:3">
      <c r="C1538" s="18"/>
    </row>
    <row r="1539" spans="3:3">
      <c r="C1539" s="18"/>
    </row>
    <row r="1540" spans="3:3">
      <c r="C1540" s="18"/>
    </row>
    <row r="1541" spans="3:3">
      <c r="C1541" s="18"/>
    </row>
    <row r="1542" spans="3:3">
      <c r="C1542" s="18"/>
    </row>
    <row r="1543" spans="3:3">
      <c r="C1543" s="18"/>
    </row>
    <row r="1544" spans="3:3">
      <c r="C1544" s="18"/>
    </row>
    <row r="1545" spans="3:3">
      <c r="C1545" s="18"/>
    </row>
    <row r="1546" spans="3:3">
      <c r="C1546" s="18"/>
    </row>
    <row r="1547" spans="3:3">
      <c r="C1547" s="18"/>
    </row>
    <row r="1548" spans="3:3">
      <c r="C1548" s="18"/>
    </row>
    <row r="1549" spans="3:3">
      <c r="C1549" s="18"/>
    </row>
    <row r="1550" spans="3:3">
      <c r="C1550" s="18"/>
    </row>
    <row r="1551" spans="3:3">
      <c r="C1551" s="18"/>
    </row>
    <row r="1552" spans="3:3">
      <c r="C1552" s="18"/>
    </row>
    <row r="1553" spans="3:3">
      <c r="C1553" s="18"/>
    </row>
    <row r="1554" spans="3:3">
      <c r="C1554" s="18"/>
    </row>
    <row r="1555" spans="3:3">
      <c r="C1555" s="18"/>
    </row>
    <row r="1556" spans="3:3">
      <c r="C1556" s="18"/>
    </row>
    <row r="1557" spans="3:3">
      <c r="C1557" s="18"/>
    </row>
    <row r="1558" spans="3:3">
      <c r="C1558" s="18"/>
    </row>
    <row r="1559" spans="3:3">
      <c r="C1559" s="18"/>
    </row>
    <row r="1560" spans="3:3">
      <c r="C1560" s="18"/>
    </row>
    <row r="1561" spans="3:3">
      <c r="C1561" s="18"/>
    </row>
    <row r="1562" spans="3:3">
      <c r="C1562" s="18"/>
    </row>
    <row r="1563" spans="3:3">
      <c r="C1563" s="18"/>
    </row>
    <row r="1564" spans="3:3">
      <c r="C1564" s="18"/>
    </row>
    <row r="1565" spans="3:3">
      <c r="C1565" s="18"/>
    </row>
    <row r="1566" spans="3:3">
      <c r="C1566" s="18"/>
    </row>
    <row r="1567" spans="3:3">
      <c r="C1567" s="18"/>
    </row>
    <row r="1568" spans="3:3">
      <c r="C1568" s="18"/>
    </row>
    <row r="1569" spans="3:3">
      <c r="C1569" s="18"/>
    </row>
    <row r="1570" spans="3:3">
      <c r="C1570" s="18"/>
    </row>
    <row r="1571" spans="3:3">
      <c r="C1571" s="18"/>
    </row>
    <row r="1572" spans="3:3">
      <c r="C1572" s="18"/>
    </row>
    <row r="1573" spans="3:3">
      <c r="C1573" s="18"/>
    </row>
    <row r="1574" spans="3:3">
      <c r="C1574" s="18"/>
    </row>
    <row r="1575" spans="3:3">
      <c r="C1575" s="18"/>
    </row>
    <row r="1576" spans="3:3">
      <c r="C1576" s="18"/>
    </row>
    <row r="1577" spans="3:3">
      <c r="C1577" s="18"/>
    </row>
    <row r="1578" spans="3:3">
      <c r="C1578" s="18"/>
    </row>
    <row r="1579" spans="3:3">
      <c r="C1579" s="18"/>
    </row>
    <row r="1580" spans="3:3">
      <c r="C1580" s="18"/>
    </row>
    <row r="1581" spans="3:3">
      <c r="C1581" s="18"/>
    </row>
    <row r="1582" spans="3:3">
      <c r="C1582" s="18"/>
    </row>
    <row r="1583" spans="3:3">
      <c r="C1583" s="18"/>
    </row>
    <row r="1584" spans="3:3">
      <c r="C1584" s="18"/>
    </row>
    <row r="1585" spans="3:3">
      <c r="C1585" s="18"/>
    </row>
    <row r="1586" spans="3:3">
      <c r="C1586" s="18"/>
    </row>
    <row r="1587" spans="3:3">
      <c r="C1587" s="18"/>
    </row>
    <row r="1588" spans="3:3">
      <c r="C1588" s="18"/>
    </row>
    <row r="1589" spans="3:3">
      <c r="C1589" s="18"/>
    </row>
    <row r="1590" spans="3:3">
      <c r="C1590" s="18"/>
    </row>
    <row r="1591" spans="3:3">
      <c r="C1591" s="18"/>
    </row>
    <row r="1592" spans="3:3">
      <c r="C1592" s="18"/>
    </row>
    <row r="1593" spans="3:3">
      <c r="C1593" s="18"/>
    </row>
    <row r="1594" spans="3:3">
      <c r="C1594" s="18"/>
    </row>
    <row r="1595" spans="3:3">
      <c r="C1595" s="18"/>
    </row>
    <row r="1596" spans="3:3">
      <c r="C1596" s="18"/>
    </row>
    <row r="1597" spans="3:3">
      <c r="C1597" s="18"/>
    </row>
    <row r="1598" spans="3:3">
      <c r="C1598" s="18"/>
    </row>
    <row r="1599" spans="3:3">
      <c r="C1599" s="18"/>
    </row>
    <row r="1600" spans="3:3">
      <c r="C1600" s="18"/>
    </row>
    <row r="1601" spans="3:3">
      <c r="C1601" s="18"/>
    </row>
    <row r="1602" spans="3:3">
      <c r="C1602" s="18"/>
    </row>
    <row r="1603" spans="3:3">
      <c r="C1603" s="18"/>
    </row>
    <row r="1604" spans="3:3">
      <c r="C1604" s="18"/>
    </row>
    <row r="1605" spans="3:3">
      <c r="C1605" s="18"/>
    </row>
    <row r="1606" spans="3:3">
      <c r="C1606" s="18"/>
    </row>
    <row r="1607" spans="3:3">
      <c r="C1607" s="18"/>
    </row>
    <row r="1608" spans="3:3">
      <c r="C1608" s="18"/>
    </row>
    <row r="1609" spans="3:3">
      <c r="C1609" s="18"/>
    </row>
    <row r="1610" spans="3:3">
      <c r="C1610" s="18"/>
    </row>
    <row r="1611" spans="3:3">
      <c r="C1611" s="18"/>
    </row>
    <row r="1612" spans="3:3">
      <c r="C1612" s="18"/>
    </row>
    <row r="1613" spans="3:3">
      <c r="C1613" s="18"/>
    </row>
    <row r="1614" spans="3:3">
      <c r="C1614" s="18"/>
    </row>
    <row r="1615" spans="3:3">
      <c r="C1615" s="18"/>
    </row>
    <row r="1616" spans="3:3">
      <c r="C1616" s="18"/>
    </row>
    <row r="1617" spans="3:3">
      <c r="C1617" s="18"/>
    </row>
    <row r="1618" spans="3:3">
      <c r="C1618" s="18"/>
    </row>
    <row r="1619" spans="3:3">
      <c r="C1619" s="18"/>
    </row>
    <row r="1620" spans="3:3">
      <c r="C1620" s="18"/>
    </row>
    <row r="1621" spans="3:3">
      <c r="C1621" s="18"/>
    </row>
    <row r="1622" spans="3:3">
      <c r="C1622" s="18"/>
    </row>
    <row r="1623" spans="3:3">
      <c r="C1623" s="18"/>
    </row>
    <row r="1624" spans="3:3">
      <c r="C1624" s="18"/>
    </row>
    <row r="1625" spans="3:3">
      <c r="C1625" s="18"/>
    </row>
    <row r="1626" spans="3:3">
      <c r="C1626" s="18"/>
    </row>
    <row r="1627" spans="3:3">
      <c r="C1627" s="18"/>
    </row>
    <row r="1628" spans="3:3">
      <c r="C1628" s="18"/>
    </row>
    <row r="1629" spans="3:3">
      <c r="C1629" s="18"/>
    </row>
    <row r="1630" spans="3:3">
      <c r="C1630" s="18"/>
    </row>
    <row r="1631" spans="3:3">
      <c r="C1631" s="18"/>
    </row>
    <row r="1632" spans="3:3">
      <c r="C1632" s="18"/>
    </row>
    <row r="1633" spans="3:3">
      <c r="C1633" s="18"/>
    </row>
    <row r="1634" spans="3:3">
      <c r="C1634" s="18"/>
    </row>
    <row r="1635" spans="3:3">
      <c r="C1635" s="18"/>
    </row>
    <row r="1636" spans="3:3">
      <c r="C1636" s="18"/>
    </row>
    <row r="1637" spans="3:3">
      <c r="C1637" s="18"/>
    </row>
    <row r="1638" spans="3:3">
      <c r="C1638" s="18"/>
    </row>
    <row r="1639" spans="3:3">
      <c r="C1639" s="18"/>
    </row>
    <row r="1640" spans="3:3">
      <c r="C1640" s="18"/>
    </row>
    <row r="1641" spans="3:3">
      <c r="C1641" s="18"/>
    </row>
    <row r="1642" spans="3:3">
      <c r="C1642" s="18"/>
    </row>
    <row r="1643" spans="3:3">
      <c r="C1643" s="18"/>
    </row>
    <row r="1644" spans="3:3">
      <c r="C1644" s="18"/>
    </row>
    <row r="1645" spans="3:3">
      <c r="C1645" s="18"/>
    </row>
    <row r="1646" spans="3:3">
      <c r="C1646" s="18"/>
    </row>
    <row r="1647" spans="3:3">
      <c r="C1647" s="18"/>
    </row>
    <row r="1648" spans="3:3">
      <c r="C1648" s="18"/>
    </row>
    <row r="1649" spans="3:3">
      <c r="C1649" s="18"/>
    </row>
    <row r="1650" spans="3:3">
      <c r="C1650" s="18"/>
    </row>
    <row r="1651" spans="3:3">
      <c r="C1651" s="18"/>
    </row>
    <row r="1652" spans="3:3">
      <c r="C1652" s="18"/>
    </row>
    <row r="1653" spans="3:3">
      <c r="C1653" s="18"/>
    </row>
    <row r="1654" spans="3:3">
      <c r="C1654" s="18"/>
    </row>
    <row r="1655" spans="3:3">
      <c r="C1655" s="18"/>
    </row>
    <row r="1656" spans="3:3">
      <c r="C1656" s="18"/>
    </row>
    <row r="1657" spans="3:3">
      <c r="C1657" s="18"/>
    </row>
    <row r="1658" spans="3:3">
      <c r="C1658" s="18"/>
    </row>
    <row r="1659" spans="3:3">
      <c r="C1659" s="18"/>
    </row>
    <row r="1660" spans="3:3">
      <c r="C1660" s="18"/>
    </row>
    <row r="1661" spans="3:3">
      <c r="C1661" s="18"/>
    </row>
    <row r="1662" spans="3:3">
      <c r="C1662" s="18"/>
    </row>
    <row r="1663" spans="3:3">
      <c r="C1663" s="18"/>
    </row>
    <row r="1664" spans="3:3">
      <c r="C1664" s="18"/>
    </row>
    <row r="1665" spans="3:3">
      <c r="C1665" s="18"/>
    </row>
    <row r="1666" spans="3:3">
      <c r="C1666" s="18"/>
    </row>
    <row r="1667" spans="3:3">
      <c r="C1667" s="18"/>
    </row>
    <row r="1668" spans="3:3">
      <c r="C1668" s="18"/>
    </row>
    <row r="1669" spans="3:3">
      <c r="C1669" s="18"/>
    </row>
    <row r="1670" spans="3:3">
      <c r="C1670" s="18"/>
    </row>
    <row r="1671" spans="3:3">
      <c r="C1671" s="18"/>
    </row>
    <row r="1672" spans="3:3">
      <c r="C1672" s="18"/>
    </row>
    <row r="1673" spans="3:3">
      <c r="C1673" s="18"/>
    </row>
    <row r="1674" spans="3:3">
      <c r="C1674" s="18"/>
    </row>
    <row r="1675" spans="3:3">
      <c r="C1675" s="18"/>
    </row>
    <row r="1676" spans="3:3">
      <c r="C1676" s="18"/>
    </row>
    <row r="1677" spans="3:3">
      <c r="C1677" s="18"/>
    </row>
    <row r="1678" spans="3:3">
      <c r="C1678" s="18"/>
    </row>
    <row r="1679" spans="3:3">
      <c r="C1679" s="18"/>
    </row>
    <row r="1680" spans="3:3">
      <c r="C1680" s="18"/>
    </row>
    <row r="1681" spans="3:3">
      <c r="C1681" s="18"/>
    </row>
    <row r="1682" spans="3:3">
      <c r="C1682" s="18"/>
    </row>
    <row r="1683" spans="3:3">
      <c r="C1683" s="18"/>
    </row>
    <row r="1684" spans="3:3">
      <c r="C1684" s="18"/>
    </row>
    <row r="1685" spans="3:3">
      <c r="C1685" s="18"/>
    </row>
    <row r="1686" spans="3:3">
      <c r="C1686" s="18"/>
    </row>
    <row r="1687" spans="3:3">
      <c r="C1687" s="18"/>
    </row>
    <row r="1688" spans="3:3">
      <c r="C1688" s="18"/>
    </row>
    <row r="1689" spans="3:3">
      <c r="C1689" s="18"/>
    </row>
    <row r="1690" spans="3:3">
      <c r="C1690" s="18"/>
    </row>
    <row r="1691" spans="3:3">
      <c r="C1691" s="18"/>
    </row>
    <row r="1692" spans="3:3">
      <c r="C1692" s="18"/>
    </row>
    <row r="1693" spans="3:3">
      <c r="C1693" s="18"/>
    </row>
    <row r="1694" spans="3:3">
      <c r="C1694" s="18"/>
    </row>
    <row r="1695" spans="3:3">
      <c r="C1695" s="18"/>
    </row>
    <row r="1696" spans="3:3">
      <c r="C1696" s="18"/>
    </row>
    <row r="1697" spans="3:3">
      <c r="C1697" s="18"/>
    </row>
    <row r="1698" spans="3:3">
      <c r="C1698" s="18"/>
    </row>
    <row r="1699" spans="3:3">
      <c r="C1699" s="18"/>
    </row>
    <row r="1700" spans="3:3">
      <c r="C1700" s="18"/>
    </row>
    <row r="1701" spans="3:3">
      <c r="C1701" s="18"/>
    </row>
    <row r="1702" spans="3:3">
      <c r="C1702" s="18"/>
    </row>
    <row r="1703" spans="3:3">
      <c r="C1703" s="18"/>
    </row>
    <row r="1704" spans="3:3">
      <c r="C1704" s="18"/>
    </row>
    <row r="1705" spans="3:3">
      <c r="C1705" s="18"/>
    </row>
    <row r="1706" spans="3:3">
      <c r="C1706" s="18"/>
    </row>
    <row r="1707" spans="3:3">
      <c r="C1707" s="18"/>
    </row>
    <row r="1708" spans="3:3">
      <c r="C1708" s="18"/>
    </row>
    <row r="1709" spans="3:3">
      <c r="C1709" s="18"/>
    </row>
    <row r="1710" spans="3:3">
      <c r="C1710" s="18"/>
    </row>
    <row r="1711" spans="3:3">
      <c r="C1711" s="18"/>
    </row>
    <row r="1712" spans="3:3">
      <c r="C1712" s="18"/>
    </row>
    <row r="1713" spans="3:3">
      <c r="C1713" s="18"/>
    </row>
    <row r="1714" spans="3:3">
      <c r="C1714" s="18"/>
    </row>
    <row r="1715" spans="3:3">
      <c r="C1715" s="18"/>
    </row>
    <row r="1716" spans="3:3">
      <c r="C1716" s="18"/>
    </row>
    <row r="1717" spans="3:3">
      <c r="C1717" s="18"/>
    </row>
    <row r="1718" spans="3:3">
      <c r="C1718" s="18"/>
    </row>
    <row r="1719" spans="3:3">
      <c r="C1719" s="18"/>
    </row>
    <row r="1720" spans="3:3">
      <c r="C1720" s="18"/>
    </row>
    <row r="1721" spans="3:3">
      <c r="C1721" s="18"/>
    </row>
    <row r="1722" spans="3:3">
      <c r="C1722" s="18"/>
    </row>
    <row r="1723" spans="3:3">
      <c r="C1723" s="18"/>
    </row>
    <row r="1724" spans="3:3">
      <c r="C1724" s="18"/>
    </row>
    <row r="1725" spans="3:3">
      <c r="C1725" s="18"/>
    </row>
    <row r="1726" spans="3:3">
      <c r="C1726" s="18"/>
    </row>
    <row r="1727" spans="3:3">
      <c r="C1727" s="18"/>
    </row>
    <row r="1728" spans="3:3">
      <c r="C1728" s="18"/>
    </row>
    <row r="1729" spans="3:3">
      <c r="C1729" s="18"/>
    </row>
    <row r="1730" spans="3:3">
      <c r="C1730" s="18"/>
    </row>
    <row r="1731" spans="3:3">
      <c r="C1731" s="18"/>
    </row>
    <row r="1732" spans="3:3">
      <c r="C1732" s="18"/>
    </row>
    <row r="1733" spans="3:3">
      <c r="C1733" s="18"/>
    </row>
    <row r="1734" spans="3:3">
      <c r="C1734" s="18"/>
    </row>
    <row r="1735" spans="3:3">
      <c r="C1735" s="18"/>
    </row>
    <row r="1736" spans="3:3">
      <c r="C1736" s="18"/>
    </row>
    <row r="1737" spans="3:3">
      <c r="C1737" s="18"/>
    </row>
    <row r="1738" spans="3:3">
      <c r="C1738" s="18"/>
    </row>
    <row r="1739" spans="3:3">
      <c r="C1739" s="18"/>
    </row>
    <row r="1740" spans="3:3">
      <c r="C1740" s="18"/>
    </row>
    <row r="1741" spans="3:3">
      <c r="C1741" s="18"/>
    </row>
    <row r="1742" spans="3:3">
      <c r="C1742" s="18"/>
    </row>
    <row r="1743" spans="3:3">
      <c r="C1743" s="18"/>
    </row>
    <row r="1744" spans="3:3">
      <c r="C1744" s="18"/>
    </row>
    <row r="1745" spans="3:3">
      <c r="C1745" s="18"/>
    </row>
    <row r="1746" spans="3:3">
      <c r="C1746" s="18"/>
    </row>
    <row r="1747" spans="3:3">
      <c r="C1747" s="18"/>
    </row>
    <row r="1748" spans="3:3">
      <c r="C1748" s="18"/>
    </row>
    <row r="1749" spans="3:3">
      <c r="C1749" s="18"/>
    </row>
    <row r="1750" spans="3:3">
      <c r="C1750" s="18"/>
    </row>
    <row r="1751" spans="3:3">
      <c r="C1751" s="18"/>
    </row>
    <row r="1752" spans="3:3">
      <c r="C1752" s="18"/>
    </row>
    <row r="1753" spans="3:3">
      <c r="C1753" s="18"/>
    </row>
    <row r="1754" spans="3:3">
      <c r="C1754" s="18"/>
    </row>
    <row r="1755" spans="3:3">
      <c r="C1755" s="18"/>
    </row>
    <row r="1756" spans="3:3">
      <c r="C1756" s="18"/>
    </row>
    <row r="1757" spans="3:3">
      <c r="C1757" s="18"/>
    </row>
    <row r="1758" spans="3:3">
      <c r="C1758" s="18"/>
    </row>
    <row r="1759" spans="3:3">
      <c r="C1759" s="18"/>
    </row>
    <row r="1760" spans="3:3">
      <c r="C1760" s="18"/>
    </row>
    <row r="1761" spans="3:3">
      <c r="C1761" s="18"/>
    </row>
    <row r="1762" spans="3:3">
      <c r="C1762" s="18"/>
    </row>
    <row r="1763" spans="3:3">
      <c r="C1763" s="18"/>
    </row>
    <row r="1764" spans="3:3">
      <c r="C1764" s="18"/>
    </row>
    <row r="1765" spans="3:3">
      <c r="C1765" s="18"/>
    </row>
    <row r="1766" spans="3:3">
      <c r="C1766" s="18"/>
    </row>
    <row r="1767" spans="3:3">
      <c r="C1767" s="18"/>
    </row>
    <row r="1768" spans="3:3">
      <c r="C1768" s="18"/>
    </row>
    <row r="1769" spans="3:3">
      <c r="C1769" s="18"/>
    </row>
    <row r="1770" spans="3:3">
      <c r="C1770" s="18"/>
    </row>
    <row r="1771" spans="3:3">
      <c r="C1771" s="18"/>
    </row>
    <row r="1772" spans="3:3">
      <c r="C1772" s="18"/>
    </row>
    <row r="1773" spans="3:3">
      <c r="C1773" s="18"/>
    </row>
    <row r="1774" spans="3:3">
      <c r="C1774" s="18"/>
    </row>
    <row r="1775" spans="3:3">
      <c r="C1775" s="18"/>
    </row>
    <row r="1776" spans="3:3">
      <c r="C1776" s="18"/>
    </row>
    <row r="1777" spans="3:3">
      <c r="C1777" s="18"/>
    </row>
    <row r="1778" spans="3:3">
      <c r="C1778" s="18"/>
    </row>
    <row r="1779" spans="3:3">
      <c r="C1779" s="18"/>
    </row>
    <row r="1780" spans="3:3">
      <c r="C1780" s="18"/>
    </row>
    <row r="1781" spans="3:3">
      <c r="C1781" s="18"/>
    </row>
    <row r="1782" spans="3:3">
      <c r="C1782" s="18"/>
    </row>
    <row r="1783" spans="3:3">
      <c r="C1783" s="18"/>
    </row>
    <row r="1784" spans="3:3">
      <c r="C1784" s="18"/>
    </row>
    <row r="1785" spans="3:3">
      <c r="C1785" s="18"/>
    </row>
    <row r="1786" spans="3:3">
      <c r="C1786" s="18"/>
    </row>
    <row r="1787" spans="3:3">
      <c r="C1787" s="18"/>
    </row>
    <row r="1788" spans="3:3">
      <c r="C1788" s="18"/>
    </row>
    <row r="1789" spans="3:3">
      <c r="C1789" s="18"/>
    </row>
    <row r="1790" spans="3:3">
      <c r="C1790" s="18"/>
    </row>
    <row r="1791" spans="3:3">
      <c r="C1791" s="18"/>
    </row>
    <row r="1792" spans="3:3">
      <c r="C1792" s="18"/>
    </row>
    <row r="1793" spans="3:3">
      <c r="C1793" s="18"/>
    </row>
    <row r="1794" spans="3:3">
      <c r="C1794" s="18"/>
    </row>
    <row r="1795" spans="3:3">
      <c r="C1795" s="18"/>
    </row>
    <row r="1796" spans="3:3">
      <c r="C1796" s="18"/>
    </row>
    <row r="1797" spans="3:3">
      <c r="C1797" s="18"/>
    </row>
    <row r="1798" spans="3:3">
      <c r="C1798" s="18"/>
    </row>
    <row r="1799" spans="3:3">
      <c r="C1799" s="18"/>
    </row>
    <row r="1800" spans="3:3">
      <c r="C1800" s="18"/>
    </row>
    <row r="1801" spans="3:3">
      <c r="C1801" s="18"/>
    </row>
    <row r="1802" spans="3:3">
      <c r="C1802" s="18"/>
    </row>
    <row r="1803" spans="3:3">
      <c r="C1803" s="18"/>
    </row>
    <row r="1804" spans="3:3">
      <c r="C1804" s="18"/>
    </row>
    <row r="1805" spans="3:3">
      <c r="C1805" s="18"/>
    </row>
    <row r="1806" spans="3:3">
      <c r="C1806" s="18"/>
    </row>
    <row r="1807" spans="3:3">
      <c r="C1807" s="18"/>
    </row>
    <row r="1808" spans="3:3">
      <c r="C1808" s="18"/>
    </row>
    <row r="1809" spans="3:3">
      <c r="C1809" s="18"/>
    </row>
    <row r="1810" spans="3:3">
      <c r="C1810" s="18"/>
    </row>
    <row r="1811" spans="3:3">
      <c r="C1811" s="18"/>
    </row>
    <row r="1812" spans="3:3">
      <c r="C1812" s="18"/>
    </row>
    <row r="1813" spans="3:3">
      <c r="C1813" s="18"/>
    </row>
    <row r="1814" spans="3:3">
      <c r="C1814" s="18"/>
    </row>
    <row r="1815" spans="3:3">
      <c r="C1815" s="18"/>
    </row>
    <row r="1816" spans="3:3">
      <c r="C1816" s="18"/>
    </row>
    <row r="1817" spans="3:3">
      <c r="C1817" s="18"/>
    </row>
    <row r="1818" spans="3:3">
      <c r="C1818" s="18"/>
    </row>
    <row r="1819" spans="3:3">
      <c r="C1819" s="18"/>
    </row>
    <row r="1820" spans="3:3">
      <c r="C1820" s="18"/>
    </row>
    <row r="1821" spans="3:3">
      <c r="C1821" s="18"/>
    </row>
    <row r="1822" spans="3:3">
      <c r="C1822" s="18"/>
    </row>
    <row r="1823" spans="3:3">
      <c r="C1823" s="18"/>
    </row>
    <row r="1824" spans="3:3">
      <c r="C1824" s="18"/>
    </row>
    <row r="1825" spans="3:3">
      <c r="C1825" s="18"/>
    </row>
    <row r="1826" spans="3:3">
      <c r="C1826" s="18"/>
    </row>
    <row r="1827" spans="3:3">
      <c r="C1827" s="18"/>
    </row>
    <row r="1828" spans="3:3">
      <c r="C1828" s="18"/>
    </row>
    <row r="1829" spans="3:3">
      <c r="C1829" s="18"/>
    </row>
    <row r="1830" spans="3:3">
      <c r="C1830" s="18"/>
    </row>
    <row r="1831" spans="3:3">
      <c r="C1831" s="18"/>
    </row>
    <row r="1832" spans="3:3">
      <c r="C1832" s="18"/>
    </row>
    <row r="1833" spans="3:3">
      <c r="C1833" s="18"/>
    </row>
    <row r="1834" spans="3:3">
      <c r="C1834" s="18"/>
    </row>
    <row r="1835" spans="3:3">
      <c r="C1835" s="18"/>
    </row>
    <row r="1836" spans="3:3">
      <c r="C1836" s="18"/>
    </row>
    <row r="1837" spans="3:3">
      <c r="C1837" s="18"/>
    </row>
    <row r="1838" spans="3:3">
      <c r="C1838" s="18"/>
    </row>
    <row r="1839" spans="3:3">
      <c r="C1839" s="18"/>
    </row>
    <row r="1840" spans="3:3">
      <c r="C1840" s="18"/>
    </row>
    <row r="1841" spans="3:3">
      <c r="C1841" s="18"/>
    </row>
    <row r="1842" spans="3:3">
      <c r="C1842" s="18"/>
    </row>
    <row r="1843" spans="3:3">
      <c r="C1843" s="18"/>
    </row>
    <row r="1844" spans="3:3">
      <c r="C1844" s="18"/>
    </row>
    <row r="1845" spans="3:3">
      <c r="C1845" s="18"/>
    </row>
    <row r="1846" spans="3:3">
      <c r="C1846" s="18"/>
    </row>
    <row r="1847" spans="3:3">
      <c r="C1847" s="18"/>
    </row>
    <row r="1848" spans="3:3">
      <c r="C1848" s="18"/>
    </row>
    <row r="1849" spans="3:3">
      <c r="C1849" s="18"/>
    </row>
    <row r="1850" spans="3:3">
      <c r="C1850" s="18"/>
    </row>
    <row r="1851" spans="3:3">
      <c r="C1851" s="18"/>
    </row>
    <row r="1852" spans="3:3">
      <c r="C1852" s="18"/>
    </row>
    <row r="1853" spans="3:3">
      <c r="C1853" s="18"/>
    </row>
    <row r="1854" spans="3:3">
      <c r="C1854" s="18"/>
    </row>
    <row r="1855" spans="3:3">
      <c r="C1855" s="18"/>
    </row>
    <row r="1856" spans="3:3">
      <c r="C1856" s="18"/>
    </row>
    <row r="1857" spans="3:3">
      <c r="C1857" s="18"/>
    </row>
    <row r="1858" spans="3:3">
      <c r="C1858" s="18"/>
    </row>
    <row r="1859" spans="3:3">
      <c r="C1859" s="18"/>
    </row>
    <row r="1860" spans="3:3">
      <c r="C1860" s="18"/>
    </row>
    <row r="1861" spans="3:3">
      <c r="C1861" s="18"/>
    </row>
    <row r="1862" spans="3:3">
      <c r="C1862" s="18"/>
    </row>
    <row r="1863" spans="3:3">
      <c r="C1863" s="18"/>
    </row>
    <row r="1864" spans="3:3">
      <c r="C1864" s="18"/>
    </row>
    <row r="1865" spans="3:3">
      <c r="C1865" s="18"/>
    </row>
    <row r="1866" spans="3:3">
      <c r="C1866" s="18"/>
    </row>
    <row r="1867" spans="3:3">
      <c r="C1867" s="18"/>
    </row>
    <row r="1868" spans="3:3">
      <c r="C1868" s="18"/>
    </row>
    <row r="1869" spans="3:3">
      <c r="C1869" s="18"/>
    </row>
    <row r="1870" spans="3:3">
      <c r="C1870" s="18"/>
    </row>
    <row r="1871" spans="3:3">
      <c r="C1871" s="18"/>
    </row>
    <row r="1872" spans="3:3">
      <c r="C1872" s="18"/>
    </row>
    <row r="1873" spans="3:3">
      <c r="C1873" s="18"/>
    </row>
    <row r="1874" spans="3:3">
      <c r="C1874" s="18"/>
    </row>
    <row r="1875" spans="3:3">
      <c r="C1875" s="18"/>
    </row>
    <row r="1876" spans="3:3">
      <c r="C1876" s="18"/>
    </row>
    <row r="1877" spans="3:3">
      <c r="C1877" s="18"/>
    </row>
  </sheetData>
  <sheetProtection password="CA9F" sheet="1"/>
  <mergeCells count="7">
    <mergeCell ref="C101:D101"/>
    <mergeCell ref="C103:D103"/>
    <mergeCell ref="C105:D105"/>
    <mergeCell ref="C1:E2"/>
    <mergeCell ref="A4:E4"/>
    <mergeCell ref="A6:B6"/>
    <mergeCell ref="D6:E6"/>
  </mergeCells>
  <pageMargins left="0.7" right="0.7" top="0.75" bottom="0.75" header="0.3" footer="0.3"/>
  <pageSetup scale="75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A1029"/>
  <sheetViews>
    <sheetView topLeftCell="A25" workbookViewId="0">
      <selection activeCell="J15" sqref="J15"/>
    </sheetView>
  </sheetViews>
  <sheetFormatPr defaultColWidth="15.1796875" defaultRowHeight="14.5"/>
  <cols>
    <col min="1" max="1" width="4.1796875" style="660" customWidth="1"/>
    <col min="2" max="2" width="23.453125" style="637" customWidth="1"/>
    <col min="3" max="3" width="16" style="637" customWidth="1"/>
    <col min="4" max="4" width="14.7265625" style="637" customWidth="1"/>
    <col min="5" max="8" width="20.1796875" style="637" customWidth="1"/>
    <col min="9" max="9" width="14.7265625" style="637" customWidth="1"/>
    <col min="10" max="10" width="14.81640625" style="637" customWidth="1"/>
    <col min="11" max="11" width="13.7265625" style="637" customWidth="1"/>
    <col min="12" max="25" width="7.453125" style="637" customWidth="1"/>
    <col min="26" max="16384" width="15.1796875" style="637"/>
  </cols>
  <sheetData>
    <row r="1" spans="1:27" ht="12.75" customHeight="1">
      <c r="A1" s="444"/>
      <c r="B1" s="227"/>
      <c r="C1" s="242"/>
      <c r="D1" s="242"/>
      <c r="E1" s="242"/>
      <c r="F1" s="1198" t="s">
        <v>1009</v>
      </c>
      <c r="G1" s="1173"/>
      <c r="H1" s="1173"/>
      <c r="I1" s="1173"/>
      <c r="J1" s="1173"/>
      <c r="K1" s="1173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</row>
    <row r="2" spans="1:27" ht="12.75" customHeight="1">
      <c r="A2" s="444"/>
      <c r="B2" s="227"/>
      <c r="C2" s="242"/>
      <c r="D2" s="242"/>
      <c r="E2" s="242"/>
      <c r="F2" s="1173"/>
      <c r="G2" s="1173"/>
      <c r="H2" s="1173"/>
      <c r="I2" s="1173"/>
      <c r="J2" s="1173"/>
      <c r="K2" s="1173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7" ht="12.75" customHeight="1">
      <c r="A3" s="444"/>
      <c r="B3" s="227"/>
      <c r="C3" s="242"/>
      <c r="D3" s="242"/>
      <c r="E3" s="242"/>
      <c r="F3" s="1173"/>
      <c r="G3" s="1173"/>
      <c r="H3" s="1173"/>
      <c r="I3" s="1173"/>
      <c r="J3" s="1173"/>
      <c r="K3" s="1173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7" ht="12.75" customHeight="1">
      <c r="A4" s="1199" t="s">
        <v>1050</v>
      </c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7" ht="12.75" customHeight="1">
      <c r="A5" s="646"/>
      <c r="B5" s="638"/>
      <c r="C5" s="638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7" ht="15.75" customHeight="1">
      <c r="A6" s="1195" t="str">
        <f>+i.04108!A7</f>
        <v>Даатгагчийн нэр:</v>
      </c>
      <c r="B6" s="1196"/>
      <c r="C6" s="1196"/>
      <c r="D6" s="1196"/>
      <c r="H6" s="640"/>
      <c r="I6" s="1197" t="str">
        <f>+i.04108!F7</f>
        <v>..... оны .... сарын ...-ны өдөр</v>
      </c>
      <c r="J6" s="1197"/>
      <c r="K6" s="1197"/>
      <c r="L6" s="242"/>
      <c r="M6" s="1208"/>
      <c r="N6" s="1173"/>
      <c r="O6" s="1173"/>
      <c r="P6" s="1173"/>
      <c r="Q6" s="641"/>
      <c r="R6" s="242"/>
      <c r="S6" s="242"/>
      <c r="T6" s="242"/>
      <c r="U6" s="242"/>
      <c r="V6" s="242"/>
      <c r="W6" s="242"/>
      <c r="X6" s="242"/>
      <c r="Y6" s="242"/>
      <c r="Z6" s="242"/>
      <c r="AA6" s="242"/>
    </row>
    <row r="7" spans="1:27" ht="12.75" customHeight="1">
      <c r="A7" s="641"/>
      <c r="B7" s="242"/>
      <c r="C7" s="635"/>
      <c r="D7" s="242"/>
      <c r="E7" s="242"/>
      <c r="H7" s="242"/>
      <c r="I7" s="242"/>
      <c r="J7" s="1193" t="s">
        <v>1</v>
      </c>
      <c r="K7" s="1173"/>
      <c r="L7" s="242"/>
      <c r="M7" s="242"/>
      <c r="N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</row>
    <row r="8" spans="1:27" ht="12" customHeight="1">
      <c r="A8" s="1200" t="s">
        <v>2</v>
      </c>
      <c r="B8" s="1203" t="s">
        <v>743</v>
      </c>
      <c r="C8" s="1203" t="s">
        <v>744</v>
      </c>
      <c r="D8" s="1177" t="s">
        <v>293</v>
      </c>
      <c r="E8" s="1206"/>
      <c r="F8" s="1206"/>
      <c r="G8" s="1206"/>
      <c r="H8" s="1206"/>
      <c r="I8" s="1206"/>
      <c r="J8" s="1207"/>
      <c r="K8" s="1203" t="s">
        <v>745</v>
      </c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</row>
    <row r="9" spans="1:27" ht="13.5" customHeight="1">
      <c r="A9" s="1201"/>
      <c r="B9" s="1204"/>
      <c r="C9" s="1204"/>
      <c r="D9" s="1209" t="s">
        <v>688</v>
      </c>
      <c r="E9" s="1210" t="s">
        <v>689</v>
      </c>
      <c r="F9" s="1211"/>
      <c r="G9" s="1206"/>
      <c r="H9" s="1206"/>
      <c r="I9" s="1207"/>
      <c r="J9" s="1209" t="s">
        <v>746</v>
      </c>
      <c r="K9" s="1204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</row>
    <row r="10" spans="1:27" ht="39">
      <c r="A10" s="1202"/>
      <c r="B10" s="1205"/>
      <c r="C10" s="1205"/>
      <c r="D10" s="1205"/>
      <c r="E10" s="647" t="s">
        <v>747</v>
      </c>
      <c r="F10" s="648" t="s">
        <v>748</v>
      </c>
      <c r="G10" s="649" t="s">
        <v>749</v>
      </c>
      <c r="H10" s="650" t="s">
        <v>750</v>
      </c>
      <c r="I10" s="650" t="s">
        <v>288</v>
      </c>
      <c r="J10" s="1205"/>
      <c r="K10" s="1205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</row>
    <row r="11" spans="1:27" s="656" customFormat="1" ht="13">
      <c r="A11" s="651" t="s">
        <v>6</v>
      </c>
      <c r="B11" s="652" t="s">
        <v>7</v>
      </c>
      <c r="C11" s="945">
        <v>1</v>
      </c>
      <c r="D11" s="652">
        <v>2</v>
      </c>
      <c r="E11" s="430">
        <v>3</v>
      </c>
      <c r="F11" s="653">
        <v>4</v>
      </c>
      <c r="G11" s="654">
        <v>5</v>
      </c>
      <c r="H11" s="428">
        <v>6</v>
      </c>
      <c r="I11" s="428">
        <v>7</v>
      </c>
      <c r="J11" s="652">
        <v>8</v>
      </c>
      <c r="K11" s="652">
        <v>9</v>
      </c>
      <c r="L11" s="655"/>
      <c r="M11" s="655"/>
      <c r="N11" s="655"/>
      <c r="O11" s="655"/>
      <c r="P11" s="655"/>
      <c r="Q11" s="655"/>
      <c r="R11" s="655"/>
      <c r="S11" s="655"/>
      <c r="T11" s="655"/>
      <c r="U11" s="655"/>
      <c r="V11" s="655"/>
      <c r="W11" s="655"/>
      <c r="X11" s="655"/>
      <c r="Y11" s="655"/>
    </row>
    <row r="12" spans="1:27" ht="39" customHeight="1">
      <c r="A12" s="657" t="s">
        <v>441</v>
      </c>
      <c r="B12" s="658" t="s">
        <v>1049</v>
      </c>
      <c r="C12" s="431">
        <f>SUM(C13:INDEX(C:C,ROWS(C:C)))</f>
        <v>0</v>
      </c>
      <c r="D12" s="431">
        <f>SUM(D13:INDEX(D:D,ROWS(D:D)))</f>
        <v>0</v>
      </c>
      <c r="E12" s="431">
        <f>SUM(E13:INDEX(E:E,ROWS(E:E)))</f>
        <v>0</v>
      </c>
      <c r="F12" s="431">
        <f>SUM(F13:INDEX(F:F,ROWS(F:F)))</f>
        <v>0</v>
      </c>
      <c r="G12" s="431">
        <f>SUM(G13:INDEX(G:G,ROWS(G:G)))</f>
        <v>0</v>
      </c>
      <c r="H12" s="431">
        <f>SUM(H13:INDEX(H:H,ROWS(H:H)))</f>
        <v>0</v>
      </c>
      <c r="I12" s="431">
        <f>SUM(I13:INDEX(I:I,ROWS(I:I)))</f>
        <v>0</v>
      </c>
      <c r="J12" s="431">
        <f>SUM(J13:INDEX(J:J,ROWS(J:J)))</f>
        <v>0</v>
      </c>
      <c r="K12" s="431">
        <f>SUM(K13:INDEX(K:K,ROWS(K:K)))</f>
        <v>0</v>
      </c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</row>
    <row r="13" spans="1:27" ht="12.75" customHeight="1">
      <c r="A13" s="1001" t="s">
        <v>85</v>
      </c>
      <c r="B13" s="62" t="s">
        <v>753</v>
      </c>
      <c r="C13" s="947"/>
      <c r="D13" s="944"/>
      <c r="E13" s="58"/>
      <c r="F13" s="58"/>
      <c r="G13" s="58"/>
      <c r="H13" s="58"/>
      <c r="I13" s="58"/>
      <c r="J13" s="1000">
        <f>SUM(D13,E13,G13:I13)</f>
        <v>0</v>
      </c>
      <c r="K13" s="58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</row>
    <row r="14" spans="1:27" ht="12.75" customHeight="1">
      <c r="A14" s="1001" t="s">
        <v>360</v>
      </c>
      <c r="B14" s="62" t="s">
        <v>754</v>
      </c>
      <c r="C14" s="947"/>
      <c r="D14" s="944"/>
      <c r="E14" s="58"/>
      <c r="F14" s="58"/>
      <c r="G14" s="58"/>
      <c r="H14" s="58"/>
      <c r="I14" s="58"/>
      <c r="J14" s="1000">
        <f>SUM(D14,E14,G14:I14)</f>
        <v>0</v>
      </c>
      <c r="K14" s="58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</row>
    <row r="15" spans="1:27">
      <c r="A15" s="1001" t="s">
        <v>367</v>
      </c>
      <c r="B15" s="62" t="s">
        <v>753</v>
      </c>
      <c r="C15" s="947"/>
      <c r="D15" s="944"/>
      <c r="E15" s="58"/>
      <c r="F15" s="58"/>
      <c r="G15" s="58"/>
      <c r="H15" s="58"/>
      <c r="I15" s="58"/>
      <c r="J15" s="1000">
        <f t="shared" ref="J15:J62" si="0">SUM(D15,E15,G15:I15)</f>
        <v>0</v>
      </c>
      <c r="K15" s="58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</row>
    <row r="16" spans="1:27">
      <c r="A16" s="1001" t="s">
        <v>375</v>
      </c>
      <c r="B16" s="62" t="s">
        <v>754</v>
      </c>
      <c r="C16" s="947"/>
      <c r="D16" s="944"/>
      <c r="E16" s="58"/>
      <c r="F16" s="58"/>
      <c r="G16" s="58"/>
      <c r="H16" s="58"/>
      <c r="I16" s="58"/>
      <c r="J16" s="1000">
        <f t="shared" si="0"/>
        <v>0</v>
      </c>
      <c r="K16" s="58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</row>
    <row r="17" spans="1:25">
      <c r="A17" s="1001" t="s">
        <v>382</v>
      </c>
      <c r="B17" s="62" t="s">
        <v>753</v>
      </c>
      <c r="C17" s="947"/>
      <c r="D17" s="944"/>
      <c r="E17" s="58"/>
      <c r="F17" s="58"/>
      <c r="G17" s="58"/>
      <c r="H17" s="58"/>
      <c r="I17" s="58"/>
      <c r="J17" s="1000">
        <f t="shared" si="0"/>
        <v>0</v>
      </c>
      <c r="K17" s="58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</row>
    <row r="18" spans="1:25">
      <c r="A18" s="1001" t="s">
        <v>401</v>
      </c>
      <c r="B18" s="62" t="s">
        <v>754</v>
      </c>
      <c r="C18" s="947"/>
      <c r="D18" s="944"/>
      <c r="E18" s="58"/>
      <c r="F18" s="58"/>
      <c r="G18" s="58"/>
      <c r="H18" s="58"/>
      <c r="I18" s="58"/>
      <c r="J18" s="1000">
        <f t="shared" si="0"/>
        <v>0</v>
      </c>
      <c r="K18" s="58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</row>
    <row r="19" spans="1:25">
      <c r="A19" s="1001" t="s">
        <v>403</v>
      </c>
      <c r="B19" s="62" t="s">
        <v>753</v>
      </c>
      <c r="C19" s="947"/>
      <c r="D19" s="944"/>
      <c r="E19" s="58"/>
      <c r="F19" s="58"/>
      <c r="G19" s="58"/>
      <c r="H19" s="58"/>
      <c r="I19" s="58"/>
      <c r="J19" s="1000">
        <f t="shared" si="0"/>
        <v>0</v>
      </c>
      <c r="K19" s="58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</row>
    <row r="20" spans="1:25">
      <c r="A20" s="1001" t="s">
        <v>407</v>
      </c>
      <c r="B20" s="62" t="s">
        <v>754</v>
      </c>
      <c r="C20" s="947"/>
      <c r="D20" s="944"/>
      <c r="E20" s="58"/>
      <c r="F20" s="58"/>
      <c r="G20" s="58"/>
      <c r="H20" s="58"/>
      <c r="I20" s="58"/>
      <c r="J20" s="1000">
        <f t="shared" si="0"/>
        <v>0</v>
      </c>
      <c r="K20" s="58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</row>
    <row r="21" spans="1:25">
      <c r="A21" s="1001" t="s">
        <v>411</v>
      </c>
      <c r="B21" s="62" t="s">
        <v>753</v>
      </c>
      <c r="C21" s="947"/>
      <c r="D21" s="944"/>
      <c r="E21" s="58"/>
      <c r="F21" s="58"/>
      <c r="G21" s="58"/>
      <c r="H21" s="58"/>
      <c r="I21" s="58"/>
      <c r="J21" s="1000">
        <f t="shared" si="0"/>
        <v>0</v>
      </c>
      <c r="K21" s="58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</row>
    <row r="22" spans="1:25">
      <c r="A22" s="1001" t="s">
        <v>418</v>
      </c>
      <c r="B22" s="62" t="s">
        <v>754</v>
      </c>
      <c r="C22" s="947"/>
      <c r="D22" s="944"/>
      <c r="E22" s="58"/>
      <c r="F22" s="58"/>
      <c r="G22" s="58"/>
      <c r="H22" s="58"/>
      <c r="I22" s="58"/>
      <c r="J22" s="1000">
        <f t="shared" si="0"/>
        <v>0</v>
      </c>
      <c r="K22" s="58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</row>
    <row r="23" spans="1:25">
      <c r="A23" s="1001" t="s">
        <v>1051</v>
      </c>
      <c r="B23" s="62" t="s">
        <v>753</v>
      </c>
      <c r="C23" s="947"/>
      <c r="D23" s="944"/>
      <c r="E23" s="58"/>
      <c r="F23" s="58"/>
      <c r="G23" s="58"/>
      <c r="H23" s="58"/>
      <c r="I23" s="58"/>
      <c r="J23" s="1000">
        <f t="shared" si="0"/>
        <v>0</v>
      </c>
      <c r="K23" s="58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</row>
    <row r="24" spans="1:25">
      <c r="A24" s="1001" t="s">
        <v>1052</v>
      </c>
      <c r="B24" s="62" t="s">
        <v>754</v>
      </c>
      <c r="C24" s="947"/>
      <c r="D24" s="944"/>
      <c r="E24" s="58"/>
      <c r="F24" s="58"/>
      <c r="G24" s="58"/>
      <c r="H24" s="58"/>
      <c r="I24" s="58"/>
      <c r="J24" s="1000">
        <f t="shared" si="0"/>
        <v>0</v>
      </c>
      <c r="K24" s="58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</row>
    <row r="25" spans="1:25">
      <c r="A25" s="1001" t="s">
        <v>1053</v>
      </c>
      <c r="B25" s="62" t="s">
        <v>753</v>
      </c>
      <c r="C25" s="947"/>
      <c r="D25" s="944"/>
      <c r="E25" s="58"/>
      <c r="F25" s="58"/>
      <c r="G25" s="58"/>
      <c r="H25" s="58"/>
      <c r="I25" s="58"/>
      <c r="J25" s="1000">
        <f t="shared" si="0"/>
        <v>0</v>
      </c>
      <c r="K25" s="58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</row>
    <row r="26" spans="1:25">
      <c r="A26" s="1001" t="s">
        <v>1054</v>
      </c>
      <c r="B26" s="62" t="s">
        <v>754</v>
      </c>
      <c r="C26" s="947"/>
      <c r="D26" s="944"/>
      <c r="E26" s="58"/>
      <c r="F26" s="58"/>
      <c r="G26" s="58"/>
      <c r="H26" s="58"/>
      <c r="I26" s="58"/>
      <c r="J26" s="1000">
        <f t="shared" si="0"/>
        <v>0</v>
      </c>
      <c r="K26" s="58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</row>
    <row r="27" spans="1:25">
      <c r="A27" s="1001" t="s">
        <v>1055</v>
      </c>
      <c r="B27" s="62" t="s">
        <v>753</v>
      </c>
      <c r="C27" s="947"/>
      <c r="D27" s="944"/>
      <c r="E27" s="58"/>
      <c r="F27" s="58"/>
      <c r="G27" s="58"/>
      <c r="H27" s="58"/>
      <c r="I27" s="58"/>
      <c r="J27" s="1000">
        <f t="shared" si="0"/>
        <v>0</v>
      </c>
      <c r="K27" s="58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</row>
    <row r="28" spans="1:25" s="950" customFormat="1">
      <c r="A28" s="1001" t="s">
        <v>1056</v>
      </c>
      <c r="B28" s="62" t="s">
        <v>753</v>
      </c>
      <c r="C28" s="947"/>
      <c r="D28" s="944"/>
      <c r="E28" s="58"/>
      <c r="F28" s="58"/>
      <c r="G28" s="58"/>
      <c r="H28" s="58"/>
      <c r="I28" s="58"/>
      <c r="J28" s="1000">
        <f t="shared" si="0"/>
        <v>0</v>
      </c>
      <c r="K28" s="58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</row>
    <row r="29" spans="1:25" s="950" customFormat="1">
      <c r="A29" s="1001" t="s">
        <v>1057</v>
      </c>
      <c r="B29" s="62" t="s">
        <v>753</v>
      </c>
      <c r="C29" s="947"/>
      <c r="D29" s="944"/>
      <c r="E29" s="58"/>
      <c r="F29" s="58"/>
      <c r="G29" s="58"/>
      <c r="H29" s="58"/>
      <c r="I29" s="58"/>
      <c r="J29" s="1000">
        <f t="shared" si="0"/>
        <v>0</v>
      </c>
      <c r="K29" s="58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</row>
    <row r="30" spans="1:25" s="950" customFormat="1">
      <c r="A30" s="1001" t="s">
        <v>1058</v>
      </c>
      <c r="B30" s="62" t="s">
        <v>753</v>
      </c>
      <c r="C30" s="947"/>
      <c r="D30" s="944"/>
      <c r="E30" s="58"/>
      <c r="F30" s="58"/>
      <c r="G30" s="58"/>
      <c r="H30" s="58"/>
      <c r="I30" s="58"/>
      <c r="J30" s="1000">
        <f t="shared" si="0"/>
        <v>0</v>
      </c>
      <c r="K30" s="58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</row>
    <row r="31" spans="1:25" s="950" customFormat="1">
      <c r="A31" s="1001" t="s">
        <v>1059</v>
      </c>
      <c r="B31" s="62" t="s">
        <v>754</v>
      </c>
      <c r="C31" s="947"/>
      <c r="D31" s="944"/>
      <c r="E31" s="58"/>
      <c r="F31" s="58"/>
      <c r="G31" s="58"/>
      <c r="H31" s="58"/>
      <c r="I31" s="58"/>
      <c r="J31" s="1000">
        <f t="shared" si="0"/>
        <v>0</v>
      </c>
      <c r="K31" s="58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</row>
    <row r="32" spans="1:25">
      <c r="A32" s="1001" t="s">
        <v>1060</v>
      </c>
      <c r="B32" s="62" t="s">
        <v>753</v>
      </c>
      <c r="C32" s="947"/>
      <c r="D32" s="944"/>
      <c r="E32" s="58"/>
      <c r="F32" s="58"/>
      <c r="G32" s="58"/>
      <c r="H32" s="58"/>
      <c r="I32" s="58"/>
      <c r="J32" s="1000">
        <f t="shared" si="0"/>
        <v>0</v>
      </c>
      <c r="K32" s="58"/>
    </row>
    <row r="33" spans="1:25">
      <c r="A33" s="1001" t="s">
        <v>1061</v>
      </c>
      <c r="B33" s="62" t="s">
        <v>754</v>
      </c>
      <c r="C33" s="947"/>
      <c r="D33" s="944"/>
      <c r="E33" s="58"/>
      <c r="F33" s="58"/>
      <c r="G33" s="58"/>
      <c r="H33" s="58"/>
      <c r="I33" s="58"/>
      <c r="J33" s="1000">
        <f t="shared" si="0"/>
        <v>0</v>
      </c>
      <c r="K33" s="58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</row>
    <row r="34" spans="1:25">
      <c r="A34" s="1001" t="s">
        <v>1062</v>
      </c>
      <c r="B34" s="62" t="s">
        <v>753</v>
      </c>
      <c r="C34" s="947"/>
      <c r="D34" s="944"/>
      <c r="E34" s="58"/>
      <c r="F34" s="58"/>
      <c r="G34" s="58"/>
      <c r="H34" s="58"/>
      <c r="I34" s="58"/>
      <c r="J34" s="1000">
        <f t="shared" si="0"/>
        <v>0</v>
      </c>
      <c r="K34" s="58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</row>
    <row r="35" spans="1:25">
      <c r="A35" s="1001" t="s">
        <v>1063</v>
      </c>
      <c r="B35" s="62" t="s">
        <v>754</v>
      </c>
      <c r="C35" s="947"/>
      <c r="D35" s="944"/>
      <c r="E35" s="58"/>
      <c r="F35" s="58"/>
      <c r="G35" s="58"/>
      <c r="H35" s="58"/>
      <c r="I35" s="58"/>
      <c r="J35" s="1000">
        <f t="shared" si="0"/>
        <v>0</v>
      </c>
      <c r="K35" s="58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</row>
    <row r="36" spans="1:25">
      <c r="A36" s="1001" t="s">
        <v>1064</v>
      </c>
      <c r="B36" s="62" t="s">
        <v>753</v>
      </c>
      <c r="C36" s="947"/>
      <c r="D36" s="944"/>
      <c r="E36" s="58"/>
      <c r="F36" s="58"/>
      <c r="G36" s="58"/>
      <c r="H36" s="58"/>
      <c r="I36" s="58"/>
      <c r="J36" s="1000">
        <f t="shared" si="0"/>
        <v>0</v>
      </c>
      <c r="K36" s="58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</row>
    <row r="37" spans="1:25">
      <c r="A37" s="1001" t="s">
        <v>1065</v>
      </c>
      <c r="B37" s="62" t="s">
        <v>754</v>
      </c>
      <c r="C37" s="947"/>
      <c r="D37" s="944"/>
      <c r="E37" s="58"/>
      <c r="F37" s="58"/>
      <c r="G37" s="58"/>
      <c r="H37" s="58"/>
      <c r="I37" s="58"/>
      <c r="J37" s="1000">
        <f t="shared" si="0"/>
        <v>0</v>
      </c>
      <c r="K37" s="58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</row>
    <row r="38" spans="1:25">
      <c r="A38" s="1001" t="s">
        <v>1066</v>
      </c>
      <c r="B38" s="62" t="s">
        <v>753</v>
      </c>
      <c r="C38" s="947"/>
      <c r="D38" s="944"/>
      <c r="E38" s="58"/>
      <c r="F38" s="58"/>
      <c r="G38" s="58"/>
      <c r="H38" s="58"/>
      <c r="I38" s="58"/>
      <c r="J38" s="1000">
        <f t="shared" si="0"/>
        <v>0</v>
      </c>
      <c r="K38" s="58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</row>
    <row r="39" spans="1:25">
      <c r="A39" s="1001" t="s">
        <v>1067</v>
      </c>
      <c r="B39" s="62" t="s">
        <v>754</v>
      </c>
      <c r="C39" s="947"/>
      <c r="D39" s="944"/>
      <c r="E39" s="58"/>
      <c r="F39" s="58"/>
      <c r="G39" s="58"/>
      <c r="H39" s="58"/>
      <c r="I39" s="58"/>
      <c r="J39" s="1000">
        <f t="shared" si="0"/>
        <v>0</v>
      </c>
      <c r="K39" s="58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</row>
    <row r="40" spans="1:25">
      <c r="A40" s="1001" t="s">
        <v>1068</v>
      </c>
      <c r="B40" s="62" t="s">
        <v>753</v>
      </c>
      <c r="C40" s="947"/>
      <c r="D40" s="944"/>
      <c r="E40" s="58"/>
      <c r="F40" s="58"/>
      <c r="G40" s="58"/>
      <c r="H40" s="58"/>
      <c r="I40" s="58"/>
      <c r="J40" s="1000">
        <f t="shared" si="0"/>
        <v>0</v>
      </c>
      <c r="K40" s="58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</row>
    <row r="41" spans="1:25">
      <c r="A41" s="1001" t="s">
        <v>1069</v>
      </c>
      <c r="B41" s="62" t="s">
        <v>754</v>
      </c>
      <c r="C41" s="947"/>
      <c r="D41" s="944"/>
      <c r="E41" s="58"/>
      <c r="F41" s="58"/>
      <c r="G41" s="58"/>
      <c r="H41" s="58"/>
      <c r="I41" s="58"/>
      <c r="J41" s="1000">
        <f t="shared" si="0"/>
        <v>0</v>
      </c>
      <c r="K41" s="58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</row>
    <row r="42" spans="1:25">
      <c r="A42" s="1001" t="s">
        <v>1070</v>
      </c>
      <c r="B42" s="62" t="s">
        <v>756</v>
      </c>
      <c r="C42" s="947"/>
      <c r="D42" s="944"/>
      <c r="E42" s="58"/>
      <c r="F42" s="58"/>
      <c r="G42" s="58"/>
      <c r="H42" s="58"/>
      <c r="I42" s="58"/>
      <c r="J42" s="1000">
        <f t="shared" si="0"/>
        <v>0</v>
      </c>
      <c r="K42" s="58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</row>
    <row r="43" spans="1:25">
      <c r="A43" s="999"/>
      <c r="B43" s="62"/>
      <c r="C43" s="58"/>
      <c r="D43" s="58"/>
      <c r="E43" s="58"/>
      <c r="F43" s="58"/>
      <c r="G43" s="58"/>
      <c r="H43" s="58"/>
      <c r="I43" s="58"/>
      <c r="J43" s="1000">
        <f t="shared" si="0"/>
        <v>0</v>
      </c>
      <c r="K43" s="58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</row>
    <row r="44" spans="1:25">
      <c r="A44" s="999"/>
      <c r="B44" s="62"/>
      <c r="C44" s="58"/>
      <c r="D44" s="58"/>
      <c r="E44" s="58"/>
      <c r="F44" s="58"/>
      <c r="G44" s="58"/>
      <c r="H44" s="58"/>
      <c r="I44" s="58"/>
      <c r="J44" s="1000">
        <f t="shared" si="0"/>
        <v>0</v>
      </c>
      <c r="K44" s="58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</row>
    <row r="45" spans="1:25">
      <c r="A45" s="999"/>
      <c r="B45" s="62"/>
      <c r="C45" s="58"/>
      <c r="D45" s="58"/>
      <c r="E45" s="58"/>
      <c r="F45" s="58"/>
      <c r="G45" s="58"/>
      <c r="H45" s="58"/>
      <c r="I45" s="58"/>
      <c r="J45" s="1000">
        <f t="shared" si="0"/>
        <v>0</v>
      </c>
      <c r="K45" s="58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</row>
    <row r="46" spans="1:25">
      <c r="A46" s="999"/>
      <c r="B46" s="62"/>
      <c r="C46" s="58"/>
      <c r="D46" s="58"/>
      <c r="E46" s="58"/>
      <c r="F46" s="58"/>
      <c r="G46" s="58"/>
      <c r="H46" s="58"/>
      <c r="I46" s="58"/>
      <c r="J46" s="1000">
        <f t="shared" si="0"/>
        <v>0</v>
      </c>
      <c r="K46" s="58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</row>
    <row r="47" spans="1:25">
      <c r="A47" s="999"/>
      <c r="B47" s="62"/>
      <c r="C47" s="58"/>
      <c r="D47" s="58"/>
      <c r="E47" s="58"/>
      <c r="F47" s="58"/>
      <c r="G47" s="58"/>
      <c r="H47" s="58"/>
      <c r="I47" s="58"/>
      <c r="J47" s="1000">
        <f t="shared" si="0"/>
        <v>0</v>
      </c>
      <c r="K47" s="58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</row>
    <row r="48" spans="1:25">
      <c r="A48" s="999"/>
      <c r="B48" s="62"/>
      <c r="C48" s="58"/>
      <c r="D48" s="58"/>
      <c r="E48" s="58"/>
      <c r="F48" s="58"/>
      <c r="G48" s="58"/>
      <c r="H48" s="58"/>
      <c r="I48" s="58"/>
      <c r="J48" s="1000">
        <f t="shared" si="0"/>
        <v>0</v>
      </c>
      <c r="K48" s="58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</row>
    <row r="49" spans="1:25">
      <c r="A49" s="999"/>
      <c r="B49" s="62"/>
      <c r="C49" s="58"/>
      <c r="D49" s="58"/>
      <c r="E49" s="58"/>
      <c r="F49" s="58"/>
      <c r="G49" s="58"/>
      <c r="H49" s="58"/>
      <c r="I49" s="58"/>
      <c r="J49" s="1000">
        <f t="shared" si="0"/>
        <v>0</v>
      </c>
      <c r="K49" s="58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</row>
    <row r="50" spans="1:25">
      <c r="A50" s="999"/>
      <c r="B50" s="62"/>
      <c r="C50" s="58"/>
      <c r="D50" s="58"/>
      <c r="E50" s="58"/>
      <c r="F50" s="58"/>
      <c r="G50" s="58"/>
      <c r="H50" s="58"/>
      <c r="I50" s="58"/>
      <c r="J50" s="1000">
        <f t="shared" si="0"/>
        <v>0</v>
      </c>
      <c r="K50" s="58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</row>
    <row r="51" spans="1:25">
      <c r="A51" s="999"/>
      <c r="B51" s="62"/>
      <c r="C51" s="58"/>
      <c r="D51" s="58"/>
      <c r="E51" s="58"/>
      <c r="F51" s="58"/>
      <c r="G51" s="58"/>
      <c r="H51" s="58"/>
      <c r="I51" s="58"/>
      <c r="J51" s="1000">
        <f>SUM(D51,E51,G51:I51)</f>
        <v>0</v>
      </c>
      <c r="K51" s="58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</row>
    <row r="52" spans="1:25">
      <c r="A52" s="999"/>
      <c r="B52" s="62"/>
      <c r="C52" s="58"/>
      <c r="D52" s="58"/>
      <c r="E52" s="58"/>
      <c r="F52" s="58"/>
      <c r="G52" s="58"/>
      <c r="H52" s="58"/>
      <c r="I52" s="58"/>
      <c r="J52" s="1000">
        <f t="shared" si="0"/>
        <v>0</v>
      </c>
      <c r="K52" s="58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</row>
    <row r="53" spans="1:25">
      <c r="A53" s="999"/>
      <c r="B53" s="62"/>
      <c r="C53" s="58"/>
      <c r="D53" s="58"/>
      <c r="E53" s="58"/>
      <c r="F53" s="58"/>
      <c r="G53" s="58"/>
      <c r="H53" s="58"/>
      <c r="I53" s="58"/>
      <c r="J53" s="1000">
        <f t="shared" si="0"/>
        <v>0</v>
      </c>
      <c r="K53" s="58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25">
      <c r="A54" s="999"/>
      <c r="B54" s="62"/>
      <c r="C54" s="58"/>
      <c r="D54" s="58"/>
      <c r="E54" s="58"/>
      <c r="F54" s="58"/>
      <c r="G54" s="58"/>
      <c r="H54" s="58"/>
      <c r="I54" s="58"/>
      <c r="J54" s="1000">
        <f t="shared" si="0"/>
        <v>0</v>
      </c>
      <c r="K54" s="58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</row>
    <row r="55" spans="1:25">
      <c r="A55" s="999"/>
      <c r="B55" s="62"/>
      <c r="C55" s="58"/>
      <c r="D55" s="58"/>
      <c r="E55" s="58"/>
      <c r="F55" s="58"/>
      <c r="G55" s="58"/>
      <c r="H55" s="58"/>
      <c r="I55" s="58"/>
      <c r="J55" s="1000">
        <f t="shared" si="0"/>
        <v>0</v>
      </c>
      <c r="K55" s="58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</row>
    <row r="56" spans="1:25">
      <c r="A56" s="999"/>
      <c r="B56" s="62"/>
      <c r="C56" s="58"/>
      <c r="D56" s="58"/>
      <c r="E56" s="58"/>
      <c r="F56" s="58"/>
      <c r="G56" s="58"/>
      <c r="H56" s="58"/>
      <c r="I56" s="58"/>
      <c r="J56" s="1000">
        <f t="shared" si="0"/>
        <v>0</v>
      </c>
      <c r="K56" s="58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</row>
    <row r="57" spans="1:25">
      <c r="A57" s="999"/>
      <c r="B57" s="62"/>
      <c r="C57" s="58"/>
      <c r="D57" s="58"/>
      <c r="E57" s="58"/>
      <c r="F57" s="58"/>
      <c r="G57" s="58"/>
      <c r="H57" s="58"/>
      <c r="I57" s="58"/>
      <c r="J57" s="1000">
        <f t="shared" si="0"/>
        <v>0</v>
      </c>
      <c r="K57" s="58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</row>
    <row r="58" spans="1:25">
      <c r="A58" s="999"/>
      <c r="B58" s="62"/>
      <c r="C58" s="58"/>
      <c r="D58" s="58"/>
      <c r="E58" s="58"/>
      <c r="F58" s="58"/>
      <c r="G58" s="58"/>
      <c r="H58" s="58"/>
      <c r="I58" s="58"/>
      <c r="J58" s="1000">
        <f t="shared" si="0"/>
        <v>0</v>
      </c>
      <c r="K58" s="58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</row>
    <row r="59" spans="1:25">
      <c r="A59" s="999"/>
      <c r="B59" s="62"/>
      <c r="C59" s="58"/>
      <c r="D59" s="58"/>
      <c r="E59" s="58"/>
      <c r="F59" s="58"/>
      <c r="G59" s="58"/>
      <c r="H59" s="58"/>
      <c r="I59" s="58"/>
      <c r="J59" s="1000">
        <f t="shared" si="0"/>
        <v>0</v>
      </c>
      <c r="K59" s="58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</row>
    <row r="60" spans="1:25">
      <c r="A60" s="999"/>
      <c r="B60" s="62"/>
      <c r="C60" s="58"/>
      <c r="D60" s="58"/>
      <c r="E60" s="58"/>
      <c r="F60" s="58"/>
      <c r="G60" s="58"/>
      <c r="H60" s="58"/>
      <c r="I60" s="58"/>
      <c r="J60" s="1000">
        <f t="shared" si="0"/>
        <v>0</v>
      </c>
      <c r="K60" s="58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</row>
    <row r="61" spans="1:25">
      <c r="A61" s="999"/>
      <c r="B61" s="62"/>
      <c r="C61" s="58"/>
      <c r="D61" s="58"/>
      <c r="E61" s="58"/>
      <c r="F61" s="58"/>
      <c r="G61" s="58"/>
      <c r="H61" s="58"/>
      <c r="I61" s="58"/>
      <c r="J61" s="1000">
        <f t="shared" si="0"/>
        <v>0</v>
      </c>
      <c r="K61" s="58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</row>
    <row r="62" spans="1:25">
      <c r="A62" s="999"/>
      <c r="B62" s="62"/>
      <c r="C62" s="58"/>
      <c r="D62" s="58"/>
      <c r="E62" s="58"/>
      <c r="F62" s="58"/>
      <c r="G62" s="58"/>
      <c r="H62" s="58"/>
      <c r="I62" s="58"/>
      <c r="J62" s="1000">
        <f t="shared" si="0"/>
        <v>0</v>
      </c>
      <c r="K62" s="58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</row>
    <row r="63" spans="1:25">
      <c r="A63" s="444"/>
      <c r="B63" s="227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</row>
    <row r="64" spans="1:25" s="34" customFormat="1" ht="15" customHeight="1">
      <c r="A64" s="661"/>
      <c r="B64" s="662" t="str">
        <f>+i.04108!C32</f>
        <v>тамга тэмдэг</v>
      </c>
      <c r="C64" s="661"/>
      <c r="D64" s="661"/>
      <c r="E64" s="661"/>
      <c r="F64" s="661"/>
      <c r="G64" s="661"/>
    </row>
    <row r="65" spans="1:25" ht="18">
      <c r="A65" s="661"/>
      <c r="B65" s="661"/>
      <c r="C65" s="661"/>
      <c r="D65" s="661"/>
      <c r="E65" s="661"/>
      <c r="F65" s="661"/>
      <c r="G65" s="247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</row>
    <row r="66" spans="1:25" ht="19.5" customHeight="1">
      <c r="A66" s="661"/>
      <c r="B66" s="661" t="str">
        <f>+i.04108!C34</f>
        <v xml:space="preserve">ТАЙЛАН ГАРГАСАН:    </v>
      </c>
      <c r="C66" s="661"/>
      <c r="D66" s="661"/>
      <c r="E66" s="661"/>
      <c r="F66" s="661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5" ht="18">
      <c r="A67" s="661"/>
      <c r="B67" s="661"/>
      <c r="C67" s="661"/>
      <c r="D67" s="661"/>
      <c r="E67" s="661"/>
      <c r="F67" s="661"/>
      <c r="G67" s="247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5" ht="18">
      <c r="A68" s="661"/>
      <c r="B68" s="661" t="str">
        <f>+i.04108!C36</f>
        <v xml:space="preserve"> Гүйцэтгэх захирал</v>
      </c>
      <c r="D68" s="661" t="str">
        <f>+i.04108!D36</f>
        <v xml:space="preserve">/................................../   </v>
      </c>
      <c r="E68" s="661"/>
      <c r="F68" s="661" t="str">
        <f>+i.04108!F36</f>
        <v>/................................./</v>
      </c>
      <c r="G68" s="661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5" ht="18">
      <c r="A69" s="659"/>
      <c r="B69" s="661"/>
      <c r="D69" s="661"/>
      <c r="E69" s="661"/>
      <c r="F69" s="661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</row>
    <row r="70" spans="1:25" ht="18">
      <c r="A70" s="444"/>
      <c r="B70" s="661" t="str">
        <f>+i.04108!C38</f>
        <v xml:space="preserve"> Ерөнхий нягтлан бодогч  </v>
      </c>
      <c r="D70" s="661" t="str">
        <f>+i.04108!D38</f>
        <v xml:space="preserve">/.................................../   </v>
      </c>
      <c r="E70" s="661"/>
      <c r="F70" s="661" t="str">
        <f>+i.04108!F38</f>
        <v>/................................/</v>
      </c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</row>
    <row r="71" spans="1:25" ht="18">
      <c r="A71" s="444"/>
      <c r="B71" s="661"/>
      <c r="D71" s="661"/>
      <c r="E71" s="661"/>
      <c r="F71" s="661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</row>
    <row r="72" spans="1:25" ht="18">
      <c r="A72" s="444"/>
      <c r="B72" s="661" t="str">
        <f>+i.04108!C40</f>
        <v>...................................................</v>
      </c>
      <c r="D72" s="661" t="str">
        <f>+i.04108!D40</f>
        <v xml:space="preserve">/................................../   </v>
      </c>
      <c r="E72" s="661"/>
      <c r="F72" s="661" t="str">
        <f>+i.04108!F40</f>
        <v>/................................/</v>
      </c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</row>
    <row r="73" spans="1:25">
      <c r="A73" s="444"/>
      <c r="B73" s="227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</row>
    <row r="74" spans="1:25">
      <c r="A74" s="444"/>
      <c r="B74" s="227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</row>
    <row r="75" spans="1:25">
      <c r="A75" s="444"/>
      <c r="B75" s="227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</row>
    <row r="76" spans="1:25">
      <c r="A76" s="444"/>
      <c r="B76" s="227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</row>
    <row r="77" spans="1:25">
      <c r="A77" s="444"/>
      <c r="B77" s="227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</row>
    <row r="78" spans="1:25">
      <c r="A78" s="444"/>
      <c r="B78" s="227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</row>
    <row r="79" spans="1:25">
      <c r="A79" s="444"/>
      <c r="B79" s="227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</row>
    <row r="80" spans="1:25">
      <c r="A80" s="444"/>
      <c r="B80" s="227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</row>
    <row r="81" spans="1:25">
      <c r="A81" s="444"/>
      <c r="B81" s="227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</row>
    <row r="82" spans="1:25">
      <c r="A82" s="444"/>
      <c r="B82" s="227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</row>
    <row r="83" spans="1:25">
      <c r="A83" s="444"/>
      <c r="B83" s="227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</row>
    <row r="84" spans="1:25">
      <c r="A84" s="444"/>
      <c r="B84" s="227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</row>
    <row r="85" spans="1:25">
      <c r="A85" s="444"/>
      <c r="B85" s="227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</row>
    <row r="86" spans="1:25">
      <c r="A86" s="444"/>
      <c r="B86" s="227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</row>
    <row r="87" spans="1:25">
      <c r="A87" s="444"/>
      <c r="B87" s="227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</row>
    <row r="88" spans="1:25">
      <c r="A88" s="444"/>
      <c r="B88" s="227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</row>
    <row r="89" spans="1:25">
      <c r="A89" s="444"/>
      <c r="B89" s="227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</row>
    <row r="90" spans="1:25">
      <c r="A90" s="444"/>
      <c r="B90" s="227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</row>
    <row r="91" spans="1:25">
      <c r="A91" s="444"/>
      <c r="B91" s="227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</row>
    <row r="92" spans="1:25">
      <c r="A92" s="444"/>
      <c r="B92" s="227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</row>
    <row r="93" spans="1:25">
      <c r="A93" s="444"/>
      <c r="B93" s="227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</row>
    <row r="94" spans="1:25">
      <c r="A94" s="444"/>
      <c r="B94" s="227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</row>
    <row r="95" spans="1:25">
      <c r="A95" s="444"/>
      <c r="B95" s="227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</row>
    <row r="96" spans="1:25">
      <c r="A96" s="444"/>
      <c r="B96" s="227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</row>
    <row r="97" spans="1:25">
      <c r="A97" s="444"/>
      <c r="B97" s="227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</row>
    <row r="98" spans="1:25">
      <c r="A98" s="444"/>
      <c r="B98" s="227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</row>
    <row r="99" spans="1:25">
      <c r="A99" s="444"/>
      <c r="B99" s="227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</row>
    <row r="100" spans="1:25">
      <c r="A100" s="444"/>
      <c r="B100" s="227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</row>
    <row r="101" spans="1:25">
      <c r="A101" s="444"/>
      <c r="B101" s="227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</row>
    <row r="102" spans="1:25">
      <c r="A102" s="444"/>
      <c r="B102" s="227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</row>
    <row r="103" spans="1:25">
      <c r="A103" s="444"/>
      <c r="B103" s="227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</row>
    <row r="104" spans="1:25">
      <c r="A104" s="444"/>
      <c r="B104" s="227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</row>
    <row r="105" spans="1:25">
      <c r="A105" s="444"/>
      <c r="B105" s="227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</row>
    <row r="106" spans="1:25">
      <c r="A106" s="444"/>
      <c r="B106" s="227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</row>
    <row r="107" spans="1:25">
      <c r="A107" s="444"/>
      <c r="B107" s="227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</row>
    <row r="108" spans="1:25">
      <c r="A108" s="444"/>
      <c r="B108" s="227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</row>
    <row r="109" spans="1:25">
      <c r="A109" s="444"/>
      <c r="B109" s="227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</row>
    <row r="110" spans="1:25">
      <c r="A110" s="444"/>
      <c r="B110" s="227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</row>
    <row r="111" spans="1:25">
      <c r="A111" s="444"/>
      <c r="B111" s="227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</row>
    <row r="112" spans="1:25">
      <c r="A112" s="444"/>
      <c r="B112" s="227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</row>
    <row r="113" spans="1:25">
      <c r="A113" s="444"/>
      <c r="B113" s="227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</row>
    <row r="114" spans="1:25">
      <c r="A114" s="444"/>
      <c r="B114" s="227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</row>
    <row r="115" spans="1:25">
      <c r="A115" s="444"/>
      <c r="B115" s="227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</row>
    <row r="116" spans="1:25">
      <c r="A116" s="444"/>
      <c r="B116" s="227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</row>
    <row r="117" spans="1:25">
      <c r="A117" s="444"/>
      <c r="B117" s="227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</row>
    <row r="118" spans="1:25">
      <c r="A118" s="444"/>
      <c r="B118" s="227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</row>
    <row r="119" spans="1:25">
      <c r="A119" s="444"/>
      <c r="B119" s="227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</row>
    <row r="120" spans="1:25">
      <c r="A120" s="444"/>
      <c r="B120" s="227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</row>
    <row r="121" spans="1:25">
      <c r="A121" s="444"/>
      <c r="B121" s="227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</row>
    <row r="122" spans="1:25">
      <c r="A122" s="444"/>
      <c r="B122" s="227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</row>
    <row r="123" spans="1:25">
      <c r="A123" s="444"/>
      <c r="B123" s="227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</row>
    <row r="124" spans="1:25">
      <c r="A124" s="444"/>
      <c r="B124" s="227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</row>
    <row r="125" spans="1:25">
      <c r="A125" s="444"/>
      <c r="B125" s="227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</row>
    <row r="126" spans="1:25">
      <c r="A126" s="444"/>
      <c r="B126" s="227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</row>
    <row r="127" spans="1:25">
      <c r="A127" s="444"/>
      <c r="B127" s="227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</row>
    <row r="128" spans="1:25">
      <c r="A128" s="444"/>
      <c r="B128" s="227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</row>
    <row r="129" spans="1:25">
      <c r="A129" s="444"/>
      <c r="B129" s="227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</row>
    <row r="130" spans="1:25">
      <c r="A130" s="444"/>
      <c r="B130" s="227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</row>
    <row r="131" spans="1:25">
      <c r="A131" s="444"/>
      <c r="B131" s="227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</row>
    <row r="132" spans="1:25">
      <c r="A132" s="444"/>
      <c r="B132" s="227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</row>
    <row r="133" spans="1:25">
      <c r="A133" s="444"/>
      <c r="B133" s="227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</row>
    <row r="134" spans="1:25">
      <c r="A134" s="444"/>
      <c r="B134" s="227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</row>
    <row r="135" spans="1:25">
      <c r="A135" s="444"/>
      <c r="B135" s="227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</row>
    <row r="136" spans="1:25">
      <c r="A136" s="444"/>
      <c r="B136" s="227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</row>
    <row r="137" spans="1:25">
      <c r="A137" s="444"/>
      <c r="B137" s="227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</row>
    <row r="138" spans="1:25">
      <c r="A138" s="444"/>
      <c r="B138" s="227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</row>
    <row r="139" spans="1:25">
      <c r="A139" s="444"/>
      <c r="B139" s="227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</row>
    <row r="140" spans="1:25">
      <c r="A140" s="444"/>
      <c r="B140" s="227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</row>
    <row r="141" spans="1:25">
      <c r="A141" s="444"/>
      <c r="B141" s="227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</row>
    <row r="142" spans="1:25">
      <c r="A142" s="444"/>
      <c r="B142" s="227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</row>
    <row r="143" spans="1:25">
      <c r="A143" s="444"/>
      <c r="B143" s="227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</row>
    <row r="144" spans="1:25">
      <c r="A144" s="444"/>
      <c r="B144" s="227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</row>
    <row r="145" spans="1:25">
      <c r="A145" s="444"/>
      <c r="B145" s="227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</row>
    <row r="146" spans="1:25">
      <c r="A146" s="444"/>
      <c r="B146" s="227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</row>
    <row r="147" spans="1:25">
      <c r="A147" s="444"/>
      <c r="B147" s="227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</row>
    <row r="148" spans="1:25">
      <c r="A148" s="444"/>
      <c r="B148" s="227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</row>
    <row r="149" spans="1:25">
      <c r="A149" s="444"/>
      <c r="B149" s="227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</row>
    <row r="150" spans="1:25">
      <c r="A150" s="444"/>
      <c r="B150" s="227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</row>
    <row r="151" spans="1:25">
      <c r="A151" s="444"/>
      <c r="B151" s="227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</row>
    <row r="152" spans="1:25">
      <c r="A152" s="444"/>
      <c r="B152" s="227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</row>
    <row r="153" spans="1:25">
      <c r="A153" s="444"/>
      <c r="B153" s="227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</row>
    <row r="154" spans="1:25">
      <c r="A154" s="444"/>
      <c r="B154" s="227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</row>
    <row r="155" spans="1:25">
      <c r="A155" s="444"/>
      <c r="B155" s="227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</row>
    <row r="156" spans="1:25">
      <c r="A156" s="444"/>
      <c r="B156" s="227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</row>
    <row r="157" spans="1:25">
      <c r="A157" s="444"/>
      <c r="B157" s="227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</row>
    <row r="158" spans="1:25">
      <c r="A158" s="444"/>
      <c r="B158" s="227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</row>
    <row r="159" spans="1:25">
      <c r="A159" s="444"/>
      <c r="B159" s="227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</row>
    <row r="160" spans="1:25">
      <c r="A160" s="444"/>
      <c r="B160" s="227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</row>
    <row r="161" spans="1:25">
      <c r="A161" s="444"/>
      <c r="B161" s="227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</row>
    <row r="162" spans="1:25">
      <c r="A162" s="444"/>
      <c r="B162" s="227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</row>
    <row r="163" spans="1:25">
      <c r="A163" s="444"/>
      <c r="B163" s="227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</row>
    <row r="164" spans="1:25">
      <c r="A164" s="444"/>
      <c r="B164" s="227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</row>
    <row r="165" spans="1:25">
      <c r="A165" s="444"/>
      <c r="B165" s="227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</row>
    <row r="166" spans="1:25">
      <c r="A166" s="444"/>
      <c r="B166" s="227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</row>
    <row r="167" spans="1:25">
      <c r="A167" s="444"/>
      <c r="B167" s="227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</row>
    <row r="168" spans="1:25">
      <c r="A168" s="444"/>
      <c r="B168" s="227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</row>
    <row r="169" spans="1:25">
      <c r="A169" s="444"/>
      <c r="B169" s="227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</row>
    <row r="170" spans="1:25">
      <c r="A170" s="444"/>
      <c r="B170" s="227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</row>
    <row r="171" spans="1:25">
      <c r="A171" s="444"/>
      <c r="B171" s="227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</row>
    <row r="172" spans="1:25">
      <c r="A172" s="444"/>
      <c r="B172" s="227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</row>
    <row r="173" spans="1:25">
      <c r="A173" s="444"/>
      <c r="B173" s="227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</row>
    <row r="174" spans="1:25">
      <c r="A174" s="444"/>
      <c r="B174" s="227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</row>
    <row r="175" spans="1:25">
      <c r="A175" s="444"/>
      <c r="B175" s="227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</row>
    <row r="176" spans="1:25">
      <c r="A176" s="444"/>
      <c r="B176" s="227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</row>
    <row r="177" spans="1:25">
      <c r="A177" s="444"/>
      <c r="B177" s="227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</row>
    <row r="178" spans="1:25">
      <c r="A178" s="444"/>
      <c r="B178" s="227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</row>
    <row r="179" spans="1:25">
      <c r="A179" s="444"/>
      <c r="B179" s="227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</row>
    <row r="180" spans="1:25">
      <c r="A180" s="444"/>
      <c r="B180" s="227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</row>
    <row r="181" spans="1:25">
      <c r="A181" s="444"/>
      <c r="B181" s="227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</row>
    <row r="182" spans="1:25">
      <c r="A182" s="444"/>
      <c r="B182" s="227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</row>
    <row r="183" spans="1:25">
      <c r="A183" s="444"/>
      <c r="B183" s="227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</row>
    <row r="184" spans="1:25">
      <c r="A184" s="444"/>
      <c r="B184" s="227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</row>
    <row r="185" spans="1:25">
      <c r="A185" s="444"/>
      <c r="B185" s="227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</row>
    <row r="186" spans="1:25">
      <c r="A186" s="444"/>
      <c r="B186" s="227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</row>
    <row r="187" spans="1:25">
      <c r="A187" s="444"/>
      <c r="B187" s="227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</row>
    <row r="188" spans="1:25">
      <c r="A188" s="444"/>
      <c r="B188" s="227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</row>
    <row r="189" spans="1:25">
      <c r="A189" s="444"/>
      <c r="B189" s="227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</row>
    <row r="190" spans="1:25">
      <c r="A190" s="444"/>
      <c r="B190" s="227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</row>
    <row r="191" spans="1:25">
      <c r="A191" s="444"/>
      <c r="B191" s="227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</row>
    <row r="192" spans="1:25">
      <c r="A192" s="444"/>
      <c r="B192" s="227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</row>
    <row r="193" spans="1:25">
      <c r="A193" s="444"/>
      <c r="B193" s="227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</row>
    <row r="194" spans="1:25">
      <c r="A194" s="444"/>
      <c r="B194" s="227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</row>
    <row r="195" spans="1:25">
      <c r="A195" s="444"/>
      <c r="B195" s="227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</row>
    <row r="196" spans="1:25">
      <c r="A196" s="444"/>
      <c r="B196" s="227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</row>
    <row r="197" spans="1:25">
      <c r="A197" s="444"/>
      <c r="B197" s="227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</row>
    <row r="198" spans="1:25">
      <c r="A198" s="444"/>
      <c r="B198" s="227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</row>
    <row r="199" spans="1:25">
      <c r="A199" s="444"/>
      <c r="B199" s="227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</row>
    <row r="200" spans="1:25">
      <c r="A200" s="444"/>
      <c r="B200" s="227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</row>
    <row r="201" spans="1:25">
      <c r="A201" s="444"/>
      <c r="B201" s="227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</row>
    <row r="202" spans="1:25">
      <c r="A202" s="444"/>
      <c r="B202" s="227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</row>
    <row r="203" spans="1:25">
      <c r="A203" s="444"/>
      <c r="B203" s="227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</row>
    <row r="204" spans="1:25">
      <c r="A204" s="444"/>
      <c r="B204" s="227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</row>
    <row r="205" spans="1:25">
      <c r="A205" s="444"/>
      <c r="B205" s="227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</row>
    <row r="206" spans="1:25">
      <c r="A206" s="444"/>
      <c r="B206" s="227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</row>
    <row r="207" spans="1:25">
      <c r="A207" s="444"/>
      <c r="B207" s="227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</row>
    <row r="208" spans="1:25">
      <c r="A208" s="444"/>
      <c r="B208" s="227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</row>
    <row r="209" spans="1:25">
      <c r="A209" s="444"/>
      <c r="B209" s="227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</row>
    <row r="210" spans="1:25">
      <c r="A210" s="444"/>
      <c r="B210" s="227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</row>
    <row r="211" spans="1:25">
      <c r="A211" s="444"/>
      <c r="B211" s="227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</row>
    <row r="212" spans="1:25">
      <c r="A212" s="444"/>
      <c r="B212" s="227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</row>
    <row r="213" spans="1:25">
      <c r="A213" s="444"/>
      <c r="B213" s="227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</row>
    <row r="214" spans="1:25">
      <c r="A214" s="444"/>
      <c r="B214" s="227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</row>
    <row r="215" spans="1:25">
      <c r="A215" s="444"/>
      <c r="B215" s="227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</row>
    <row r="216" spans="1:25">
      <c r="A216" s="444"/>
      <c r="B216" s="227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</row>
    <row r="217" spans="1:25">
      <c r="A217" s="444"/>
      <c r="B217" s="227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</row>
    <row r="218" spans="1:25">
      <c r="A218" s="444"/>
      <c r="B218" s="227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</row>
    <row r="219" spans="1:25">
      <c r="A219" s="444"/>
      <c r="B219" s="227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</row>
    <row r="220" spans="1:25">
      <c r="A220" s="444"/>
      <c r="B220" s="227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</row>
    <row r="221" spans="1:25">
      <c r="A221" s="444"/>
      <c r="B221" s="227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</row>
    <row r="222" spans="1:25">
      <c r="A222" s="444"/>
      <c r="B222" s="227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</row>
    <row r="223" spans="1:25">
      <c r="A223" s="444"/>
      <c r="B223" s="227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</row>
    <row r="224" spans="1:25">
      <c r="A224" s="444"/>
      <c r="B224" s="227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</row>
    <row r="225" spans="1:25">
      <c r="A225" s="444"/>
      <c r="B225" s="227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</row>
    <row r="226" spans="1:25">
      <c r="A226" s="444"/>
      <c r="B226" s="227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</row>
    <row r="227" spans="1:25">
      <c r="A227" s="444"/>
      <c r="B227" s="227"/>
      <c r="C227" s="242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</row>
    <row r="228" spans="1:25">
      <c r="A228" s="444"/>
      <c r="B228" s="227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</row>
    <row r="229" spans="1:25">
      <c r="A229" s="444"/>
      <c r="B229" s="227"/>
      <c r="C229" s="242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</row>
    <row r="230" spans="1:25">
      <c r="A230" s="444"/>
      <c r="B230" s="227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</row>
    <row r="231" spans="1:25">
      <c r="A231" s="444"/>
      <c r="B231" s="227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</row>
    <row r="232" spans="1:25">
      <c r="A232" s="444"/>
      <c r="B232" s="227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</row>
    <row r="233" spans="1:25">
      <c r="A233" s="444"/>
      <c r="B233" s="227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</row>
    <row r="234" spans="1:25">
      <c r="A234" s="444"/>
      <c r="B234" s="227"/>
      <c r="C234" s="242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</row>
    <row r="235" spans="1:25">
      <c r="A235" s="444"/>
      <c r="B235" s="227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</row>
    <row r="236" spans="1:25">
      <c r="A236" s="444"/>
      <c r="B236" s="227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</row>
    <row r="237" spans="1:25">
      <c r="A237" s="444"/>
      <c r="B237" s="227"/>
      <c r="C237" s="242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</row>
    <row r="238" spans="1:25">
      <c r="A238" s="444"/>
      <c r="B238" s="227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</row>
    <row r="239" spans="1:25">
      <c r="A239" s="444"/>
      <c r="B239" s="227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</row>
    <row r="240" spans="1:25">
      <c r="A240" s="444"/>
      <c r="B240" s="227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</row>
    <row r="241" spans="1:25">
      <c r="A241" s="444"/>
      <c r="B241" s="227"/>
      <c r="C241" s="242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</row>
    <row r="242" spans="1:25">
      <c r="A242" s="444"/>
      <c r="B242" s="227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</row>
    <row r="243" spans="1:25">
      <c r="A243" s="444"/>
      <c r="B243" s="227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</row>
    <row r="244" spans="1:25">
      <c r="A244" s="444"/>
      <c r="B244" s="227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</row>
    <row r="245" spans="1:25">
      <c r="A245" s="444"/>
      <c r="B245" s="227"/>
      <c r="C245" s="242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</row>
    <row r="246" spans="1:25">
      <c r="A246" s="444"/>
      <c r="B246" s="227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</row>
    <row r="247" spans="1:25">
      <c r="A247" s="444"/>
      <c r="B247" s="227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</row>
    <row r="248" spans="1:25">
      <c r="A248" s="444"/>
      <c r="B248" s="227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</row>
    <row r="249" spans="1:25">
      <c r="A249" s="444"/>
      <c r="B249" s="227"/>
      <c r="C249" s="242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</row>
    <row r="250" spans="1:25">
      <c r="A250" s="444"/>
      <c r="B250" s="227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</row>
    <row r="251" spans="1:25">
      <c r="A251" s="444"/>
      <c r="B251" s="227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</row>
    <row r="252" spans="1:25">
      <c r="A252" s="444"/>
      <c r="B252" s="227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</row>
    <row r="253" spans="1:25">
      <c r="A253" s="444"/>
      <c r="B253" s="227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</row>
    <row r="254" spans="1:25">
      <c r="A254" s="444"/>
      <c r="B254" s="227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</row>
    <row r="255" spans="1:25">
      <c r="A255" s="444"/>
      <c r="B255" s="227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</row>
    <row r="256" spans="1:25">
      <c r="A256" s="444"/>
      <c r="B256" s="227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</row>
    <row r="257" spans="1:25">
      <c r="A257" s="444"/>
      <c r="B257" s="227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</row>
    <row r="258" spans="1:25">
      <c r="A258" s="444"/>
      <c r="B258" s="227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</row>
    <row r="259" spans="1:25">
      <c r="A259" s="444"/>
      <c r="B259" s="227"/>
      <c r="C259" s="242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</row>
    <row r="260" spans="1:25">
      <c r="A260" s="444"/>
      <c r="B260" s="227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</row>
    <row r="261" spans="1:25">
      <c r="A261" s="444"/>
      <c r="B261" s="227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</row>
    <row r="262" spans="1:25">
      <c r="A262" s="444"/>
      <c r="B262" s="227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</row>
    <row r="263" spans="1:25">
      <c r="A263" s="444"/>
      <c r="B263" s="227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</row>
    <row r="264" spans="1:25">
      <c r="A264" s="444"/>
      <c r="B264" s="227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</row>
    <row r="265" spans="1:25">
      <c r="A265" s="444"/>
      <c r="B265" s="227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</row>
    <row r="266" spans="1:25">
      <c r="A266" s="444"/>
      <c r="B266" s="227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</row>
    <row r="267" spans="1:25">
      <c r="A267" s="444"/>
      <c r="B267" s="227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>
      <c r="A268" s="444"/>
      <c r="B268" s="227"/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</row>
    <row r="269" spans="1:25">
      <c r="A269" s="444"/>
      <c r="B269" s="227"/>
      <c r="C269" s="242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</row>
    <row r="270" spans="1:25">
      <c r="A270" s="444"/>
      <c r="B270" s="227"/>
      <c r="C270" s="242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</row>
    <row r="271" spans="1:25">
      <c r="A271" s="444"/>
      <c r="B271" s="227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</row>
    <row r="272" spans="1:25">
      <c r="A272" s="444"/>
      <c r="B272" s="227"/>
      <c r="C272" s="242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</row>
    <row r="273" spans="1:25">
      <c r="A273" s="444"/>
      <c r="B273" s="227"/>
      <c r="C273" s="242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</row>
    <row r="274" spans="1:25">
      <c r="A274" s="444"/>
      <c r="B274" s="227"/>
      <c r="C274" s="242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</row>
    <row r="275" spans="1:25">
      <c r="A275" s="444"/>
      <c r="B275" s="227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</row>
    <row r="276" spans="1:25">
      <c r="A276" s="444"/>
      <c r="B276" s="227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</row>
    <row r="277" spans="1:25">
      <c r="A277" s="444"/>
      <c r="B277" s="227"/>
      <c r="C277" s="242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</row>
    <row r="278" spans="1:25">
      <c r="A278" s="444"/>
      <c r="B278" s="227"/>
      <c r="C278" s="242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</row>
    <row r="279" spans="1:25">
      <c r="A279" s="444"/>
      <c r="B279" s="227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</row>
    <row r="280" spans="1:25">
      <c r="A280" s="444"/>
      <c r="B280" s="227"/>
      <c r="C280" s="242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</row>
    <row r="281" spans="1:25">
      <c r="A281" s="444"/>
      <c r="B281" s="227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1:25">
      <c r="A282" s="444"/>
      <c r="B282" s="227"/>
      <c r="C282" s="242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</row>
    <row r="283" spans="1:25">
      <c r="A283" s="444"/>
      <c r="B283" s="227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</row>
    <row r="284" spans="1:25">
      <c r="A284" s="444"/>
      <c r="B284" s="227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  <c r="Y284" s="242"/>
    </row>
    <row r="285" spans="1:25">
      <c r="A285" s="444"/>
      <c r="B285" s="227"/>
      <c r="C285" s="242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</row>
    <row r="286" spans="1:25">
      <c r="A286" s="444"/>
      <c r="B286" s="227"/>
      <c r="C286" s="242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</row>
    <row r="287" spans="1:25">
      <c r="A287" s="444"/>
      <c r="B287" s="227"/>
      <c r="C287" s="242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</row>
    <row r="288" spans="1:25">
      <c r="A288" s="444"/>
      <c r="B288" s="227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</row>
    <row r="289" spans="1:25">
      <c r="A289" s="444"/>
      <c r="B289" s="227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</row>
    <row r="290" spans="1:25">
      <c r="A290" s="444"/>
      <c r="B290" s="227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</row>
    <row r="291" spans="1:25">
      <c r="A291" s="444"/>
      <c r="B291" s="227"/>
      <c r="C291" s="242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</row>
    <row r="292" spans="1:25">
      <c r="A292" s="444"/>
      <c r="B292" s="227"/>
      <c r="C292" s="242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</row>
    <row r="293" spans="1:25">
      <c r="A293" s="444"/>
      <c r="B293" s="227"/>
      <c r="C293" s="242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</row>
    <row r="294" spans="1:25">
      <c r="A294" s="444"/>
      <c r="B294" s="227"/>
      <c r="C294" s="242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</row>
    <row r="295" spans="1:25">
      <c r="A295" s="444"/>
      <c r="B295" s="227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</row>
    <row r="296" spans="1:25">
      <c r="A296" s="444"/>
      <c r="B296" s="227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</row>
    <row r="297" spans="1:25">
      <c r="A297" s="444"/>
      <c r="B297" s="227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</row>
    <row r="298" spans="1:25">
      <c r="A298" s="444"/>
      <c r="B298" s="227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</row>
    <row r="299" spans="1:25">
      <c r="A299" s="444"/>
      <c r="B299" s="227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</row>
    <row r="300" spans="1:25">
      <c r="A300" s="444"/>
      <c r="B300" s="227"/>
      <c r="C300" s="242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</row>
    <row r="301" spans="1:25">
      <c r="A301" s="444"/>
      <c r="B301" s="227"/>
      <c r="C301" s="242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</row>
    <row r="302" spans="1:25">
      <c r="A302" s="444"/>
      <c r="B302" s="227"/>
      <c r="C302" s="242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</row>
    <row r="303" spans="1:25">
      <c r="A303" s="444"/>
      <c r="B303" s="227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</row>
    <row r="304" spans="1:25">
      <c r="A304" s="444"/>
      <c r="B304" s="227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</row>
    <row r="305" spans="1:25">
      <c r="A305" s="444"/>
      <c r="B305" s="227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</row>
    <row r="306" spans="1:25">
      <c r="A306" s="444"/>
      <c r="B306" s="227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</row>
    <row r="307" spans="1:25">
      <c r="A307" s="444"/>
      <c r="B307" s="227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</row>
    <row r="308" spans="1:25">
      <c r="A308" s="444"/>
      <c r="B308" s="227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</row>
    <row r="309" spans="1:25">
      <c r="A309" s="444"/>
      <c r="B309" s="227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</row>
    <row r="310" spans="1:25">
      <c r="A310" s="444"/>
      <c r="B310" s="227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</row>
    <row r="311" spans="1:25">
      <c r="A311" s="444"/>
      <c r="B311" s="227"/>
      <c r="C311" s="242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</row>
    <row r="312" spans="1:25">
      <c r="A312" s="444"/>
      <c r="B312" s="227"/>
      <c r="C312" s="242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</row>
    <row r="313" spans="1:25">
      <c r="A313" s="444"/>
      <c r="B313" s="227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42"/>
      <c r="W313" s="242"/>
      <c r="X313" s="242"/>
      <c r="Y313" s="242"/>
    </row>
    <row r="314" spans="1:25">
      <c r="A314" s="444"/>
      <c r="B314" s="227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</row>
    <row r="315" spans="1:25">
      <c r="A315" s="444"/>
      <c r="B315" s="227"/>
      <c r="C315" s="242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</row>
    <row r="316" spans="1:25">
      <c r="A316" s="444"/>
      <c r="B316" s="227"/>
      <c r="C316" s="242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</row>
    <row r="317" spans="1:25">
      <c r="A317" s="444"/>
      <c r="B317" s="227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</row>
    <row r="318" spans="1:25">
      <c r="A318" s="444"/>
      <c r="B318" s="227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</row>
    <row r="319" spans="1:25">
      <c r="A319" s="444"/>
      <c r="B319" s="227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</row>
    <row r="320" spans="1:25">
      <c r="A320" s="444"/>
      <c r="B320" s="227"/>
      <c r="C320" s="242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</row>
    <row r="321" spans="1:25">
      <c r="A321" s="444"/>
      <c r="B321" s="227"/>
      <c r="C321" s="242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42"/>
      <c r="W321" s="242"/>
      <c r="X321" s="242"/>
      <c r="Y321" s="242"/>
    </row>
    <row r="322" spans="1:25">
      <c r="A322" s="444"/>
      <c r="B322" s="227"/>
      <c r="C322" s="242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</row>
    <row r="323" spans="1:25">
      <c r="A323" s="444"/>
      <c r="B323" s="227"/>
      <c r="C323" s="242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</row>
    <row r="324" spans="1:25">
      <c r="A324" s="444"/>
      <c r="B324" s="227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</row>
    <row r="325" spans="1:25">
      <c r="A325" s="444"/>
      <c r="B325" s="227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</row>
    <row r="326" spans="1:25">
      <c r="A326" s="444"/>
      <c r="B326" s="227"/>
      <c r="C326" s="242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</row>
    <row r="327" spans="1:25">
      <c r="A327" s="444"/>
      <c r="B327" s="227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</row>
    <row r="328" spans="1:25">
      <c r="A328" s="444"/>
      <c r="B328" s="227"/>
      <c r="C328" s="242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</row>
    <row r="329" spans="1:25">
      <c r="A329" s="444"/>
      <c r="B329" s="227"/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</row>
    <row r="330" spans="1:25">
      <c r="A330" s="444"/>
      <c r="B330" s="227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</row>
    <row r="331" spans="1:25">
      <c r="A331" s="444"/>
      <c r="B331" s="227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</row>
    <row r="332" spans="1:25">
      <c r="A332" s="444"/>
      <c r="B332" s="227"/>
      <c r="C332" s="242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</row>
    <row r="333" spans="1:25">
      <c r="A333" s="444"/>
      <c r="B333" s="227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</row>
    <row r="334" spans="1:25">
      <c r="A334" s="444"/>
      <c r="B334" s="227"/>
      <c r="C334" s="242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</row>
    <row r="335" spans="1:25">
      <c r="A335" s="444"/>
      <c r="B335" s="227"/>
      <c r="C335" s="242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</row>
    <row r="336" spans="1:25">
      <c r="A336" s="444"/>
      <c r="B336" s="227"/>
      <c r="C336" s="242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</row>
    <row r="337" spans="1:25">
      <c r="A337" s="444"/>
      <c r="B337" s="227"/>
      <c r="C337" s="242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</row>
    <row r="338" spans="1:25">
      <c r="A338" s="444"/>
      <c r="B338" s="227"/>
      <c r="C338" s="242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</row>
    <row r="339" spans="1:25">
      <c r="A339" s="444"/>
      <c r="B339" s="227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</row>
    <row r="340" spans="1:25">
      <c r="A340" s="444"/>
      <c r="B340" s="227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</row>
    <row r="341" spans="1:25">
      <c r="A341" s="444"/>
      <c r="B341" s="227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</row>
    <row r="342" spans="1:25">
      <c r="A342" s="444"/>
      <c r="B342" s="227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</row>
    <row r="343" spans="1:25">
      <c r="A343" s="444"/>
      <c r="B343" s="227"/>
      <c r="C343" s="242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</row>
    <row r="344" spans="1:25">
      <c r="A344" s="444"/>
      <c r="B344" s="227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</row>
    <row r="345" spans="1:25">
      <c r="A345" s="444"/>
      <c r="B345" s="227"/>
      <c r="C345" s="242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</row>
    <row r="346" spans="1:25">
      <c r="A346" s="444"/>
      <c r="B346" s="227"/>
      <c r="C346" s="242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</row>
    <row r="347" spans="1:25">
      <c r="A347" s="444"/>
      <c r="B347" s="227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</row>
    <row r="348" spans="1:25">
      <c r="A348" s="444"/>
      <c r="B348" s="227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</row>
    <row r="349" spans="1:25">
      <c r="A349" s="444"/>
      <c r="B349" s="227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</row>
    <row r="350" spans="1:25">
      <c r="A350" s="444"/>
      <c r="B350" s="227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</row>
    <row r="351" spans="1:25">
      <c r="A351" s="444"/>
      <c r="B351" s="227"/>
      <c r="C351" s="242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</row>
    <row r="352" spans="1:25">
      <c r="A352" s="444"/>
      <c r="B352" s="227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</row>
    <row r="353" spans="1:25">
      <c r="A353" s="444"/>
      <c r="B353" s="227"/>
      <c r="C353" s="242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</row>
    <row r="354" spans="1:25">
      <c r="A354" s="444"/>
      <c r="B354" s="227"/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</row>
    <row r="355" spans="1:25">
      <c r="A355" s="444"/>
      <c r="B355" s="227"/>
      <c r="C355" s="242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</row>
    <row r="356" spans="1:25">
      <c r="A356" s="444"/>
      <c r="B356" s="227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</row>
    <row r="357" spans="1:25">
      <c r="A357" s="444"/>
      <c r="B357" s="227"/>
      <c r="C357" s="242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</row>
    <row r="358" spans="1:25">
      <c r="A358" s="444"/>
      <c r="B358" s="227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</row>
    <row r="359" spans="1:25">
      <c r="A359" s="444"/>
      <c r="B359" s="227"/>
      <c r="C359" s="242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</row>
    <row r="360" spans="1:25">
      <c r="A360" s="444"/>
      <c r="B360" s="227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</row>
    <row r="361" spans="1:25">
      <c r="A361" s="444"/>
      <c r="B361" s="227"/>
      <c r="C361" s="242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</row>
    <row r="362" spans="1:25">
      <c r="A362" s="444"/>
      <c r="B362" s="227"/>
      <c r="C362" s="242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</row>
    <row r="363" spans="1:25">
      <c r="A363" s="444"/>
      <c r="B363" s="227"/>
      <c r="C363" s="242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</row>
    <row r="364" spans="1:25">
      <c r="A364" s="444"/>
      <c r="B364" s="227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</row>
    <row r="365" spans="1:25">
      <c r="A365" s="444"/>
      <c r="B365" s="227"/>
      <c r="C365" s="242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</row>
    <row r="366" spans="1:25">
      <c r="A366" s="444"/>
      <c r="B366" s="227"/>
      <c r="C366" s="242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</row>
    <row r="367" spans="1:25">
      <c r="A367" s="444"/>
      <c r="B367" s="227"/>
      <c r="C367" s="242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</row>
    <row r="368" spans="1:25">
      <c r="A368" s="444"/>
      <c r="B368" s="227"/>
      <c r="C368" s="242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</row>
    <row r="369" spans="1:25">
      <c r="A369" s="444"/>
      <c r="B369" s="227"/>
      <c r="C369" s="242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</row>
    <row r="370" spans="1:25">
      <c r="A370" s="444"/>
      <c r="B370" s="227"/>
      <c r="C370" s="242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  <c r="Y370" s="242"/>
    </row>
    <row r="371" spans="1:25">
      <c r="A371" s="444"/>
      <c r="B371" s="227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  <c r="Y371" s="242"/>
    </row>
    <row r="372" spans="1:25">
      <c r="A372" s="444"/>
      <c r="B372" s="227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  <c r="Y372" s="242"/>
    </row>
    <row r="373" spans="1:25">
      <c r="A373" s="444"/>
      <c r="B373" s="227"/>
      <c r="C373" s="242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  <c r="Y373" s="242"/>
    </row>
    <row r="374" spans="1:25">
      <c r="A374" s="444"/>
      <c r="B374" s="227"/>
      <c r="C374" s="242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</row>
    <row r="375" spans="1:25">
      <c r="A375" s="444"/>
      <c r="B375" s="227"/>
      <c r="C375" s="242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  <c r="Y375" s="242"/>
    </row>
    <row r="376" spans="1:25">
      <c r="A376" s="444"/>
      <c r="B376" s="227"/>
      <c r="C376" s="242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  <c r="Y376" s="242"/>
    </row>
    <row r="377" spans="1:25">
      <c r="A377" s="444"/>
      <c r="B377" s="227"/>
      <c r="C377" s="242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  <c r="Y377" s="242"/>
    </row>
    <row r="378" spans="1:25">
      <c r="A378" s="444"/>
      <c r="B378" s="227"/>
      <c r="C378" s="242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  <c r="Y378" s="242"/>
    </row>
    <row r="379" spans="1:25">
      <c r="A379" s="444"/>
      <c r="B379" s="227"/>
      <c r="C379" s="242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  <c r="Y379" s="242"/>
    </row>
    <row r="380" spans="1:25">
      <c r="A380" s="444"/>
      <c r="B380" s="227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  <c r="Y380" s="242"/>
    </row>
    <row r="381" spans="1:25">
      <c r="A381" s="444"/>
      <c r="B381" s="227"/>
      <c r="C381" s="242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  <c r="Y381" s="242"/>
    </row>
    <row r="382" spans="1:25">
      <c r="A382" s="444"/>
      <c r="B382" s="227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</row>
    <row r="383" spans="1:25">
      <c r="A383" s="444"/>
      <c r="B383" s="227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</row>
    <row r="384" spans="1:25">
      <c r="A384" s="444"/>
      <c r="B384" s="227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  <c r="Y384" s="242"/>
    </row>
    <row r="385" spans="1:25">
      <c r="A385" s="444"/>
      <c r="B385" s="227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  <c r="Y385" s="242"/>
    </row>
    <row r="386" spans="1:25">
      <c r="A386" s="444"/>
      <c r="B386" s="227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  <c r="Y386" s="242"/>
    </row>
    <row r="387" spans="1:25">
      <c r="A387" s="444"/>
      <c r="B387" s="227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</row>
    <row r="388" spans="1:25">
      <c r="A388" s="444"/>
      <c r="B388" s="227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</row>
    <row r="389" spans="1:25">
      <c r="A389" s="444"/>
      <c r="B389" s="227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</row>
    <row r="390" spans="1:25">
      <c r="A390" s="444"/>
      <c r="B390" s="227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</row>
    <row r="391" spans="1:25">
      <c r="A391" s="444"/>
      <c r="B391" s="227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  <c r="Y391" s="242"/>
    </row>
    <row r="392" spans="1:25">
      <c r="A392" s="444"/>
      <c r="B392" s="227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</row>
    <row r="393" spans="1:25">
      <c r="A393" s="444"/>
      <c r="B393" s="227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</row>
    <row r="394" spans="1:25">
      <c r="A394" s="444"/>
      <c r="B394" s="227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</row>
    <row r="395" spans="1:25">
      <c r="A395" s="444"/>
      <c r="B395" s="227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</row>
    <row r="396" spans="1:25">
      <c r="A396" s="444"/>
      <c r="B396" s="227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</row>
    <row r="397" spans="1:25">
      <c r="A397" s="444"/>
      <c r="B397" s="227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</row>
    <row r="398" spans="1:25">
      <c r="A398" s="444"/>
      <c r="B398" s="227"/>
      <c r="C398" s="242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</row>
    <row r="399" spans="1:25">
      <c r="A399" s="444"/>
      <c r="B399" s="227"/>
      <c r="C399" s="242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42"/>
      <c r="W399" s="242"/>
      <c r="X399" s="242"/>
      <c r="Y399" s="242"/>
    </row>
    <row r="400" spans="1:25">
      <c r="A400" s="444"/>
      <c r="B400" s="227"/>
      <c r="C400" s="242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</row>
    <row r="401" spans="1:25">
      <c r="A401" s="444"/>
      <c r="B401" s="227"/>
      <c r="C401" s="242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</row>
    <row r="402" spans="1:25">
      <c r="A402" s="444"/>
      <c r="B402" s="227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</row>
    <row r="403" spans="1:25">
      <c r="A403" s="444"/>
      <c r="B403" s="227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</row>
    <row r="404" spans="1:25">
      <c r="A404" s="444"/>
      <c r="B404" s="227"/>
      <c r="C404" s="242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</row>
    <row r="405" spans="1:25">
      <c r="A405" s="444"/>
      <c r="B405" s="227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</row>
    <row r="406" spans="1:25">
      <c r="A406" s="444"/>
      <c r="B406" s="227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</row>
    <row r="407" spans="1:25">
      <c r="A407" s="444"/>
      <c r="B407" s="227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</row>
    <row r="408" spans="1:25">
      <c r="A408" s="444"/>
      <c r="B408" s="227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</row>
    <row r="409" spans="1:25">
      <c r="A409" s="444"/>
      <c r="B409" s="227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</row>
    <row r="410" spans="1:25">
      <c r="A410" s="444"/>
      <c r="B410" s="227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</row>
    <row r="411" spans="1:25">
      <c r="A411" s="444"/>
      <c r="B411" s="227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</row>
    <row r="412" spans="1:25">
      <c r="A412" s="444"/>
      <c r="B412" s="227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</row>
    <row r="413" spans="1:25">
      <c r="A413" s="444"/>
      <c r="B413" s="227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</row>
    <row r="414" spans="1:25">
      <c r="A414" s="444"/>
      <c r="B414" s="227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</row>
    <row r="415" spans="1:25">
      <c r="A415" s="444"/>
      <c r="B415" s="227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</row>
    <row r="416" spans="1:25">
      <c r="A416" s="444"/>
      <c r="B416" s="227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</row>
    <row r="417" spans="1:25">
      <c r="A417" s="444"/>
      <c r="B417" s="227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</row>
    <row r="418" spans="1:25">
      <c r="A418" s="444"/>
      <c r="B418" s="227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</row>
    <row r="419" spans="1:25">
      <c r="A419" s="444"/>
      <c r="B419" s="227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</row>
    <row r="420" spans="1:25">
      <c r="A420" s="444"/>
      <c r="B420" s="227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</row>
    <row r="421" spans="1:25">
      <c r="A421" s="444"/>
      <c r="B421" s="227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</row>
    <row r="422" spans="1:25">
      <c r="A422" s="444"/>
      <c r="B422" s="227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</row>
    <row r="423" spans="1:25">
      <c r="A423" s="444"/>
      <c r="B423" s="227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</row>
    <row r="424" spans="1:25">
      <c r="A424" s="444"/>
      <c r="B424" s="227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</row>
    <row r="425" spans="1:25">
      <c r="A425" s="444"/>
      <c r="B425" s="227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</row>
    <row r="426" spans="1:25">
      <c r="A426" s="444"/>
      <c r="B426" s="227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</row>
    <row r="427" spans="1:25">
      <c r="A427" s="444"/>
      <c r="B427" s="227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</row>
    <row r="428" spans="1:25">
      <c r="A428" s="444"/>
      <c r="B428" s="227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</row>
    <row r="429" spans="1:25">
      <c r="A429" s="444"/>
      <c r="B429" s="227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</row>
    <row r="430" spans="1:25">
      <c r="A430" s="444"/>
      <c r="B430" s="227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</row>
    <row r="431" spans="1:25">
      <c r="A431" s="444"/>
      <c r="B431" s="227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</row>
    <row r="432" spans="1:25">
      <c r="A432" s="444"/>
      <c r="B432" s="227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</row>
    <row r="433" spans="1:25">
      <c r="A433" s="444"/>
      <c r="B433" s="227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</row>
    <row r="434" spans="1:25">
      <c r="A434" s="444"/>
      <c r="B434" s="227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</row>
    <row r="435" spans="1:25">
      <c r="A435" s="444"/>
      <c r="B435" s="227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</row>
    <row r="436" spans="1:25">
      <c r="A436" s="444"/>
      <c r="B436" s="227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</row>
    <row r="437" spans="1:25">
      <c r="A437" s="444"/>
      <c r="B437" s="227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</row>
    <row r="438" spans="1:25">
      <c r="A438" s="444"/>
      <c r="B438" s="227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</row>
    <row r="439" spans="1:25">
      <c r="A439" s="444"/>
      <c r="B439" s="227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</row>
    <row r="440" spans="1:25">
      <c r="A440" s="444"/>
      <c r="B440" s="227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</row>
    <row r="441" spans="1:25">
      <c r="A441" s="444"/>
      <c r="B441" s="227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</row>
    <row r="442" spans="1:25">
      <c r="A442" s="444"/>
      <c r="B442" s="227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</row>
    <row r="443" spans="1:25">
      <c r="A443" s="444"/>
      <c r="B443" s="227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</row>
    <row r="444" spans="1:25">
      <c r="A444" s="444"/>
      <c r="B444" s="227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</row>
    <row r="445" spans="1:25">
      <c r="A445" s="444"/>
      <c r="B445" s="227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</row>
    <row r="446" spans="1:25">
      <c r="A446" s="444"/>
      <c r="B446" s="227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</row>
    <row r="447" spans="1:25">
      <c r="A447" s="444"/>
      <c r="B447" s="227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</row>
    <row r="448" spans="1:25">
      <c r="A448" s="444"/>
      <c r="B448" s="227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</row>
    <row r="449" spans="1:25">
      <c r="A449" s="444"/>
      <c r="B449" s="227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</row>
    <row r="450" spans="1:25">
      <c r="A450" s="444"/>
      <c r="B450" s="227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</row>
    <row r="451" spans="1:25">
      <c r="A451" s="444"/>
      <c r="B451" s="227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</row>
    <row r="452" spans="1:25">
      <c r="A452" s="444"/>
      <c r="B452" s="227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</row>
    <row r="453" spans="1:25">
      <c r="A453" s="444"/>
      <c r="B453" s="227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</row>
    <row r="454" spans="1:25">
      <c r="A454" s="444"/>
      <c r="B454" s="227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</row>
    <row r="455" spans="1:25">
      <c r="A455" s="444"/>
      <c r="B455" s="227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</row>
    <row r="456" spans="1:25">
      <c r="A456" s="444"/>
      <c r="B456" s="227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</row>
    <row r="457" spans="1:25">
      <c r="A457" s="444"/>
      <c r="B457" s="227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</row>
    <row r="458" spans="1:25">
      <c r="A458" s="444"/>
      <c r="B458" s="227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</row>
    <row r="459" spans="1:25">
      <c r="A459" s="444"/>
      <c r="B459" s="227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</row>
    <row r="460" spans="1:25">
      <c r="A460" s="444"/>
      <c r="B460" s="227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</row>
    <row r="461" spans="1:25">
      <c r="A461" s="444"/>
      <c r="B461" s="227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</row>
    <row r="462" spans="1:25">
      <c r="A462" s="444"/>
      <c r="B462" s="227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</row>
    <row r="463" spans="1:25">
      <c r="A463" s="444"/>
      <c r="B463" s="227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1:25">
      <c r="A464" s="444"/>
      <c r="B464" s="227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</row>
    <row r="465" spans="1:25">
      <c r="A465" s="444"/>
      <c r="B465" s="227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</row>
    <row r="466" spans="1:25">
      <c r="A466" s="444"/>
      <c r="B466" s="227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</row>
    <row r="467" spans="1:25">
      <c r="A467" s="444"/>
      <c r="B467" s="227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</row>
    <row r="468" spans="1:25">
      <c r="A468" s="444"/>
      <c r="B468" s="227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</row>
    <row r="469" spans="1:25">
      <c r="A469" s="444"/>
      <c r="B469" s="227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</row>
    <row r="470" spans="1:25">
      <c r="A470" s="444"/>
      <c r="B470" s="227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</row>
    <row r="471" spans="1:25">
      <c r="A471" s="444"/>
      <c r="B471" s="227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</row>
    <row r="472" spans="1:25">
      <c r="A472" s="444"/>
      <c r="B472" s="227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</row>
    <row r="473" spans="1:25">
      <c r="A473" s="444"/>
      <c r="B473" s="227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</row>
    <row r="474" spans="1:25">
      <c r="A474" s="444"/>
      <c r="B474" s="227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</row>
    <row r="475" spans="1:25">
      <c r="A475" s="444"/>
      <c r="B475" s="227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</row>
    <row r="476" spans="1:25">
      <c r="A476" s="444"/>
      <c r="B476" s="227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</row>
    <row r="477" spans="1:25">
      <c r="A477" s="444"/>
      <c r="B477" s="227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</row>
    <row r="478" spans="1:25">
      <c r="A478" s="444"/>
      <c r="B478" s="227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</row>
    <row r="479" spans="1:25">
      <c r="A479" s="444"/>
      <c r="B479" s="227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</row>
    <row r="480" spans="1:25">
      <c r="A480" s="444"/>
      <c r="B480" s="227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</row>
    <row r="481" spans="1:25">
      <c r="A481" s="444"/>
      <c r="B481" s="227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</row>
    <row r="482" spans="1:25">
      <c r="A482" s="444"/>
      <c r="B482" s="227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</row>
    <row r="483" spans="1:25">
      <c r="A483" s="444"/>
      <c r="B483" s="227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</row>
    <row r="484" spans="1:25">
      <c r="A484" s="444"/>
      <c r="B484" s="227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</row>
    <row r="485" spans="1:25">
      <c r="A485" s="444"/>
      <c r="B485" s="227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</row>
    <row r="486" spans="1:25">
      <c r="A486" s="444"/>
      <c r="B486" s="227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</row>
    <row r="487" spans="1:25">
      <c r="A487" s="444"/>
      <c r="B487" s="227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</row>
    <row r="488" spans="1:25">
      <c r="A488" s="444"/>
      <c r="B488" s="227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</row>
    <row r="489" spans="1:25">
      <c r="A489" s="444"/>
      <c r="B489" s="227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</row>
    <row r="490" spans="1:25">
      <c r="A490" s="444"/>
      <c r="B490" s="227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</row>
    <row r="491" spans="1:25">
      <c r="A491" s="444"/>
      <c r="B491" s="227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</row>
    <row r="492" spans="1:25">
      <c r="A492" s="444"/>
      <c r="B492" s="227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</row>
    <row r="493" spans="1:25">
      <c r="A493" s="444"/>
      <c r="B493" s="227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</row>
    <row r="494" spans="1:25">
      <c r="A494" s="444"/>
      <c r="B494" s="227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</row>
    <row r="495" spans="1:25">
      <c r="A495" s="444"/>
      <c r="B495" s="227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</row>
    <row r="496" spans="1:25">
      <c r="A496" s="444"/>
      <c r="B496" s="227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</row>
    <row r="497" spans="1:25">
      <c r="A497" s="444"/>
      <c r="B497" s="227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</row>
    <row r="498" spans="1:25">
      <c r="A498" s="444"/>
      <c r="B498" s="227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</row>
    <row r="499" spans="1:25">
      <c r="A499" s="444"/>
      <c r="B499" s="227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</row>
    <row r="500" spans="1:25">
      <c r="A500" s="444"/>
      <c r="B500" s="227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</row>
    <row r="501" spans="1:25">
      <c r="A501" s="444"/>
      <c r="B501" s="227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</row>
    <row r="502" spans="1:25">
      <c r="A502" s="444"/>
      <c r="B502" s="227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</row>
    <row r="503" spans="1:25">
      <c r="A503" s="444"/>
      <c r="B503" s="227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</row>
    <row r="504" spans="1:25">
      <c r="A504" s="444"/>
      <c r="B504" s="227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</row>
    <row r="505" spans="1:25">
      <c r="A505" s="444"/>
      <c r="B505" s="227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</row>
    <row r="506" spans="1:25">
      <c r="A506" s="444"/>
      <c r="B506" s="227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</row>
    <row r="507" spans="1:25">
      <c r="A507" s="444"/>
      <c r="B507" s="227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</row>
    <row r="508" spans="1:25">
      <c r="A508" s="444"/>
      <c r="B508" s="227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</row>
    <row r="509" spans="1:25">
      <c r="A509" s="444"/>
      <c r="B509" s="227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</row>
    <row r="510" spans="1:25">
      <c r="A510" s="444"/>
      <c r="B510" s="227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</row>
    <row r="511" spans="1:25">
      <c r="A511" s="444"/>
      <c r="B511" s="227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</row>
    <row r="512" spans="1:25">
      <c r="A512" s="444"/>
      <c r="B512" s="227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</row>
    <row r="513" spans="1:25">
      <c r="A513" s="444"/>
      <c r="B513" s="227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</row>
    <row r="514" spans="1:25">
      <c r="A514" s="444"/>
      <c r="B514" s="227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</row>
    <row r="515" spans="1:25">
      <c r="A515" s="444"/>
      <c r="B515" s="227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</row>
    <row r="516" spans="1:25">
      <c r="A516" s="444"/>
      <c r="B516" s="227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</row>
    <row r="517" spans="1:25">
      <c r="A517" s="444"/>
      <c r="B517" s="227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</row>
    <row r="518" spans="1:25">
      <c r="A518" s="444"/>
      <c r="B518" s="227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</row>
    <row r="519" spans="1:25">
      <c r="A519" s="444"/>
      <c r="B519" s="227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</row>
    <row r="520" spans="1:25">
      <c r="A520" s="444"/>
      <c r="B520" s="227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</row>
    <row r="521" spans="1:25">
      <c r="A521" s="444"/>
      <c r="B521" s="227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</row>
    <row r="522" spans="1:25">
      <c r="A522" s="444"/>
      <c r="B522" s="227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</row>
    <row r="523" spans="1:25">
      <c r="A523" s="444"/>
      <c r="B523" s="227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</row>
    <row r="524" spans="1:25">
      <c r="A524" s="444"/>
      <c r="B524" s="227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</row>
    <row r="525" spans="1:25">
      <c r="A525" s="444"/>
      <c r="B525" s="227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</row>
    <row r="526" spans="1:25">
      <c r="A526" s="444"/>
      <c r="B526" s="227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</row>
    <row r="527" spans="1:25">
      <c r="A527" s="444"/>
      <c r="B527" s="227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</row>
    <row r="528" spans="1:25">
      <c r="A528" s="444"/>
      <c r="B528" s="227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</row>
    <row r="529" spans="1:25">
      <c r="A529" s="444"/>
      <c r="B529" s="227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</row>
    <row r="530" spans="1:25">
      <c r="A530" s="444"/>
      <c r="B530" s="227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</row>
    <row r="531" spans="1:25">
      <c r="A531" s="444"/>
      <c r="B531" s="227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</row>
    <row r="532" spans="1:25">
      <c r="A532" s="444"/>
      <c r="B532" s="227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</row>
    <row r="533" spans="1:25">
      <c r="A533" s="444"/>
      <c r="B533" s="227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</row>
    <row r="534" spans="1:25">
      <c r="A534" s="444"/>
      <c r="B534" s="227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</row>
    <row r="535" spans="1:25">
      <c r="A535" s="444"/>
      <c r="B535" s="227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</row>
    <row r="536" spans="1:25">
      <c r="A536" s="444"/>
      <c r="B536" s="227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</row>
    <row r="537" spans="1:25">
      <c r="A537" s="444"/>
      <c r="B537" s="227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</row>
    <row r="538" spans="1:25">
      <c r="A538" s="444"/>
      <c r="B538" s="227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</row>
    <row r="539" spans="1:25">
      <c r="A539" s="444"/>
      <c r="B539" s="227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</row>
    <row r="540" spans="1:25">
      <c r="A540" s="444"/>
      <c r="B540" s="227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</row>
    <row r="541" spans="1:25">
      <c r="A541" s="444"/>
      <c r="B541" s="227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</row>
    <row r="542" spans="1:25">
      <c r="A542" s="444"/>
      <c r="B542" s="227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</row>
    <row r="543" spans="1:25">
      <c r="A543" s="444"/>
      <c r="B543" s="227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</row>
    <row r="544" spans="1:25">
      <c r="A544" s="444"/>
      <c r="B544" s="227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</row>
    <row r="545" spans="1:25">
      <c r="A545" s="444"/>
      <c r="B545" s="227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</row>
    <row r="546" spans="1:25">
      <c r="A546" s="444"/>
      <c r="B546" s="227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</row>
    <row r="547" spans="1:25">
      <c r="A547" s="444"/>
      <c r="B547" s="227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</row>
    <row r="548" spans="1:25">
      <c r="A548" s="444"/>
      <c r="B548" s="227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</row>
    <row r="549" spans="1:25">
      <c r="A549" s="444"/>
      <c r="B549" s="227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</row>
    <row r="550" spans="1:25">
      <c r="A550" s="444"/>
      <c r="B550" s="227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</row>
    <row r="551" spans="1:25">
      <c r="A551" s="444"/>
      <c r="B551" s="227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</row>
    <row r="552" spans="1:25">
      <c r="A552" s="444"/>
      <c r="B552" s="227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</row>
    <row r="553" spans="1:25">
      <c r="A553" s="444"/>
      <c r="B553" s="227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</row>
    <row r="554" spans="1:25">
      <c r="A554" s="444"/>
      <c r="B554" s="227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</row>
    <row r="555" spans="1:25">
      <c r="A555" s="444"/>
      <c r="B555" s="227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</row>
    <row r="556" spans="1:25">
      <c r="A556" s="444"/>
      <c r="B556" s="227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</row>
    <row r="557" spans="1:25">
      <c r="A557" s="444"/>
      <c r="B557" s="227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</row>
    <row r="558" spans="1:25">
      <c r="A558" s="444"/>
      <c r="B558" s="227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</row>
    <row r="559" spans="1:25">
      <c r="A559" s="444"/>
      <c r="B559" s="227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</row>
    <row r="560" spans="1:25">
      <c r="A560" s="444"/>
      <c r="B560" s="227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</row>
    <row r="561" spans="1:25">
      <c r="A561" s="444"/>
      <c r="B561" s="227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</row>
    <row r="562" spans="1:25">
      <c r="A562" s="444"/>
      <c r="B562" s="227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</row>
    <row r="563" spans="1:25">
      <c r="A563" s="444"/>
      <c r="B563" s="227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</row>
    <row r="564" spans="1:25">
      <c r="A564" s="444"/>
      <c r="B564" s="227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</row>
    <row r="565" spans="1:25">
      <c r="A565" s="444"/>
      <c r="B565" s="227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</row>
    <row r="566" spans="1:25">
      <c r="A566" s="444"/>
      <c r="B566" s="227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</row>
    <row r="567" spans="1:25">
      <c r="A567" s="444"/>
      <c r="B567" s="227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</row>
    <row r="568" spans="1:25">
      <c r="A568" s="444"/>
      <c r="B568" s="227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</row>
    <row r="569" spans="1:25">
      <c r="A569" s="444"/>
      <c r="B569" s="227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</row>
    <row r="570" spans="1:25">
      <c r="A570" s="444"/>
      <c r="B570" s="227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</row>
    <row r="571" spans="1:25">
      <c r="A571" s="444"/>
      <c r="B571" s="227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</row>
    <row r="572" spans="1:25">
      <c r="A572" s="444"/>
      <c r="B572" s="227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</row>
    <row r="573" spans="1:25">
      <c r="A573" s="444"/>
      <c r="B573" s="227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</row>
    <row r="574" spans="1:25">
      <c r="A574" s="444"/>
      <c r="B574" s="227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</row>
    <row r="575" spans="1:25">
      <c r="A575" s="444"/>
      <c r="B575" s="227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</row>
    <row r="576" spans="1:25">
      <c r="A576" s="444"/>
      <c r="B576" s="227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</row>
    <row r="577" spans="1:25">
      <c r="A577" s="444"/>
      <c r="B577" s="227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</row>
    <row r="578" spans="1:25">
      <c r="A578" s="444"/>
      <c r="B578" s="227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</row>
    <row r="579" spans="1:25">
      <c r="A579" s="444"/>
      <c r="B579" s="227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</row>
    <row r="580" spans="1:25">
      <c r="A580" s="444"/>
      <c r="B580" s="227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</row>
    <row r="581" spans="1:25">
      <c r="A581" s="444"/>
      <c r="B581" s="227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</row>
    <row r="582" spans="1:25">
      <c r="A582" s="444"/>
      <c r="B582" s="227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</row>
    <row r="583" spans="1:25">
      <c r="A583" s="444"/>
      <c r="B583" s="227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</row>
    <row r="584" spans="1:25">
      <c r="A584" s="444"/>
      <c r="B584" s="227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</row>
    <row r="585" spans="1:25">
      <c r="A585" s="444"/>
      <c r="B585" s="227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</row>
    <row r="586" spans="1:25">
      <c r="A586" s="444"/>
      <c r="B586" s="227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</row>
    <row r="587" spans="1:25">
      <c r="A587" s="444"/>
      <c r="B587" s="227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</row>
    <row r="588" spans="1:25">
      <c r="A588" s="444"/>
      <c r="B588" s="227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</row>
    <row r="589" spans="1:25">
      <c r="A589" s="444"/>
      <c r="B589" s="227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</row>
    <row r="590" spans="1:25">
      <c r="A590" s="444"/>
      <c r="B590" s="227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</row>
    <row r="591" spans="1:25">
      <c r="A591" s="444"/>
      <c r="B591" s="227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</row>
    <row r="592" spans="1:25">
      <c r="A592" s="444"/>
      <c r="B592" s="227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</row>
    <row r="593" spans="1:25">
      <c r="A593" s="444"/>
      <c r="B593" s="227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</row>
    <row r="594" spans="1:25">
      <c r="A594" s="444"/>
      <c r="B594" s="227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</row>
    <row r="595" spans="1:25">
      <c r="A595" s="444"/>
      <c r="B595" s="227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</row>
    <row r="596" spans="1:25">
      <c r="A596" s="444"/>
      <c r="B596" s="227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</row>
    <row r="597" spans="1:25">
      <c r="A597" s="444"/>
      <c r="B597" s="227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</row>
    <row r="598" spans="1:25">
      <c r="A598" s="444"/>
      <c r="B598" s="227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</row>
    <row r="599" spans="1:25">
      <c r="A599" s="444"/>
      <c r="B599" s="227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</row>
    <row r="600" spans="1:25">
      <c r="A600" s="444"/>
      <c r="B600" s="227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</row>
    <row r="601" spans="1:25">
      <c r="A601" s="444"/>
      <c r="B601" s="227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</row>
    <row r="602" spans="1:25">
      <c r="A602" s="444"/>
      <c r="B602" s="227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</row>
    <row r="603" spans="1:25">
      <c r="A603" s="444"/>
      <c r="B603" s="227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</row>
    <row r="604" spans="1:25">
      <c r="A604" s="444"/>
      <c r="B604" s="227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</row>
    <row r="605" spans="1:25">
      <c r="A605" s="444"/>
      <c r="B605" s="227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</row>
    <row r="606" spans="1:25">
      <c r="A606" s="444"/>
      <c r="B606" s="227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</row>
    <row r="607" spans="1:25">
      <c r="A607" s="444"/>
      <c r="B607" s="227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</row>
    <row r="608" spans="1:25">
      <c r="A608" s="444"/>
      <c r="B608" s="227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</row>
    <row r="609" spans="1:25">
      <c r="A609" s="444"/>
      <c r="B609" s="227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</row>
    <row r="610" spans="1:25">
      <c r="A610" s="444"/>
      <c r="B610" s="227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</row>
    <row r="611" spans="1:25">
      <c r="A611" s="444"/>
      <c r="B611" s="227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</row>
    <row r="612" spans="1:25">
      <c r="A612" s="444"/>
      <c r="B612" s="227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</row>
    <row r="613" spans="1:25">
      <c r="A613" s="444"/>
      <c r="B613" s="227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</row>
    <row r="614" spans="1:25">
      <c r="A614" s="444"/>
      <c r="B614" s="227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</row>
    <row r="615" spans="1:25">
      <c r="A615" s="444"/>
      <c r="B615" s="227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</row>
    <row r="616" spans="1:25">
      <c r="A616" s="444"/>
      <c r="B616" s="227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</row>
    <row r="617" spans="1:25">
      <c r="A617" s="444"/>
      <c r="B617" s="227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</row>
    <row r="618" spans="1:25">
      <c r="A618" s="444"/>
      <c r="B618" s="227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</row>
    <row r="619" spans="1:25">
      <c r="A619" s="444"/>
      <c r="B619" s="227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</row>
    <row r="620" spans="1:25">
      <c r="A620" s="444"/>
      <c r="B620" s="227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</row>
    <row r="621" spans="1:25">
      <c r="A621" s="444"/>
      <c r="B621" s="227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</row>
    <row r="622" spans="1:25">
      <c r="A622" s="444"/>
      <c r="B622" s="227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</row>
    <row r="623" spans="1:25">
      <c r="A623" s="444"/>
      <c r="B623" s="227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</row>
    <row r="624" spans="1:25">
      <c r="A624" s="444"/>
      <c r="B624" s="227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</row>
    <row r="625" spans="1:25">
      <c r="A625" s="444"/>
      <c r="B625" s="227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</row>
    <row r="626" spans="1:25">
      <c r="A626" s="444"/>
      <c r="B626" s="227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</row>
    <row r="627" spans="1:25">
      <c r="A627" s="444"/>
      <c r="B627" s="227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</row>
    <row r="628" spans="1:25">
      <c r="A628" s="444"/>
      <c r="B628" s="227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</row>
    <row r="629" spans="1:25">
      <c r="A629" s="444"/>
      <c r="B629" s="227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</row>
    <row r="630" spans="1:25">
      <c r="A630" s="444"/>
      <c r="B630" s="227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</row>
    <row r="631" spans="1:25">
      <c r="A631" s="444"/>
      <c r="B631" s="227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</row>
    <row r="632" spans="1:25">
      <c r="A632" s="444"/>
      <c r="B632" s="227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</row>
    <row r="633" spans="1:25">
      <c r="A633" s="444"/>
      <c r="B633" s="227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</row>
    <row r="634" spans="1:25">
      <c r="A634" s="444"/>
      <c r="B634" s="227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</row>
    <row r="635" spans="1:25">
      <c r="A635" s="444"/>
      <c r="B635" s="227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</row>
    <row r="636" spans="1:25">
      <c r="A636" s="444"/>
      <c r="B636" s="227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</row>
    <row r="637" spans="1:25">
      <c r="A637" s="444"/>
      <c r="B637" s="227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</row>
    <row r="638" spans="1:25">
      <c r="A638" s="444"/>
      <c r="B638" s="227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</row>
    <row r="639" spans="1:25">
      <c r="A639" s="444"/>
      <c r="B639" s="227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</row>
    <row r="640" spans="1:25">
      <c r="A640" s="444"/>
      <c r="B640" s="227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</row>
    <row r="641" spans="1:25">
      <c r="A641" s="444"/>
      <c r="B641" s="227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</row>
    <row r="642" spans="1:25">
      <c r="A642" s="444"/>
      <c r="B642" s="227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</row>
    <row r="643" spans="1:25">
      <c r="A643" s="444"/>
      <c r="B643" s="227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</row>
    <row r="644" spans="1:25">
      <c r="A644" s="444"/>
      <c r="B644" s="227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</row>
    <row r="645" spans="1:25">
      <c r="A645" s="444"/>
      <c r="B645" s="227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</row>
    <row r="646" spans="1:25">
      <c r="A646" s="444"/>
      <c r="B646" s="227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</row>
    <row r="647" spans="1:25">
      <c r="A647" s="444"/>
      <c r="B647" s="227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</row>
    <row r="648" spans="1:25">
      <c r="A648" s="444"/>
      <c r="B648" s="227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</row>
    <row r="649" spans="1:25">
      <c r="A649" s="444"/>
      <c r="B649" s="227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</row>
    <row r="650" spans="1:25">
      <c r="A650" s="444"/>
      <c r="B650" s="227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</row>
    <row r="651" spans="1:25">
      <c r="A651" s="444"/>
      <c r="B651" s="227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</row>
    <row r="652" spans="1:25">
      <c r="A652" s="444"/>
      <c r="B652" s="227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</row>
    <row r="653" spans="1:25">
      <c r="A653" s="444"/>
      <c r="B653" s="227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</row>
    <row r="654" spans="1:25">
      <c r="A654" s="444"/>
      <c r="B654" s="227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</row>
    <row r="655" spans="1:25">
      <c r="A655" s="444"/>
      <c r="B655" s="227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</row>
    <row r="656" spans="1:25">
      <c r="A656" s="444"/>
      <c r="B656" s="227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</row>
    <row r="657" spans="1:25">
      <c r="A657" s="444"/>
      <c r="B657" s="227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</row>
    <row r="658" spans="1:25">
      <c r="A658" s="444"/>
      <c r="B658" s="227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</row>
    <row r="659" spans="1:25">
      <c r="A659" s="444"/>
      <c r="B659" s="227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</row>
    <row r="660" spans="1:25">
      <c r="A660" s="444"/>
      <c r="B660" s="227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</row>
    <row r="661" spans="1:25">
      <c r="A661" s="444"/>
      <c r="B661" s="227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</row>
    <row r="662" spans="1:25">
      <c r="A662" s="444"/>
      <c r="B662" s="227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</row>
    <row r="663" spans="1:25">
      <c r="A663" s="444"/>
      <c r="B663" s="227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</row>
    <row r="664" spans="1:25">
      <c r="A664" s="444"/>
      <c r="B664" s="227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</row>
    <row r="665" spans="1:25">
      <c r="A665" s="444"/>
      <c r="B665" s="227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</row>
    <row r="666" spans="1:25">
      <c r="A666" s="444"/>
      <c r="B666" s="227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</row>
    <row r="667" spans="1:25">
      <c r="A667" s="444"/>
      <c r="B667" s="227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</row>
    <row r="668" spans="1:25">
      <c r="A668" s="444"/>
      <c r="B668" s="227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</row>
    <row r="669" spans="1:25">
      <c r="A669" s="444"/>
      <c r="B669" s="227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</row>
    <row r="670" spans="1:25">
      <c r="A670" s="444"/>
      <c r="B670" s="227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</row>
    <row r="671" spans="1:25">
      <c r="A671" s="444"/>
      <c r="B671" s="227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</row>
    <row r="672" spans="1:25">
      <c r="A672" s="444"/>
      <c r="B672" s="227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</row>
    <row r="673" spans="1:25">
      <c r="A673" s="444"/>
      <c r="B673" s="227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</row>
    <row r="674" spans="1:25">
      <c r="A674" s="444"/>
      <c r="B674" s="227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</row>
    <row r="675" spans="1:25">
      <c r="A675" s="444"/>
      <c r="B675" s="227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</row>
    <row r="676" spans="1:25">
      <c r="A676" s="444"/>
      <c r="B676" s="227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</row>
    <row r="677" spans="1:25">
      <c r="A677" s="444"/>
      <c r="B677" s="227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</row>
    <row r="678" spans="1:25">
      <c r="A678" s="444"/>
      <c r="B678" s="227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</row>
    <row r="679" spans="1:25">
      <c r="A679" s="444"/>
      <c r="B679" s="227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</row>
    <row r="680" spans="1:25">
      <c r="A680" s="444"/>
      <c r="B680" s="227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</row>
    <row r="681" spans="1:25">
      <c r="A681" s="444"/>
      <c r="B681" s="227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</row>
    <row r="682" spans="1:25">
      <c r="A682" s="444"/>
      <c r="B682" s="227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</row>
    <row r="683" spans="1:25">
      <c r="A683" s="444"/>
      <c r="B683" s="227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</row>
    <row r="684" spans="1:25">
      <c r="A684" s="444"/>
      <c r="B684" s="227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</row>
    <row r="685" spans="1:25">
      <c r="A685" s="444"/>
      <c r="B685" s="227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</row>
    <row r="686" spans="1:25">
      <c r="A686" s="444"/>
      <c r="B686" s="227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</row>
    <row r="687" spans="1:25">
      <c r="A687" s="444"/>
      <c r="B687" s="227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</row>
    <row r="688" spans="1:25">
      <c r="A688" s="444"/>
      <c r="B688" s="227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</row>
    <row r="689" spans="1:25">
      <c r="A689" s="444"/>
      <c r="B689" s="227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</row>
    <row r="690" spans="1:25">
      <c r="A690" s="444"/>
      <c r="B690" s="227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</row>
    <row r="691" spans="1:25">
      <c r="A691" s="444"/>
      <c r="B691" s="227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</row>
    <row r="692" spans="1:25">
      <c r="A692" s="444"/>
      <c r="B692" s="227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</row>
    <row r="693" spans="1:25">
      <c r="A693" s="444"/>
      <c r="B693" s="227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</row>
    <row r="694" spans="1:25">
      <c r="A694" s="444"/>
      <c r="B694" s="227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</row>
    <row r="695" spans="1:25">
      <c r="A695" s="444"/>
      <c r="B695" s="227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</row>
    <row r="696" spans="1:25">
      <c r="A696" s="444"/>
      <c r="B696" s="227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</row>
    <row r="697" spans="1:25">
      <c r="A697" s="444"/>
      <c r="B697" s="227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</row>
    <row r="698" spans="1:25">
      <c r="A698" s="444"/>
      <c r="B698" s="227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</row>
    <row r="699" spans="1:25">
      <c r="A699" s="444"/>
      <c r="B699" s="227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</row>
    <row r="700" spans="1:25">
      <c r="A700" s="444"/>
      <c r="B700" s="227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</row>
    <row r="701" spans="1:25">
      <c r="A701" s="444"/>
      <c r="B701" s="227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</row>
    <row r="702" spans="1:25">
      <c r="A702" s="444"/>
      <c r="B702" s="227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</row>
    <row r="703" spans="1:25">
      <c r="A703" s="444"/>
      <c r="B703" s="227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</row>
    <row r="704" spans="1:25">
      <c r="A704" s="444"/>
      <c r="B704" s="227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</row>
    <row r="705" spans="1:25">
      <c r="A705" s="444"/>
      <c r="B705" s="227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</row>
    <row r="706" spans="1:25">
      <c r="A706" s="444"/>
      <c r="B706" s="227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</row>
    <row r="707" spans="1:25">
      <c r="A707" s="444"/>
      <c r="B707" s="227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</row>
    <row r="708" spans="1:25">
      <c r="A708" s="444"/>
      <c r="B708" s="227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</row>
    <row r="709" spans="1:25">
      <c r="A709" s="444"/>
      <c r="B709" s="227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</row>
    <row r="710" spans="1:25">
      <c r="A710" s="444"/>
      <c r="B710" s="227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</row>
    <row r="711" spans="1:25">
      <c r="A711" s="444"/>
      <c r="B711" s="227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</row>
    <row r="712" spans="1:25">
      <c r="A712" s="444"/>
      <c r="B712" s="227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</row>
    <row r="713" spans="1:25">
      <c r="A713" s="444"/>
      <c r="B713" s="227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</row>
    <row r="714" spans="1:25">
      <c r="A714" s="444"/>
      <c r="B714" s="227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</row>
    <row r="715" spans="1:25">
      <c r="A715" s="444"/>
      <c r="B715" s="227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</row>
    <row r="716" spans="1:25">
      <c r="A716" s="444"/>
      <c r="B716" s="227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</row>
    <row r="717" spans="1:25">
      <c r="A717" s="444"/>
      <c r="B717" s="227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</row>
    <row r="718" spans="1:25">
      <c r="A718" s="444"/>
      <c r="B718" s="227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</row>
    <row r="719" spans="1:25">
      <c r="A719" s="444"/>
      <c r="B719" s="227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</row>
    <row r="720" spans="1:25">
      <c r="A720" s="444"/>
      <c r="B720" s="227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</row>
    <row r="721" spans="1:25">
      <c r="A721" s="444"/>
      <c r="B721" s="227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</row>
    <row r="722" spans="1:25">
      <c r="A722" s="444"/>
      <c r="B722" s="227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</row>
    <row r="723" spans="1:25">
      <c r="A723" s="444"/>
      <c r="B723" s="227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</row>
    <row r="724" spans="1:25">
      <c r="A724" s="444"/>
      <c r="B724" s="227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</row>
    <row r="725" spans="1:25">
      <c r="A725" s="444"/>
      <c r="B725" s="227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</row>
    <row r="726" spans="1:25">
      <c r="A726" s="444"/>
      <c r="B726" s="227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</row>
    <row r="727" spans="1:25">
      <c r="A727" s="444"/>
      <c r="B727" s="227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</row>
    <row r="728" spans="1:25">
      <c r="A728" s="444"/>
      <c r="B728" s="227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</row>
    <row r="729" spans="1:25">
      <c r="A729" s="444"/>
      <c r="B729" s="227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</row>
    <row r="730" spans="1:25">
      <c r="A730" s="444"/>
      <c r="B730" s="227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</row>
    <row r="731" spans="1:25">
      <c r="A731" s="444"/>
      <c r="B731" s="227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</row>
    <row r="732" spans="1:25">
      <c r="A732" s="444"/>
      <c r="B732" s="227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</row>
    <row r="733" spans="1:25">
      <c r="A733" s="444"/>
      <c r="B733" s="227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</row>
    <row r="734" spans="1:25">
      <c r="A734" s="444"/>
      <c r="B734" s="227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</row>
    <row r="735" spans="1:25">
      <c r="A735" s="444"/>
      <c r="B735" s="227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</row>
    <row r="736" spans="1:25">
      <c r="A736" s="444"/>
      <c r="B736" s="227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</row>
    <row r="737" spans="1:25">
      <c r="A737" s="444"/>
      <c r="B737" s="227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</row>
    <row r="738" spans="1:25">
      <c r="A738" s="444"/>
      <c r="B738" s="227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</row>
    <row r="739" spans="1:25">
      <c r="A739" s="444"/>
      <c r="B739" s="227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</row>
    <row r="740" spans="1:25">
      <c r="A740" s="444"/>
      <c r="B740" s="227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</row>
    <row r="741" spans="1:25">
      <c r="A741" s="444"/>
      <c r="B741" s="227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</row>
    <row r="742" spans="1:25">
      <c r="A742" s="444"/>
      <c r="B742" s="227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</row>
    <row r="743" spans="1:25">
      <c r="A743" s="444"/>
      <c r="B743" s="227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</row>
    <row r="744" spans="1:25">
      <c r="A744" s="444"/>
      <c r="B744" s="227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</row>
    <row r="745" spans="1:25">
      <c r="A745" s="444"/>
      <c r="B745" s="227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</row>
    <row r="746" spans="1:25">
      <c r="A746" s="444"/>
      <c r="B746" s="227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</row>
    <row r="747" spans="1:25">
      <c r="A747" s="444"/>
      <c r="B747" s="227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</row>
    <row r="748" spans="1:25">
      <c r="A748" s="444"/>
      <c r="B748" s="227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</row>
    <row r="749" spans="1:25">
      <c r="A749" s="444"/>
      <c r="B749" s="227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</row>
    <row r="750" spans="1:25">
      <c r="A750" s="444"/>
      <c r="B750" s="227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</row>
    <row r="751" spans="1:25">
      <c r="A751" s="444"/>
      <c r="B751" s="227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</row>
    <row r="752" spans="1:25">
      <c r="A752" s="444"/>
      <c r="B752" s="227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</row>
    <row r="753" spans="1:25">
      <c r="A753" s="444"/>
      <c r="B753" s="227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</row>
    <row r="754" spans="1:25">
      <c r="A754" s="444"/>
      <c r="B754" s="227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</row>
    <row r="755" spans="1:25">
      <c r="A755" s="444"/>
      <c r="B755" s="227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</row>
    <row r="756" spans="1:25">
      <c r="A756" s="444"/>
      <c r="B756" s="227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</row>
    <row r="757" spans="1:25">
      <c r="A757" s="444"/>
      <c r="B757" s="227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</row>
    <row r="758" spans="1:25">
      <c r="A758" s="444"/>
      <c r="B758" s="227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</row>
    <row r="759" spans="1:25">
      <c r="A759" s="444"/>
      <c r="B759" s="227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</row>
    <row r="760" spans="1:25">
      <c r="A760" s="444"/>
      <c r="B760" s="227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</row>
    <row r="761" spans="1:25">
      <c r="A761" s="444"/>
      <c r="B761" s="227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</row>
    <row r="762" spans="1:25">
      <c r="A762" s="444"/>
      <c r="B762" s="227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</row>
    <row r="763" spans="1:25">
      <c r="A763" s="444"/>
      <c r="B763" s="227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</row>
    <row r="764" spans="1:25">
      <c r="A764" s="444"/>
      <c r="B764" s="227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</row>
    <row r="765" spans="1:25">
      <c r="A765" s="444"/>
      <c r="B765" s="227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</row>
    <row r="766" spans="1:25">
      <c r="A766" s="444"/>
      <c r="B766" s="227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</row>
    <row r="767" spans="1:25">
      <c r="A767" s="444"/>
      <c r="B767" s="227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</row>
    <row r="768" spans="1:25">
      <c r="A768" s="444"/>
      <c r="B768" s="227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</row>
    <row r="769" spans="1:25">
      <c r="A769" s="444"/>
      <c r="B769" s="227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</row>
    <row r="770" spans="1:25">
      <c r="A770" s="444"/>
      <c r="B770" s="227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</row>
    <row r="771" spans="1:25">
      <c r="A771" s="444"/>
      <c r="B771" s="227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</row>
    <row r="772" spans="1:25">
      <c r="A772" s="444"/>
      <c r="B772" s="227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</row>
    <row r="773" spans="1:25">
      <c r="A773" s="444"/>
      <c r="B773" s="227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</row>
    <row r="774" spans="1:25">
      <c r="A774" s="444"/>
      <c r="B774" s="227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</row>
    <row r="775" spans="1:25">
      <c r="A775" s="444"/>
      <c r="B775" s="227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</row>
    <row r="776" spans="1:25">
      <c r="A776" s="444"/>
      <c r="B776" s="227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</row>
    <row r="777" spans="1:25">
      <c r="A777" s="444"/>
      <c r="B777" s="227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</row>
    <row r="778" spans="1:25">
      <c r="A778" s="444"/>
      <c r="B778" s="227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</row>
    <row r="779" spans="1:25">
      <c r="A779" s="444"/>
      <c r="B779" s="227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</row>
    <row r="780" spans="1:25">
      <c r="A780" s="444"/>
      <c r="B780" s="227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</row>
    <row r="781" spans="1:25">
      <c r="A781" s="444"/>
      <c r="B781" s="227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</row>
    <row r="782" spans="1:25">
      <c r="A782" s="444"/>
      <c r="B782" s="227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</row>
    <row r="783" spans="1:25">
      <c r="A783" s="444"/>
      <c r="B783" s="227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</row>
    <row r="784" spans="1:25">
      <c r="A784" s="444"/>
      <c r="B784" s="227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</row>
    <row r="785" spans="1:25">
      <c r="A785" s="444"/>
      <c r="B785" s="227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</row>
    <row r="786" spans="1:25">
      <c r="A786" s="444"/>
      <c r="B786" s="227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</row>
    <row r="787" spans="1:25">
      <c r="A787" s="444"/>
      <c r="B787" s="227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</row>
    <row r="788" spans="1:25">
      <c r="A788" s="444"/>
      <c r="B788" s="227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</row>
    <row r="789" spans="1:25">
      <c r="A789" s="444"/>
      <c r="B789" s="227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</row>
    <row r="790" spans="1:25">
      <c r="A790" s="444"/>
      <c r="B790" s="227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</row>
    <row r="791" spans="1:25">
      <c r="A791" s="444"/>
      <c r="B791" s="227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</row>
    <row r="792" spans="1:25">
      <c r="A792" s="444"/>
      <c r="B792" s="227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</row>
    <row r="793" spans="1:25">
      <c r="A793" s="444"/>
      <c r="B793" s="227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</row>
    <row r="794" spans="1:25">
      <c r="A794" s="444"/>
      <c r="B794" s="227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</row>
    <row r="795" spans="1:25">
      <c r="A795" s="444"/>
      <c r="B795" s="227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</row>
    <row r="796" spans="1:25">
      <c r="A796" s="444"/>
      <c r="B796" s="227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</row>
    <row r="797" spans="1:25">
      <c r="A797" s="444"/>
      <c r="B797" s="227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</row>
    <row r="798" spans="1:25">
      <c r="A798" s="444"/>
      <c r="B798" s="227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</row>
    <row r="799" spans="1:25">
      <c r="A799" s="444"/>
      <c r="B799" s="227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</row>
    <row r="800" spans="1:25">
      <c r="A800" s="444"/>
      <c r="B800" s="227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</row>
    <row r="801" spans="1:25">
      <c r="A801" s="444"/>
      <c r="B801" s="227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</row>
    <row r="802" spans="1:25">
      <c r="A802" s="444"/>
      <c r="B802" s="227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</row>
    <row r="803" spans="1:25">
      <c r="A803" s="444"/>
      <c r="B803" s="227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</row>
    <row r="804" spans="1:25">
      <c r="A804" s="444"/>
      <c r="B804" s="227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</row>
    <row r="805" spans="1:25">
      <c r="A805" s="444"/>
      <c r="B805" s="227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</row>
    <row r="806" spans="1:25">
      <c r="A806" s="444"/>
      <c r="B806" s="227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</row>
    <row r="807" spans="1:25">
      <c r="A807" s="444"/>
      <c r="B807" s="227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</row>
    <row r="808" spans="1:25">
      <c r="A808" s="444"/>
      <c r="B808" s="227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</row>
    <row r="809" spans="1:25">
      <c r="A809" s="444"/>
      <c r="B809" s="227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</row>
    <row r="810" spans="1:25">
      <c r="A810" s="444"/>
      <c r="B810" s="227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</row>
    <row r="811" spans="1:25">
      <c r="A811" s="444"/>
      <c r="B811" s="227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</row>
    <row r="812" spans="1:25">
      <c r="A812" s="444"/>
      <c r="B812" s="227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</row>
    <row r="813" spans="1:25">
      <c r="A813" s="444"/>
      <c r="B813" s="227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</row>
    <row r="814" spans="1:25">
      <c r="A814" s="444"/>
      <c r="B814" s="227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</row>
    <row r="815" spans="1:25">
      <c r="A815" s="444"/>
      <c r="B815" s="227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</row>
    <row r="816" spans="1:25">
      <c r="A816" s="444"/>
      <c r="B816" s="227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</row>
    <row r="817" spans="1:25">
      <c r="A817" s="444"/>
      <c r="B817" s="227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</row>
    <row r="818" spans="1:25">
      <c r="A818" s="444"/>
      <c r="B818" s="227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</row>
    <row r="819" spans="1:25">
      <c r="A819" s="444"/>
      <c r="B819" s="227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</row>
    <row r="820" spans="1:25">
      <c r="A820" s="444"/>
      <c r="B820" s="227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</row>
    <row r="821" spans="1:25">
      <c r="A821" s="444"/>
      <c r="B821" s="227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</row>
    <row r="822" spans="1:25">
      <c r="A822" s="444"/>
      <c r="B822" s="227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</row>
    <row r="823" spans="1:25">
      <c r="A823" s="444"/>
      <c r="B823" s="227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</row>
    <row r="824" spans="1:25">
      <c r="A824" s="444"/>
      <c r="B824" s="227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</row>
    <row r="825" spans="1:25">
      <c r="A825" s="444"/>
      <c r="B825" s="227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</row>
    <row r="826" spans="1:25">
      <c r="A826" s="444"/>
      <c r="B826" s="227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</row>
    <row r="827" spans="1:25">
      <c r="A827" s="444"/>
      <c r="B827" s="227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</row>
    <row r="828" spans="1:25">
      <c r="A828" s="444"/>
      <c r="B828" s="227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</row>
    <row r="829" spans="1:25">
      <c r="A829" s="444"/>
      <c r="B829" s="227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</row>
    <row r="830" spans="1:25">
      <c r="A830" s="444"/>
      <c r="B830" s="227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</row>
    <row r="831" spans="1:25">
      <c r="A831" s="444"/>
      <c r="B831" s="227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</row>
    <row r="832" spans="1:25">
      <c r="A832" s="444"/>
      <c r="B832" s="227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</row>
    <row r="833" spans="1:25">
      <c r="A833" s="444"/>
      <c r="B833" s="227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</row>
    <row r="834" spans="1:25">
      <c r="A834" s="444"/>
      <c r="B834" s="227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</row>
    <row r="835" spans="1:25">
      <c r="A835" s="444"/>
      <c r="B835" s="227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</row>
    <row r="836" spans="1:25">
      <c r="A836" s="444"/>
      <c r="B836" s="227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</row>
    <row r="837" spans="1:25">
      <c r="A837" s="444"/>
      <c r="B837" s="227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</row>
    <row r="838" spans="1:25">
      <c r="A838" s="444"/>
      <c r="B838" s="227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</row>
    <row r="839" spans="1:25">
      <c r="A839" s="444"/>
      <c r="B839" s="227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</row>
    <row r="840" spans="1:25">
      <c r="A840" s="444"/>
      <c r="B840" s="227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</row>
    <row r="841" spans="1:25">
      <c r="A841" s="444"/>
      <c r="B841" s="227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</row>
    <row r="842" spans="1:25">
      <c r="A842" s="444"/>
      <c r="B842" s="227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</row>
    <row r="843" spans="1:25">
      <c r="A843" s="444"/>
      <c r="B843" s="227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</row>
    <row r="844" spans="1:25">
      <c r="A844" s="444"/>
      <c r="B844" s="227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</row>
    <row r="845" spans="1:25">
      <c r="A845" s="444"/>
      <c r="B845" s="227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</row>
    <row r="846" spans="1:25">
      <c r="A846" s="444"/>
      <c r="B846" s="227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</row>
    <row r="847" spans="1:25">
      <c r="A847" s="444"/>
      <c r="B847" s="227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</row>
    <row r="848" spans="1:25">
      <c r="A848" s="444"/>
      <c r="B848" s="227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</row>
    <row r="849" spans="1:25">
      <c r="A849" s="444"/>
      <c r="B849" s="227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</row>
    <row r="850" spans="1:25">
      <c r="A850" s="444"/>
      <c r="B850" s="227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</row>
    <row r="851" spans="1:25">
      <c r="A851" s="444"/>
      <c r="B851" s="227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</row>
    <row r="852" spans="1:25">
      <c r="A852" s="444"/>
      <c r="B852" s="227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</row>
    <row r="853" spans="1:25">
      <c r="A853" s="444"/>
      <c r="B853" s="227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</row>
    <row r="854" spans="1:25">
      <c r="A854" s="444"/>
      <c r="B854" s="227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</row>
    <row r="855" spans="1:25">
      <c r="A855" s="444"/>
      <c r="B855" s="227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</row>
    <row r="856" spans="1:25">
      <c r="A856" s="444"/>
      <c r="B856" s="227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</row>
    <row r="857" spans="1:25">
      <c r="A857" s="444"/>
      <c r="B857" s="227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</row>
    <row r="858" spans="1:25">
      <c r="A858" s="444"/>
      <c r="B858" s="227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</row>
    <row r="859" spans="1:25">
      <c r="A859" s="444"/>
      <c r="B859" s="227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</row>
    <row r="860" spans="1:25">
      <c r="A860" s="444"/>
      <c r="B860" s="227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</row>
    <row r="861" spans="1:25">
      <c r="A861" s="444"/>
      <c r="B861" s="227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</row>
    <row r="862" spans="1:25">
      <c r="A862" s="444"/>
      <c r="B862" s="227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</row>
    <row r="863" spans="1:25">
      <c r="A863" s="444"/>
      <c r="B863" s="227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</row>
    <row r="864" spans="1:25">
      <c r="A864" s="444"/>
      <c r="B864" s="227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</row>
    <row r="865" spans="1:25">
      <c r="A865" s="444"/>
      <c r="B865" s="227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</row>
    <row r="866" spans="1:25">
      <c r="A866" s="444"/>
      <c r="B866" s="227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</row>
    <row r="867" spans="1:25">
      <c r="A867" s="444"/>
      <c r="B867" s="227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</row>
    <row r="868" spans="1:25">
      <c r="A868" s="444"/>
      <c r="B868" s="227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</row>
    <row r="869" spans="1:25">
      <c r="A869" s="444"/>
      <c r="B869" s="227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</row>
    <row r="870" spans="1:25">
      <c r="A870" s="444"/>
      <c r="B870" s="227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</row>
    <row r="871" spans="1:25">
      <c r="A871" s="444"/>
      <c r="B871" s="227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</row>
    <row r="872" spans="1:25">
      <c r="A872" s="444"/>
      <c r="B872" s="227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</row>
    <row r="873" spans="1:25">
      <c r="A873" s="444"/>
      <c r="B873" s="227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</row>
    <row r="874" spans="1:25">
      <c r="A874" s="444"/>
      <c r="B874" s="227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</row>
    <row r="875" spans="1:25">
      <c r="A875" s="444"/>
      <c r="B875" s="227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</row>
    <row r="876" spans="1:25">
      <c r="A876" s="444"/>
      <c r="B876" s="227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</row>
    <row r="877" spans="1:25">
      <c r="A877" s="444"/>
      <c r="B877" s="227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</row>
    <row r="878" spans="1:25">
      <c r="A878" s="444"/>
      <c r="B878" s="227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</row>
    <row r="879" spans="1:25">
      <c r="A879" s="444"/>
      <c r="B879" s="227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</row>
    <row r="880" spans="1:25">
      <c r="A880" s="444"/>
      <c r="B880" s="227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</row>
    <row r="881" spans="1:25">
      <c r="A881" s="444"/>
      <c r="B881" s="227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</row>
    <row r="882" spans="1:25">
      <c r="A882" s="444"/>
      <c r="B882" s="227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</row>
    <row r="883" spans="1:25">
      <c r="A883" s="444"/>
      <c r="B883" s="227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</row>
    <row r="884" spans="1:25">
      <c r="A884" s="444"/>
      <c r="B884" s="227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</row>
    <row r="885" spans="1:25">
      <c r="A885" s="444"/>
      <c r="B885" s="227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</row>
    <row r="886" spans="1:25">
      <c r="A886" s="444"/>
      <c r="B886" s="227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</row>
    <row r="887" spans="1:25">
      <c r="A887" s="444"/>
      <c r="B887" s="227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</row>
    <row r="888" spans="1:25">
      <c r="A888" s="444"/>
      <c r="B888" s="227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</row>
    <row r="889" spans="1:25">
      <c r="A889" s="444"/>
      <c r="B889" s="227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</row>
    <row r="890" spans="1:25">
      <c r="A890" s="444"/>
      <c r="B890" s="227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</row>
    <row r="891" spans="1:25">
      <c r="A891" s="444"/>
      <c r="B891" s="227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</row>
    <row r="892" spans="1:25">
      <c r="A892" s="444"/>
      <c r="B892" s="227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</row>
    <row r="893" spans="1:25">
      <c r="A893" s="444"/>
      <c r="B893" s="227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</row>
    <row r="894" spans="1:25">
      <c r="A894" s="444"/>
      <c r="B894" s="227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</row>
    <row r="895" spans="1:25">
      <c r="A895" s="444"/>
      <c r="B895" s="227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</row>
    <row r="896" spans="1:25">
      <c r="A896" s="444"/>
      <c r="B896" s="227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</row>
    <row r="897" spans="1:25">
      <c r="A897" s="444"/>
      <c r="B897" s="227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</row>
    <row r="898" spans="1:25">
      <c r="A898" s="444"/>
      <c r="B898" s="227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</row>
    <row r="899" spans="1:25">
      <c r="A899" s="444"/>
      <c r="B899" s="227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</row>
    <row r="900" spans="1:25">
      <c r="A900" s="444"/>
      <c r="B900" s="227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</row>
    <row r="901" spans="1:25">
      <c r="A901" s="444"/>
      <c r="B901" s="227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</row>
    <row r="902" spans="1:25">
      <c r="A902" s="444"/>
      <c r="B902" s="227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</row>
    <row r="903" spans="1:25">
      <c r="A903" s="444"/>
      <c r="B903" s="227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</row>
    <row r="904" spans="1:25">
      <c r="A904" s="444"/>
      <c r="B904" s="227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</row>
    <row r="905" spans="1:25">
      <c r="A905" s="444"/>
      <c r="B905" s="227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</row>
    <row r="906" spans="1:25">
      <c r="A906" s="444"/>
      <c r="B906" s="227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</row>
    <row r="907" spans="1:25">
      <c r="A907" s="444"/>
      <c r="B907" s="227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</row>
    <row r="908" spans="1:25">
      <c r="A908" s="444"/>
      <c r="B908" s="227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</row>
    <row r="909" spans="1:25">
      <c r="A909" s="444"/>
      <c r="B909" s="227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</row>
    <row r="910" spans="1:25">
      <c r="A910" s="444"/>
      <c r="B910" s="227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</row>
    <row r="911" spans="1:25">
      <c r="A911" s="444"/>
      <c r="B911" s="227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</row>
    <row r="912" spans="1:25">
      <c r="A912" s="444"/>
      <c r="B912" s="227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</row>
    <row r="913" spans="1:25">
      <c r="A913" s="444"/>
      <c r="B913" s="227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</row>
    <row r="914" spans="1:25">
      <c r="A914" s="444"/>
      <c r="B914" s="227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</row>
    <row r="915" spans="1:25">
      <c r="A915" s="444"/>
      <c r="B915" s="227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</row>
    <row r="916" spans="1:25">
      <c r="A916" s="444"/>
      <c r="B916" s="227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</row>
    <row r="917" spans="1:25">
      <c r="A917" s="444"/>
      <c r="B917" s="227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</row>
    <row r="918" spans="1:25">
      <c r="A918" s="444"/>
      <c r="B918" s="227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</row>
    <row r="919" spans="1:25">
      <c r="A919" s="444"/>
      <c r="B919" s="227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</row>
    <row r="920" spans="1:25">
      <c r="A920" s="444"/>
      <c r="B920" s="227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</row>
    <row r="921" spans="1:25">
      <c r="A921" s="444"/>
      <c r="B921" s="227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</row>
    <row r="922" spans="1:25">
      <c r="A922" s="444"/>
      <c r="B922" s="227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</row>
    <row r="923" spans="1:25">
      <c r="A923" s="444"/>
      <c r="B923" s="227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</row>
    <row r="924" spans="1:25">
      <c r="A924" s="444"/>
      <c r="B924" s="227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</row>
    <row r="925" spans="1:25">
      <c r="A925" s="444"/>
      <c r="B925" s="227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</row>
    <row r="926" spans="1:25">
      <c r="A926" s="444"/>
      <c r="B926" s="227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</row>
    <row r="927" spans="1:25">
      <c r="A927" s="444"/>
      <c r="B927" s="227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</row>
    <row r="928" spans="1:25">
      <c r="A928" s="444"/>
      <c r="B928" s="227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</row>
    <row r="929" spans="1:25">
      <c r="A929" s="444"/>
      <c r="B929" s="227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</row>
    <row r="930" spans="1:25">
      <c r="A930" s="444"/>
      <c r="B930" s="227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</row>
    <row r="931" spans="1:25">
      <c r="A931" s="444"/>
      <c r="B931" s="227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</row>
    <row r="932" spans="1:25">
      <c r="A932" s="444"/>
      <c r="B932" s="227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</row>
    <row r="933" spans="1:25">
      <c r="A933" s="444"/>
      <c r="B933" s="227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</row>
    <row r="934" spans="1:25">
      <c r="A934" s="444"/>
      <c r="B934" s="227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</row>
    <row r="935" spans="1:25">
      <c r="A935" s="444"/>
      <c r="B935" s="227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</row>
    <row r="936" spans="1:25">
      <c r="A936" s="444"/>
      <c r="B936" s="227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</row>
    <row r="937" spans="1:25">
      <c r="A937" s="444"/>
      <c r="B937" s="227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</row>
    <row r="938" spans="1:25">
      <c r="A938" s="444"/>
      <c r="B938" s="227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</row>
    <row r="939" spans="1:25">
      <c r="A939" s="444"/>
      <c r="B939" s="227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</row>
    <row r="940" spans="1:25">
      <c r="A940" s="444"/>
      <c r="B940" s="227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</row>
    <row r="941" spans="1:25">
      <c r="A941" s="444"/>
      <c r="B941" s="227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</row>
    <row r="942" spans="1:25">
      <c r="A942" s="444"/>
      <c r="B942" s="227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</row>
    <row r="943" spans="1:25">
      <c r="A943" s="444"/>
      <c r="B943" s="227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</row>
    <row r="944" spans="1:25">
      <c r="A944" s="444"/>
      <c r="B944" s="227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</row>
    <row r="945" spans="1:25">
      <c r="A945" s="444"/>
      <c r="B945" s="227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</row>
    <row r="946" spans="1:25">
      <c r="A946" s="444"/>
      <c r="B946" s="227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</row>
    <row r="947" spans="1:25">
      <c r="A947" s="444"/>
      <c r="B947" s="227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</row>
    <row r="948" spans="1:25">
      <c r="A948" s="444"/>
      <c r="B948" s="227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</row>
    <row r="949" spans="1:25">
      <c r="A949" s="444"/>
      <c r="B949" s="227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</row>
    <row r="950" spans="1:25">
      <c r="A950" s="444"/>
      <c r="B950" s="227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</row>
    <row r="951" spans="1:25">
      <c r="A951" s="444"/>
      <c r="B951" s="227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</row>
    <row r="952" spans="1:25">
      <c r="A952" s="444"/>
      <c r="B952" s="227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</row>
    <row r="953" spans="1:25">
      <c r="A953" s="444"/>
      <c r="B953" s="227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</row>
    <row r="954" spans="1:25">
      <c r="A954" s="444"/>
      <c r="B954" s="227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</row>
    <row r="955" spans="1:25">
      <c r="A955" s="444"/>
      <c r="B955" s="227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</row>
    <row r="956" spans="1:25">
      <c r="A956" s="444"/>
      <c r="B956" s="227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</row>
    <row r="957" spans="1:25">
      <c r="A957" s="444"/>
      <c r="B957" s="227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</row>
    <row r="958" spans="1:25">
      <c r="A958" s="444"/>
      <c r="B958" s="227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</row>
    <row r="959" spans="1:25">
      <c r="A959" s="444"/>
      <c r="B959" s="227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</row>
    <row r="960" spans="1:25">
      <c r="A960" s="444"/>
      <c r="B960" s="227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</row>
    <row r="961" spans="1:25">
      <c r="A961" s="444"/>
      <c r="B961" s="227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</row>
    <row r="962" spans="1:25">
      <c r="A962" s="444"/>
      <c r="B962" s="227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</row>
    <row r="963" spans="1:25">
      <c r="A963" s="444"/>
      <c r="B963" s="227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</row>
    <row r="964" spans="1:25">
      <c r="A964" s="444"/>
      <c r="B964" s="227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</row>
    <row r="965" spans="1:25">
      <c r="A965" s="444"/>
      <c r="B965" s="227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</row>
    <row r="966" spans="1:25">
      <c r="A966" s="444"/>
      <c r="B966" s="227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</row>
    <row r="967" spans="1:25">
      <c r="A967" s="444"/>
      <c r="B967" s="227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</row>
    <row r="968" spans="1:25">
      <c r="A968" s="444"/>
      <c r="B968" s="227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</row>
    <row r="969" spans="1:25">
      <c r="A969" s="444"/>
      <c r="B969" s="227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</row>
    <row r="970" spans="1:25">
      <c r="A970" s="444"/>
      <c r="B970" s="227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</row>
    <row r="971" spans="1:25">
      <c r="A971" s="444"/>
      <c r="B971" s="227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</row>
    <row r="972" spans="1:25">
      <c r="A972" s="444"/>
      <c r="B972" s="227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</row>
    <row r="973" spans="1:25">
      <c r="A973" s="444"/>
      <c r="B973" s="227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</row>
    <row r="974" spans="1:25">
      <c r="A974" s="444"/>
      <c r="B974" s="227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</row>
    <row r="975" spans="1:25">
      <c r="A975" s="444"/>
      <c r="B975" s="227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</row>
    <row r="976" spans="1:25">
      <c r="A976" s="444"/>
      <c r="B976" s="227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</row>
    <row r="977" spans="1:25">
      <c r="A977" s="444"/>
      <c r="B977" s="227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</row>
    <row r="978" spans="1:25">
      <c r="A978" s="444"/>
      <c r="B978" s="227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</row>
    <row r="979" spans="1:25">
      <c r="A979" s="444"/>
      <c r="B979" s="227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</row>
    <row r="980" spans="1:25">
      <c r="A980" s="444"/>
      <c r="B980" s="227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</row>
    <row r="981" spans="1:25">
      <c r="A981" s="444"/>
      <c r="B981" s="227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</row>
    <row r="982" spans="1:25">
      <c r="A982" s="444"/>
      <c r="B982" s="227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</row>
    <row r="983" spans="1:25">
      <c r="A983" s="444"/>
      <c r="B983" s="227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</row>
    <row r="984" spans="1:25">
      <c r="A984" s="444"/>
      <c r="B984" s="227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</row>
    <row r="985" spans="1:25">
      <c r="A985" s="444"/>
      <c r="B985" s="227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</row>
    <row r="986" spans="1:25">
      <c r="A986" s="444"/>
      <c r="B986" s="227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</row>
    <row r="987" spans="1:25">
      <c r="A987" s="444"/>
      <c r="B987" s="227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</row>
    <row r="988" spans="1:25">
      <c r="A988" s="444"/>
      <c r="B988" s="227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</row>
    <row r="989" spans="1:25">
      <c r="A989" s="444"/>
      <c r="B989" s="227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</row>
    <row r="990" spans="1:25">
      <c r="A990" s="444"/>
      <c r="B990" s="227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</row>
    <row r="991" spans="1:25">
      <c r="A991" s="444"/>
      <c r="B991" s="227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</row>
    <row r="992" spans="1:25">
      <c r="A992" s="444"/>
      <c r="B992" s="227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</row>
    <row r="993" spans="1:25">
      <c r="A993" s="444"/>
      <c r="B993" s="227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</row>
    <row r="994" spans="1:25">
      <c r="A994" s="444"/>
      <c r="B994" s="227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</row>
    <row r="995" spans="1:25">
      <c r="A995" s="444"/>
      <c r="B995" s="227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</row>
    <row r="996" spans="1:25">
      <c r="A996" s="444"/>
      <c r="B996" s="227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</row>
    <row r="997" spans="1:25">
      <c r="A997" s="444"/>
      <c r="B997" s="227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</row>
    <row r="998" spans="1:25">
      <c r="A998" s="444"/>
      <c r="B998" s="227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</row>
    <row r="999" spans="1:25">
      <c r="A999" s="444"/>
      <c r="B999" s="227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</row>
    <row r="1000" spans="1:25">
      <c r="A1000" s="444"/>
      <c r="B1000" s="227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</row>
    <row r="1001" spans="1:25">
      <c r="A1001" s="444"/>
      <c r="B1001" s="227"/>
      <c r="C1001" s="242"/>
      <c r="D1001" s="242"/>
      <c r="E1001" s="242"/>
      <c r="F1001" s="242"/>
      <c r="G1001" s="242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2"/>
      <c r="V1001" s="242"/>
      <c r="W1001" s="242"/>
      <c r="X1001" s="242"/>
      <c r="Y1001" s="242"/>
    </row>
    <row r="1002" spans="1:25">
      <c r="A1002" s="444"/>
      <c r="B1002" s="227"/>
      <c r="C1002" s="242"/>
      <c r="D1002" s="242"/>
      <c r="E1002" s="242"/>
      <c r="F1002" s="242"/>
      <c r="G1002" s="242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2"/>
      <c r="V1002" s="242"/>
      <c r="W1002" s="242"/>
      <c r="X1002" s="242"/>
      <c r="Y1002" s="242"/>
    </row>
    <row r="1003" spans="1:25">
      <c r="A1003" s="444"/>
      <c r="B1003" s="227"/>
      <c r="C1003" s="242"/>
      <c r="D1003" s="242"/>
      <c r="E1003" s="242"/>
      <c r="F1003" s="242"/>
      <c r="G1003" s="242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2"/>
      <c r="V1003" s="242"/>
      <c r="W1003" s="242"/>
      <c r="X1003" s="242"/>
      <c r="Y1003" s="242"/>
    </row>
    <row r="1004" spans="1:25">
      <c r="A1004" s="444"/>
      <c r="B1004" s="227"/>
      <c r="C1004" s="242"/>
      <c r="D1004" s="242"/>
      <c r="E1004" s="242"/>
      <c r="F1004" s="242"/>
      <c r="G1004" s="242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2"/>
      <c r="V1004" s="242"/>
      <c r="W1004" s="242"/>
      <c r="X1004" s="242"/>
      <c r="Y1004" s="242"/>
    </row>
    <row r="1005" spans="1:25">
      <c r="A1005" s="444"/>
      <c r="B1005" s="227"/>
      <c r="C1005" s="242"/>
      <c r="D1005" s="242"/>
      <c r="E1005" s="242"/>
      <c r="F1005" s="242"/>
      <c r="G1005" s="242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2"/>
      <c r="V1005" s="242"/>
      <c r="W1005" s="242"/>
      <c r="X1005" s="242"/>
      <c r="Y1005" s="242"/>
    </row>
    <row r="1006" spans="1:25">
      <c r="A1006" s="444"/>
      <c r="B1006" s="227"/>
      <c r="C1006" s="242"/>
      <c r="D1006" s="242"/>
      <c r="E1006" s="242"/>
      <c r="F1006" s="242"/>
      <c r="G1006" s="242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2"/>
      <c r="V1006" s="242"/>
      <c r="W1006" s="242"/>
      <c r="X1006" s="242"/>
      <c r="Y1006" s="242"/>
    </row>
    <row r="1007" spans="1:25">
      <c r="A1007" s="444"/>
      <c r="B1007" s="227"/>
      <c r="C1007" s="242"/>
      <c r="D1007" s="242"/>
      <c r="E1007" s="242"/>
      <c r="F1007" s="242"/>
      <c r="G1007" s="242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2"/>
      <c r="V1007" s="242"/>
      <c r="W1007" s="242"/>
      <c r="X1007" s="242"/>
      <c r="Y1007" s="242"/>
    </row>
    <row r="1008" spans="1:25">
      <c r="A1008" s="444"/>
      <c r="B1008" s="227"/>
      <c r="C1008" s="242"/>
      <c r="D1008" s="242"/>
      <c r="E1008" s="242"/>
      <c r="F1008" s="242"/>
      <c r="G1008" s="242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2"/>
      <c r="V1008" s="242"/>
      <c r="W1008" s="242"/>
      <c r="X1008" s="242"/>
      <c r="Y1008" s="242"/>
    </row>
    <row r="1009" spans="1:25">
      <c r="A1009" s="444"/>
      <c r="B1009" s="227"/>
      <c r="C1009" s="242"/>
      <c r="D1009" s="242"/>
      <c r="E1009" s="242"/>
      <c r="F1009" s="242"/>
      <c r="G1009" s="242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2"/>
      <c r="V1009" s="242"/>
      <c r="W1009" s="242"/>
      <c r="X1009" s="242"/>
      <c r="Y1009" s="242"/>
    </row>
    <row r="1010" spans="1:25">
      <c r="A1010" s="444"/>
      <c r="B1010" s="227"/>
      <c r="C1010" s="242"/>
      <c r="D1010" s="242"/>
      <c r="E1010" s="242"/>
      <c r="F1010" s="242"/>
      <c r="G1010" s="242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2"/>
      <c r="V1010" s="242"/>
      <c r="W1010" s="242"/>
      <c r="X1010" s="242"/>
      <c r="Y1010" s="242"/>
    </row>
    <row r="1011" spans="1:25">
      <c r="A1011" s="444"/>
      <c r="B1011" s="227"/>
      <c r="C1011" s="242"/>
      <c r="D1011" s="242"/>
      <c r="E1011" s="242"/>
      <c r="F1011" s="242"/>
      <c r="G1011" s="242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2"/>
      <c r="V1011" s="242"/>
      <c r="W1011" s="242"/>
      <c r="X1011" s="242"/>
      <c r="Y1011" s="242"/>
    </row>
    <row r="1012" spans="1:25">
      <c r="A1012" s="444"/>
      <c r="B1012" s="227"/>
      <c r="C1012" s="242"/>
      <c r="D1012" s="242"/>
      <c r="E1012" s="242"/>
      <c r="F1012" s="242"/>
      <c r="G1012" s="242"/>
      <c r="H1012" s="242"/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  <c r="U1012" s="242"/>
      <c r="V1012" s="242"/>
      <c r="W1012" s="242"/>
      <c r="X1012" s="242"/>
      <c r="Y1012" s="242"/>
    </row>
    <row r="1013" spans="1:25">
      <c r="A1013" s="444"/>
      <c r="B1013" s="227"/>
      <c r="C1013" s="242"/>
      <c r="D1013" s="242"/>
      <c r="E1013" s="242"/>
      <c r="F1013" s="242"/>
      <c r="G1013" s="242"/>
      <c r="H1013" s="242"/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  <c r="U1013" s="242"/>
      <c r="V1013" s="242"/>
      <c r="W1013" s="242"/>
      <c r="X1013" s="242"/>
      <c r="Y1013" s="242"/>
    </row>
    <row r="1014" spans="1:25">
      <c r="A1014" s="444"/>
      <c r="B1014" s="227"/>
      <c r="C1014" s="242"/>
      <c r="D1014" s="242"/>
      <c r="E1014" s="242"/>
      <c r="F1014" s="242"/>
      <c r="G1014" s="242"/>
      <c r="H1014" s="242"/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2"/>
      <c r="S1014" s="242"/>
      <c r="T1014" s="242"/>
      <c r="U1014" s="242"/>
      <c r="V1014" s="242"/>
      <c r="W1014" s="242"/>
      <c r="X1014" s="242"/>
      <c r="Y1014" s="242"/>
    </row>
    <row r="1015" spans="1:25">
      <c r="A1015" s="444"/>
      <c r="B1015" s="227"/>
      <c r="C1015" s="242"/>
      <c r="D1015" s="242"/>
      <c r="E1015" s="242"/>
      <c r="F1015" s="242"/>
      <c r="G1015" s="242"/>
      <c r="H1015" s="242"/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  <c r="U1015" s="242"/>
      <c r="V1015" s="242"/>
      <c r="W1015" s="242"/>
      <c r="X1015" s="242"/>
      <c r="Y1015" s="242"/>
    </row>
    <row r="1016" spans="1:25">
      <c r="A1016" s="444"/>
      <c r="B1016" s="227"/>
      <c r="C1016" s="242"/>
      <c r="D1016" s="242"/>
      <c r="E1016" s="242"/>
      <c r="F1016" s="242"/>
      <c r="G1016" s="242"/>
      <c r="H1016" s="242"/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  <c r="U1016" s="242"/>
      <c r="V1016" s="242"/>
      <c r="W1016" s="242"/>
      <c r="X1016" s="242"/>
      <c r="Y1016" s="242"/>
    </row>
    <row r="1017" spans="1:25">
      <c r="A1017" s="444"/>
      <c r="B1017" s="227"/>
      <c r="C1017" s="242"/>
      <c r="D1017" s="242"/>
      <c r="E1017" s="242"/>
      <c r="F1017" s="242"/>
      <c r="G1017" s="242"/>
      <c r="H1017" s="242"/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  <c r="U1017" s="242"/>
      <c r="V1017" s="242"/>
      <c r="W1017" s="242"/>
      <c r="X1017" s="242"/>
      <c r="Y1017" s="242"/>
    </row>
    <row r="1018" spans="1:25">
      <c r="A1018" s="444"/>
      <c r="B1018" s="227"/>
      <c r="C1018" s="242"/>
      <c r="D1018" s="242"/>
      <c r="E1018" s="242"/>
      <c r="F1018" s="242"/>
      <c r="G1018" s="242"/>
      <c r="H1018" s="242"/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  <c r="U1018" s="242"/>
      <c r="V1018" s="242"/>
      <c r="W1018" s="242"/>
      <c r="X1018" s="242"/>
      <c r="Y1018" s="242"/>
    </row>
    <row r="1019" spans="1:25">
      <c r="A1019" s="444"/>
      <c r="B1019" s="227"/>
      <c r="C1019" s="242"/>
      <c r="D1019" s="242"/>
      <c r="E1019" s="242"/>
      <c r="F1019" s="242"/>
      <c r="G1019" s="242"/>
      <c r="H1019" s="242"/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2"/>
      <c r="S1019" s="242"/>
      <c r="T1019" s="242"/>
      <c r="U1019" s="242"/>
      <c r="V1019" s="242"/>
      <c r="W1019" s="242"/>
      <c r="X1019" s="242"/>
      <c r="Y1019" s="242"/>
    </row>
    <row r="1020" spans="1:25">
      <c r="A1020" s="444"/>
      <c r="B1020" s="227"/>
      <c r="C1020" s="242"/>
      <c r="D1020" s="242"/>
      <c r="E1020" s="242"/>
      <c r="F1020" s="242"/>
      <c r="G1020" s="242"/>
      <c r="H1020" s="242"/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  <c r="U1020" s="242"/>
      <c r="V1020" s="242"/>
      <c r="W1020" s="242"/>
      <c r="X1020" s="242"/>
      <c r="Y1020" s="242"/>
    </row>
    <row r="1021" spans="1:25">
      <c r="A1021" s="444"/>
      <c r="B1021" s="227"/>
      <c r="C1021" s="242"/>
      <c r="D1021" s="242"/>
      <c r="E1021" s="242"/>
      <c r="F1021" s="242"/>
      <c r="G1021" s="242"/>
      <c r="H1021" s="242"/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  <c r="U1021" s="242"/>
      <c r="V1021" s="242"/>
      <c r="W1021" s="242"/>
      <c r="X1021" s="242"/>
      <c r="Y1021" s="242"/>
    </row>
    <row r="1022" spans="1:25">
      <c r="A1022" s="444"/>
      <c r="B1022" s="227"/>
      <c r="C1022" s="242"/>
      <c r="D1022" s="242"/>
      <c r="E1022" s="242"/>
      <c r="F1022" s="242"/>
      <c r="G1022" s="242"/>
      <c r="H1022" s="242"/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  <c r="U1022" s="242"/>
      <c r="V1022" s="242"/>
      <c r="W1022" s="242"/>
      <c r="X1022" s="242"/>
      <c r="Y1022" s="242"/>
    </row>
    <row r="1023" spans="1:25">
      <c r="A1023" s="444"/>
      <c r="B1023" s="227"/>
      <c r="C1023" s="242"/>
      <c r="D1023" s="242"/>
      <c r="E1023" s="242"/>
      <c r="F1023" s="242"/>
      <c r="G1023" s="242"/>
      <c r="H1023" s="242"/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  <c r="U1023" s="242"/>
      <c r="V1023" s="242"/>
      <c r="W1023" s="242"/>
      <c r="X1023" s="242"/>
      <c r="Y1023" s="242"/>
    </row>
    <row r="1024" spans="1:25">
      <c r="A1024" s="444"/>
      <c r="B1024" s="227"/>
      <c r="C1024" s="242"/>
      <c r="D1024" s="242"/>
      <c r="E1024" s="242"/>
      <c r="F1024" s="242"/>
      <c r="G1024" s="242"/>
      <c r="H1024" s="242"/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  <c r="U1024" s="242"/>
      <c r="V1024" s="242"/>
      <c r="W1024" s="242"/>
      <c r="X1024" s="242"/>
      <c r="Y1024" s="242"/>
    </row>
    <row r="1025" spans="1:25">
      <c r="A1025" s="444"/>
      <c r="B1025" s="227"/>
      <c r="C1025" s="242"/>
      <c r="D1025" s="242"/>
      <c r="E1025" s="242"/>
      <c r="F1025" s="242"/>
      <c r="G1025" s="242"/>
      <c r="H1025" s="242"/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  <c r="U1025" s="242"/>
      <c r="V1025" s="242"/>
      <c r="W1025" s="242"/>
      <c r="X1025" s="242"/>
      <c r="Y1025" s="242"/>
    </row>
    <row r="1026" spans="1:25">
      <c r="A1026" s="444"/>
      <c r="B1026" s="227"/>
      <c r="C1026" s="242"/>
      <c r="D1026" s="242"/>
      <c r="E1026" s="242"/>
      <c r="F1026" s="242"/>
      <c r="G1026" s="242"/>
      <c r="H1026" s="242"/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  <c r="U1026" s="242"/>
      <c r="V1026" s="242"/>
      <c r="W1026" s="242"/>
      <c r="X1026" s="242"/>
      <c r="Y1026" s="242"/>
    </row>
    <row r="1027" spans="1:25">
      <c r="A1027" s="444"/>
      <c r="B1027" s="227"/>
      <c r="C1027" s="242"/>
      <c r="D1027" s="242"/>
      <c r="E1027" s="242"/>
      <c r="F1027" s="242"/>
      <c r="G1027" s="242"/>
      <c r="H1027" s="242"/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  <c r="U1027" s="242"/>
      <c r="V1027" s="242"/>
      <c r="W1027" s="242"/>
      <c r="X1027" s="242"/>
      <c r="Y1027" s="242"/>
    </row>
    <row r="1028" spans="1:25">
      <c r="A1028" s="444"/>
      <c r="B1028" s="227"/>
      <c r="C1028" s="242"/>
      <c r="D1028" s="242"/>
      <c r="E1028" s="242"/>
      <c r="F1028" s="242"/>
      <c r="G1028" s="242"/>
      <c r="H1028" s="242"/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  <c r="U1028" s="242"/>
      <c r="V1028" s="242"/>
      <c r="W1028" s="242"/>
      <c r="X1028" s="242"/>
      <c r="Y1028" s="242"/>
    </row>
    <row r="1029" spans="1:25">
      <c r="A1029" s="444"/>
      <c r="B1029" s="227"/>
      <c r="C1029" s="242"/>
      <c r="D1029" s="242"/>
      <c r="E1029" s="242"/>
      <c r="F1029" s="242"/>
      <c r="G1029" s="242"/>
      <c r="H1029" s="242"/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  <c r="U1029" s="242"/>
      <c r="V1029" s="242"/>
      <c r="W1029" s="242"/>
      <c r="X1029" s="242"/>
      <c r="Y1029" s="242"/>
    </row>
  </sheetData>
  <sheetCalcPr fullCalcOnLoad="1"/>
  <sheetProtection password="CA9F" sheet="1"/>
  <mergeCells count="14">
    <mergeCell ref="M6:P6"/>
    <mergeCell ref="J7:K7"/>
    <mergeCell ref="K8:K10"/>
    <mergeCell ref="D9:D10"/>
    <mergeCell ref="E9:I9"/>
    <mergeCell ref="J9:J10"/>
    <mergeCell ref="F1:K3"/>
    <mergeCell ref="A4:K4"/>
    <mergeCell ref="A6:D6"/>
    <mergeCell ref="I6:K6"/>
    <mergeCell ref="A8:A10"/>
    <mergeCell ref="B8:B10"/>
    <mergeCell ref="C8:C10"/>
    <mergeCell ref="D8:J8"/>
  </mergeCells>
  <dataValidations count="1">
    <dataValidation type="decimal" allowBlank="1" showInputMessage="1" showErrorMessage="1" sqref="C12:K62">
      <formula1>0</formula1>
      <formula2>1E+38</formula2>
    </dataValidation>
  </dataValidations>
  <pageMargins left="0.7" right="0.7" top="0.4" bottom="0.51" header="0.3" footer="0.3"/>
  <pageSetup scale="4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0"/>
  <sheetViews>
    <sheetView topLeftCell="A34" workbookViewId="0">
      <selection activeCell="J60" sqref="J60"/>
    </sheetView>
  </sheetViews>
  <sheetFormatPr defaultColWidth="15.1796875" defaultRowHeight="14.5"/>
  <cols>
    <col min="1" max="1" width="4.1796875" style="660" customWidth="1"/>
    <col min="2" max="2" width="23.453125" style="963" customWidth="1"/>
    <col min="3" max="3" width="16" style="963" customWidth="1"/>
    <col min="4" max="4" width="14.7265625" style="963" customWidth="1"/>
    <col min="5" max="8" width="20.1796875" style="963" customWidth="1"/>
    <col min="9" max="9" width="14.7265625" style="963" customWidth="1"/>
    <col min="10" max="10" width="14.81640625" style="963" customWidth="1"/>
    <col min="11" max="11" width="13.7265625" style="963" customWidth="1"/>
    <col min="12" max="25" width="7.453125" style="963" customWidth="1"/>
    <col min="26" max="16384" width="15.1796875" style="963"/>
  </cols>
  <sheetData>
    <row r="1" spans="1:27" ht="12.75" customHeight="1">
      <c r="A1" s="444"/>
      <c r="B1" s="227"/>
      <c r="C1" s="242"/>
      <c r="D1" s="242"/>
      <c r="E1" s="242"/>
      <c r="F1" s="1198" t="s">
        <v>1009</v>
      </c>
      <c r="G1" s="1173"/>
      <c r="H1" s="1173"/>
      <c r="I1" s="1173"/>
      <c r="J1" s="1173"/>
      <c r="K1" s="1173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</row>
    <row r="2" spans="1:27" ht="12.75" customHeight="1">
      <c r="A2" s="444"/>
      <c r="B2" s="227"/>
      <c r="C2" s="242"/>
      <c r="D2" s="242"/>
      <c r="E2" s="242"/>
      <c r="F2" s="1173"/>
      <c r="G2" s="1173"/>
      <c r="H2" s="1173"/>
      <c r="I2" s="1173"/>
      <c r="J2" s="1173"/>
      <c r="K2" s="1173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7" ht="12.75" customHeight="1">
      <c r="A3" s="444"/>
      <c r="B3" s="227"/>
      <c r="C3" s="242"/>
      <c r="D3" s="242"/>
      <c r="E3" s="242"/>
      <c r="F3" s="1173"/>
      <c r="G3" s="1173"/>
      <c r="H3" s="1173"/>
      <c r="I3" s="1173"/>
      <c r="J3" s="1173"/>
      <c r="K3" s="1173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7" ht="12.75" customHeight="1">
      <c r="A4" s="1199" t="s">
        <v>1071</v>
      </c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7" ht="12.75" customHeight="1">
      <c r="A5" s="646"/>
      <c r="B5" s="964"/>
      <c r="C5" s="964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7" ht="15.75" customHeight="1">
      <c r="A6" s="1195" t="str">
        <f>+i.04108!A7</f>
        <v>Даатгагчийн нэр:</v>
      </c>
      <c r="B6" s="1196"/>
      <c r="C6" s="1196"/>
      <c r="D6" s="1196"/>
      <c r="H6" s="640"/>
      <c r="I6" s="1197" t="str">
        <f>+i.04108!F7</f>
        <v>..... оны .... сарын ...-ны өдөр</v>
      </c>
      <c r="J6" s="1197"/>
      <c r="K6" s="1197"/>
      <c r="L6" s="242"/>
      <c r="M6" s="1208"/>
      <c r="N6" s="1173"/>
      <c r="O6" s="1173"/>
      <c r="P6" s="1173"/>
      <c r="Q6" s="641"/>
      <c r="R6" s="242"/>
      <c r="S6" s="242"/>
      <c r="T6" s="242"/>
      <c r="U6" s="242"/>
      <c r="V6" s="242"/>
      <c r="W6" s="242"/>
      <c r="X6" s="242"/>
      <c r="Y6" s="242"/>
      <c r="Z6" s="242"/>
      <c r="AA6" s="242"/>
    </row>
    <row r="7" spans="1:27" ht="12.75" customHeight="1">
      <c r="A7" s="641"/>
      <c r="B7" s="242"/>
      <c r="C7" s="962"/>
      <c r="D7" s="242"/>
      <c r="E7" s="242"/>
      <c r="H7" s="242"/>
      <c r="I7" s="242"/>
      <c r="J7" s="1193" t="s">
        <v>1</v>
      </c>
      <c r="K7" s="1173"/>
      <c r="L7" s="242"/>
      <c r="M7" s="242"/>
      <c r="N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</row>
    <row r="8" spans="1:27" ht="12" customHeight="1">
      <c r="A8" s="1200" t="s">
        <v>2</v>
      </c>
      <c r="B8" s="1203" t="s">
        <v>743</v>
      </c>
      <c r="C8" s="1203" t="s">
        <v>744</v>
      </c>
      <c r="D8" s="1177" t="s">
        <v>293</v>
      </c>
      <c r="E8" s="1206"/>
      <c r="F8" s="1206"/>
      <c r="G8" s="1206"/>
      <c r="H8" s="1206"/>
      <c r="I8" s="1206"/>
      <c r="J8" s="1207"/>
      <c r="K8" s="1203" t="s">
        <v>745</v>
      </c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</row>
    <row r="9" spans="1:27" ht="13.5" customHeight="1">
      <c r="A9" s="1201"/>
      <c r="B9" s="1204"/>
      <c r="C9" s="1204"/>
      <c r="D9" s="1209" t="s">
        <v>688</v>
      </c>
      <c r="E9" s="1210" t="s">
        <v>689</v>
      </c>
      <c r="F9" s="1211"/>
      <c r="G9" s="1206"/>
      <c r="H9" s="1206"/>
      <c r="I9" s="1207"/>
      <c r="J9" s="1209" t="s">
        <v>746</v>
      </c>
      <c r="K9" s="1204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</row>
    <row r="10" spans="1:27" ht="39">
      <c r="A10" s="1202"/>
      <c r="B10" s="1205"/>
      <c r="C10" s="1204"/>
      <c r="D10" s="1205"/>
      <c r="E10" s="647" t="s">
        <v>747</v>
      </c>
      <c r="F10" s="648" t="s">
        <v>748</v>
      </c>
      <c r="G10" s="649" t="s">
        <v>749</v>
      </c>
      <c r="H10" s="650" t="s">
        <v>750</v>
      </c>
      <c r="I10" s="650" t="s">
        <v>288</v>
      </c>
      <c r="J10" s="1205"/>
      <c r="K10" s="1205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</row>
    <row r="11" spans="1:27" s="656" customFormat="1" ht="13">
      <c r="A11" s="651" t="s">
        <v>6</v>
      </c>
      <c r="B11" s="1002" t="s">
        <v>7</v>
      </c>
      <c r="C11" s="1006">
        <v>1</v>
      </c>
      <c r="D11" s="1004">
        <v>2</v>
      </c>
      <c r="E11" s="430">
        <v>3</v>
      </c>
      <c r="F11" s="653">
        <v>4</v>
      </c>
      <c r="G11" s="654">
        <v>5</v>
      </c>
      <c r="H11" s="428">
        <v>6</v>
      </c>
      <c r="I11" s="428">
        <v>7</v>
      </c>
      <c r="J11" s="652">
        <v>8</v>
      </c>
      <c r="K11" s="652">
        <v>9</v>
      </c>
      <c r="L11" s="655"/>
      <c r="M11" s="655"/>
      <c r="N11" s="655"/>
      <c r="O11" s="655"/>
      <c r="P11" s="655"/>
      <c r="Q11" s="655"/>
      <c r="R11" s="655"/>
      <c r="S11" s="655"/>
      <c r="T11" s="655"/>
      <c r="U11" s="655"/>
      <c r="V11" s="655"/>
      <c r="W11" s="655"/>
      <c r="X11" s="655"/>
      <c r="Y11" s="655"/>
    </row>
    <row r="12" spans="1:27" ht="39" customHeight="1">
      <c r="A12" s="657" t="s">
        <v>441</v>
      </c>
      <c r="B12" s="1003" t="s">
        <v>752</v>
      </c>
      <c r="C12" s="946">
        <f>SUM(C13:INDEX(C:C,ROWS(C:C)))</f>
        <v>0</v>
      </c>
      <c r="D12" s="946">
        <f>SUM(D13:INDEX(D:D,ROWS(D:D)))</f>
        <v>0</v>
      </c>
      <c r="E12" s="946">
        <f>SUM(E13:INDEX(E:E,ROWS(E:E)))</f>
        <v>0</v>
      </c>
      <c r="F12" s="946">
        <f>SUM(F13:INDEX(F:F,ROWS(F:F)))</f>
        <v>0</v>
      </c>
      <c r="G12" s="946">
        <f>SUM(G13:INDEX(G:G,ROWS(G:G)))</f>
        <v>0</v>
      </c>
      <c r="H12" s="946">
        <f>SUM(H13:INDEX(H:H,ROWS(H:H)))</f>
        <v>0</v>
      </c>
      <c r="I12" s="946">
        <f>SUM(I13:INDEX(I:I,ROWS(I:I)))</f>
        <v>0</v>
      </c>
      <c r="J12" s="946">
        <f>SUM(J13:INDEX(J:J,ROWS(J:J)))</f>
        <v>0</v>
      </c>
      <c r="K12" s="946">
        <f>SUM(K13:INDEX(K:K,ROWS(K:K)))</f>
        <v>0</v>
      </c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</row>
    <row r="13" spans="1:27" ht="12.75" customHeight="1">
      <c r="A13" s="999" t="s">
        <v>85</v>
      </c>
      <c r="B13" s="62" t="s">
        <v>755</v>
      </c>
      <c r="C13" s="1005"/>
      <c r="D13" s="58"/>
      <c r="E13" s="58"/>
      <c r="F13" s="58"/>
      <c r="G13" s="58"/>
      <c r="H13" s="58"/>
      <c r="I13" s="58"/>
      <c r="J13" s="1000">
        <f t="shared" ref="J13:J62" si="0">SUM(D13:I13)</f>
        <v>0</v>
      </c>
      <c r="K13" s="58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</row>
    <row r="14" spans="1:27" ht="12.75" customHeight="1">
      <c r="A14" s="999" t="s">
        <v>360</v>
      </c>
      <c r="B14" s="62" t="s">
        <v>755</v>
      </c>
      <c r="C14" s="58"/>
      <c r="D14" s="58"/>
      <c r="E14" s="58"/>
      <c r="F14" s="58"/>
      <c r="G14" s="58"/>
      <c r="H14" s="58"/>
      <c r="I14" s="58"/>
      <c r="J14" s="1000">
        <f t="shared" si="0"/>
        <v>0</v>
      </c>
      <c r="K14" s="58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</row>
    <row r="15" spans="1:27">
      <c r="A15" s="999" t="s">
        <v>367</v>
      </c>
      <c r="B15" s="62" t="s">
        <v>755</v>
      </c>
      <c r="C15" s="58"/>
      <c r="D15" s="58"/>
      <c r="E15" s="58"/>
      <c r="F15" s="58"/>
      <c r="G15" s="58"/>
      <c r="H15" s="58"/>
      <c r="I15" s="58"/>
      <c r="J15" s="1000">
        <f t="shared" si="0"/>
        <v>0</v>
      </c>
      <c r="K15" s="58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</row>
    <row r="16" spans="1:27">
      <c r="A16" s="999" t="s">
        <v>375</v>
      </c>
      <c r="B16" s="62" t="s">
        <v>755</v>
      </c>
      <c r="C16" s="58"/>
      <c r="D16" s="58"/>
      <c r="E16" s="58"/>
      <c r="F16" s="58"/>
      <c r="G16" s="58"/>
      <c r="H16" s="58"/>
      <c r="I16" s="58"/>
      <c r="J16" s="1000">
        <f t="shared" si="0"/>
        <v>0</v>
      </c>
      <c r="K16" s="58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</row>
    <row r="17" spans="1:25">
      <c r="A17" s="999" t="s">
        <v>382</v>
      </c>
      <c r="B17" s="62" t="s">
        <v>755</v>
      </c>
      <c r="C17" s="58"/>
      <c r="D17" s="58"/>
      <c r="E17" s="58"/>
      <c r="F17" s="58"/>
      <c r="G17" s="58"/>
      <c r="H17" s="58"/>
      <c r="I17" s="58"/>
      <c r="J17" s="1000">
        <f t="shared" si="0"/>
        <v>0</v>
      </c>
      <c r="K17" s="58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</row>
    <row r="18" spans="1:25">
      <c r="A18" s="999" t="s">
        <v>401</v>
      </c>
      <c r="B18" s="62" t="s">
        <v>755</v>
      </c>
      <c r="C18" s="58"/>
      <c r="D18" s="58"/>
      <c r="E18" s="58"/>
      <c r="F18" s="58"/>
      <c r="G18" s="58"/>
      <c r="H18" s="58"/>
      <c r="I18" s="58"/>
      <c r="J18" s="1000">
        <f t="shared" si="0"/>
        <v>0</v>
      </c>
      <c r="K18" s="58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</row>
    <row r="19" spans="1:25">
      <c r="A19" s="999" t="s">
        <v>403</v>
      </c>
      <c r="B19" s="62" t="s">
        <v>755</v>
      </c>
      <c r="C19" s="58"/>
      <c r="D19" s="58"/>
      <c r="E19" s="58"/>
      <c r="F19" s="58"/>
      <c r="G19" s="58"/>
      <c r="H19" s="58"/>
      <c r="I19" s="58"/>
      <c r="J19" s="1000">
        <f t="shared" si="0"/>
        <v>0</v>
      </c>
      <c r="K19" s="58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</row>
    <row r="20" spans="1:25">
      <c r="A20" s="999" t="s">
        <v>407</v>
      </c>
      <c r="B20" s="62" t="s">
        <v>755</v>
      </c>
      <c r="C20" s="58"/>
      <c r="D20" s="58"/>
      <c r="E20" s="58"/>
      <c r="F20" s="58"/>
      <c r="G20" s="58"/>
      <c r="H20" s="58"/>
      <c r="I20" s="58"/>
      <c r="J20" s="1000">
        <f t="shared" si="0"/>
        <v>0</v>
      </c>
      <c r="K20" s="58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</row>
    <row r="21" spans="1:25">
      <c r="A21" s="999" t="s">
        <v>411</v>
      </c>
      <c r="B21" s="62" t="s">
        <v>755</v>
      </c>
      <c r="C21" s="58"/>
      <c r="D21" s="58"/>
      <c r="E21" s="58"/>
      <c r="F21" s="58"/>
      <c r="G21" s="58"/>
      <c r="H21" s="58"/>
      <c r="I21" s="58"/>
      <c r="J21" s="1000">
        <f t="shared" si="0"/>
        <v>0</v>
      </c>
      <c r="K21" s="58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</row>
    <row r="22" spans="1:25">
      <c r="A22" s="999" t="s">
        <v>418</v>
      </c>
      <c r="B22" s="62" t="s">
        <v>755</v>
      </c>
      <c r="C22" s="58"/>
      <c r="D22" s="58"/>
      <c r="E22" s="58"/>
      <c r="F22" s="58"/>
      <c r="G22" s="58"/>
      <c r="H22" s="58"/>
      <c r="I22" s="58"/>
      <c r="J22" s="1000">
        <f t="shared" si="0"/>
        <v>0</v>
      </c>
      <c r="K22" s="58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</row>
    <row r="23" spans="1:25">
      <c r="A23" s="999" t="s">
        <v>1051</v>
      </c>
      <c r="B23" s="62" t="s">
        <v>755</v>
      </c>
      <c r="C23" s="58"/>
      <c r="D23" s="58"/>
      <c r="E23" s="58"/>
      <c r="F23" s="58"/>
      <c r="G23" s="58"/>
      <c r="H23" s="58"/>
      <c r="I23" s="58"/>
      <c r="J23" s="1000">
        <f t="shared" si="0"/>
        <v>0</v>
      </c>
      <c r="K23" s="58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</row>
    <row r="24" spans="1:25">
      <c r="A24" s="999" t="s">
        <v>1052</v>
      </c>
      <c r="B24" s="62" t="s">
        <v>755</v>
      </c>
      <c r="C24" s="58"/>
      <c r="D24" s="58"/>
      <c r="E24" s="58"/>
      <c r="F24" s="58"/>
      <c r="G24" s="58"/>
      <c r="H24" s="58"/>
      <c r="I24" s="58"/>
      <c r="J24" s="1000">
        <f t="shared" si="0"/>
        <v>0</v>
      </c>
      <c r="K24" s="58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</row>
    <row r="25" spans="1:25">
      <c r="A25" s="999" t="s">
        <v>1053</v>
      </c>
      <c r="B25" s="62" t="s">
        <v>755</v>
      </c>
      <c r="C25" s="58"/>
      <c r="D25" s="58"/>
      <c r="E25" s="58"/>
      <c r="F25" s="58"/>
      <c r="G25" s="58"/>
      <c r="H25" s="58"/>
      <c r="I25" s="58"/>
      <c r="J25" s="1000">
        <f t="shared" si="0"/>
        <v>0</v>
      </c>
      <c r="K25" s="58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</row>
    <row r="26" spans="1:25">
      <c r="A26" s="999" t="s">
        <v>1054</v>
      </c>
      <c r="B26" s="62" t="s">
        <v>755</v>
      </c>
      <c r="C26" s="58"/>
      <c r="D26" s="58"/>
      <c r="E26" s="58"/>
      <c r="F26" s="58"/>
      <c r="G26" s="58"/>
      <c r="H26" s="58"/>
      <c r="I26" s="58"/>
      <c r="J26" s="1000">
        <f t="shared" si="0"/>
        <v>0</v>
      </c>
      <c r="K26" s="58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</row>
    <row r="27" spans="1:25">
      <c r="A27" s="999" t="s">
        <v>1055</v>
      </c>
      <c r="B27" s="62" t="s">
        <v>755</v>
      </c>
      <c r="C27" s="58"/>
      <c r="D27" s="58"/>
      <c r="E27" s="58"/>
      <c r="F27" s="58"/>
      <c r="G27" s="58"/>
      <c r="H27" s="58"/>
      <c r="I27" s="58"/>
      <c r="J27" s="1000">
        <f t="shared" si="0"/>
        <v>0</v>
      </c>
      <c r="K27" s="58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</row>
    <row r="28" spans="1:25">
      <c r="A28" s="999" t="s">
        <v>1056</v>
      </c>
      <c r="B28" s="62" t="s">
        <v>755</v>
      </c>
      <c r="C28" s="58"/>
      <c r="D28" s="58"/>
      <c r="E28" s="58"/>
      <c r="F28" s="58"/>
      <c r="G28" s="58"/>
      <c r="H28" s="58"/>
      <c r="I28" s="58"/>
      <c r="J28" s="1000">
        <f t="shared" si="0"/>
        <v>0</v>
      </c>
      <c r="K28" s="58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</row>
    <row r="29" spans="1:25">
      <c r="A29" s="999" t="s">
        <v>1057</v>
      </c>
      <c r="B29" s="62" t="s">
        <v>755</v>
      </c>
      <c r="C29" s="58"/>
      <c r="D29" s="58"/>
      <c r="E29" s="58"/>
      <c r="F29" s="58"/>
      <c r="G29" s="58"/>
      <c r="H29" s="58"/>
      <c r="I29" s="58"/>
      <c r="J29" s="1000">
        <f t="shared" si="0"/>
        <v>0</v>
      </c>
      <c r="K29" s="58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</row>
    <row r="30" spans="1:25">
      <c r="A30" s="999" t="s">
        <v>1058</v>
      </c>
      <c r="B30" s="62" t="s">
        <v>755</v>
      </c>
      <c r="C30" s="58"/>
      <c r="D30" s="58"/>
      <c r="E30" s="58"/>
      <c r="F30" s="58"/>
      <c r="G30" s="58"/>
      <c r="H30" s="58"/>
      <c r="I30" s="58"/>
      <c r="J30" s="1000">
        <f t="shared" si="0"/>
        <v>0</v>
      </c>
      <c r="K30" s="58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</row>
    <row r="31" spans="1:25">
      <c r="A31" s="999" t="s">
        <v>1059</v>
      </c>
      <c r="B31" s="62" t="s">
        <v>755</v>
      </c>
      <c r="C31" s="58"/>
      <c r="D31" s="58"/>
      <c r="E31" s="58"/>
      <c r="F31" s="58"/>
      <c r="G31" s="58"/>
      <c r="H31" s="58"/>
      <c r="I31" s="58"/>
      <c r="J31" s="1000">
        <f t="shared" si="0"/>
        <v>0</v>
      </c>
      <c r="K31" s="58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</row>
    <row r="32" spans="1:25">
      <c r="A32" s="999" t="s">
        <v>1060</v>
      </c>
      <c r="B32" s="62" t="s">
        <v>755</v>
      </c>
      <c r="C32" s="58"/>
      <c r="D32" s="58"/>
      <c r="E32" s="58"/>
      <c r="F32" s="58"/>
      <c r="G32" s="58"/>
      <c r="H32" s="58"/>
      <c r="I32" s="58"/>
      <c r="J32" s="1000">
        <f t="shared" si="0"/>
        <v>0</v>
      </c>
      <c r="K32" s="58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</row>
    <row r="33" spans="1:25">
      <c r="A33" s="999" t="s">
        <v>1061</v>
      </c>
      <c r="B33" s="62" t="s">
        <v>755</v>
      </c>
      <c r="C33" s="58"/>
      <c r="D33" s="58"/>
      <c r="E33" s="58"/>
      <c r="F33" s="58"/>
      <c r="G33" s="58"/>
      <c r="H33" s="58"/>
      <c r="I33" s="58"/>
      <c r="J33" s="1000">
        <f t="shared" si="0"/>
        <v>0</v>
      </c>
      <c r="K33" s="58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</row>
    <row r="34" spans="1:25">
      <c r="A34" s="999" t="s">
        <v>1062</v>
      </c>
      <c r="B34" s="62" t="s">
        <v>755</v>
      </c>
      <c r="C34" s="58"/>
      <c r="D34" s="58"/>
      <c r="E34" s="58"/>
      <c r="F34" s="58"/>
      <c r="G34" s="58"/>
      <c r="H34" s="58"/>
      <c r="I34" s="58"/>
      <c r="J34" s="1000">
        <f t="shared" si="0"/>
        <v>0</v>
      </c>
      <c r="K34" s="58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</row>
    <row r="35" spans="1:25">
      <c r="A35" s="999" t="s">
        <v>1063</v>
      </c>
      <c r="B35" s="62" t="s">
        <v>755</v>
      </c>
      <c r="C35" s="58"/>
      <c r="D35" s="58"/>
      <c r="E35" s="58"/>
      <c r="F35" s="58"/>
      <c r="G35" s="58"/>
      <c r="H35" s="58"/>
      <c r="I35" s="58"/>
      <c r="J35" s="1000">
        <f t="shared" si="0"/>
        <v>0</v>
      </c>
      <c r="K35" s="58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</row>
    <row r="36" spans="1:25">
      <c r="A36" s="999" t="s">
        <v>1064</v>
      </c>
      <c r="B36" s="62" t="s">
        <v>755</v>
      </c>
      <c r="C36" s="58"/>
      <c r="D36" s="58"/>
      <c r="E36" s="58"/>
      <c r="F36" s="58"/>
      <c r="G36" s="58"/>
      <c r="H36" s="58"/>
      <c r="I36" s="58"/>
      <c r="J36" s="1000">
        <f t="shared" si="0"/>
        <v>0</v>
      </c>
      <c r="K36" s="58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</row>
    <row r="37" spans="1:25">
      <c r="A37" s="999" t="s">
        <v>1065</v>
      </c>
      <c r="B37" s="62" t="s">
        <v>755</v>
      </c>
      <c r="C37" s="58"/>
      <c r="D37" s="58"/>
      <c r="E37" s="58"/>
      <c r="F37" s="58"/>
      <c r="G37" s="58"/>
      <c r="H37" s="58"/>
      <c r="I37" s="58"/>
      <c r="J37" s="1000">
        <f t="shared" si="0"/>
        <v>0</v>
      </c>
      <c r="K37" s="58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</row>
    <row r="38" spans="1:25">
      <c r="A38" s="999" t="s">
        <v>1066</v>
      </c>
      <c r="B38" s="62" t="s">
        <v>755</v>
      </c>
      <c r="C38" s="58"/>
      <c r="D38" s="58"/>
      <c r="E38" s="58"/>
      <c r="F38" s="58"/>
      <c r="G38" s="58"/>
      <c r="H38" s="58"/>
      <c r="I38" s="58"/>
      <c r="J38" s="1000">
        <f t="shared" si="0"/>
        <v>0</v>
      </c>
      <c r="K38" s="58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</row>
    <row r="39" spans="1:25">
      <c r="A39" s="999" t="s">
        <v>1067</v>
      </c>
      <c r="B39" s="62" t="s">
        <v>755</v>
      </c>
      <c r="C39" s="58"/>
      <c r="D39" s="58"/>
      <c r="E39" s="58"/>
      <c r="F39" s="58"/>
      <c r="G39" s="58"/>
      <c r="H39" s="58"/>
      <c r="I39" s="58"/>
      <c r="J39" s="1000">
        <f t="shared" si="0"/>
        <v>0</v>
      </c>
      <c r="K39" s="58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</row>
    <row r="40" spans="1:25">
      <c r="A40" s="999" t="s">
        <v>1068</v>
      </c>
      <c r="B40" s="62" t="s">
        <v>755</v>
      </c>
      <c r="C40" s="58"/>
      <c r="D40" s="58"/>
      <c r="E40" s="58"/>
      <c r="F40" s="58"/>
      <c r="G40" s="58"/>
      <c r="H40" s="58"/>
      <c r="I40" s="58"/>
      <c r="J40" s="1000">
        <f t="shared" si="0"/>
        <v>0</v>
      </c>
      <c r="K40" s="58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</row>
    <row r="41" spans="1:25">
      <c r="A41" s="999" t="s">
        <v>1069</v>
      </c>
      <c r="B41" s="62" t="s">
        <v>755</v>
      </c>
      <c r="C41" s="58"/>
      <c r="D41" s="58"/>
      <c r="E41" s="58"/>
      <c r="F41" s="58"/>
      <c r="G41" s="58"/>
      <c r="H41" s="58"/>
      <c r="I41" s="58"/>
      <c r="J41" s="1000">
        <f t="shared" si="0"/>
        <v>0</v>
      </c>
      <c r="K41" s="58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</row>
    <row r="42" spans="1:25">
      <c r="A42" s="999" t="s">
        <v>1070</v>
      </c>
      <c r="B42" s="62" t="s">
        <v>751</v>
      </c>
      <c r="C42" s="58"/>
      <c r="D42" s="58"/>
      <c r="E42" s="58"/>
      <c r="F42" s="58"/>
      <c r="G42" s="58"/>
      <c r="H42" s="58"/>
      <c r="I42" s="58"/>
      <c r="J42" s="1000">
        <f t="shared" si="0"/>
        <v>0</v>
      </c>
      <c r="K42" s="58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</row>
    <row r="43" spans="1:25">
      <c r="A43" s="999"/>
      <c r="B43" s="62"/>
      <c r="C43" s="58"/>
      <c r="D43" s="58"/>
      <c r="E43" s="58"/>
      <c r="F43" s="58"/>
      <c r="G43" s="58"/>
      <c r="H43" s="58"/>
      <c r="I43" s="58"/>
      <c r="J43" s="1000">
        <f t="shared" si="0"/>
        <v>0</v>
      </c>
      <c r="K43" s="58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</row>
    <row r="44" spans="1:25">
      <c r="A44" s="999"/>
      <c r="B44" s="62"/>
      <c r="C44" s="58"/>
      <c r="D44" s="58"/>
      <c r="E44" s="58"/>
      <c r="F44" s="58"/>
      <c r="G44" s="58"/>
      <c r="H44" s="58"/>
      <c r="I44" s="58"/>
      <c r="J44" s="1000">
        <f t="shared" si="0"/>
        <v>0</v>
      </c>
      <c r="K44" s="58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</row>
    <row r="45" spans="1:25">
      <c r="A45" s="999"/>
      <c r="B45" s="62"/>
      <c r="C45" s="58"/>
      <c r="D45" s="58"/>
      <c r="E45" s="58"/>
      <c r="F45" s="58"/>
      <c r="G45" s="58"/>
      <c r="H45" s="58"/>
      <c r="I45" s="58"/>
      <c r="J45" s="1000">
        <f t="shared" si="0"/>
        <v>0</v>
      </c>
      <c r="K45" s="58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</row>
    <row r="46" spans="1:25">
      <c r="A46" s="999"/>
      <c r="B46" s="62"/>
      <c r="C46" s="58"/>
      <c r="D46" s="58"/>
      <c r="E46" s="58"/>
      <c r="F46" s="58"/>
      <c r="G46" s="58"/>
      <c r="H46" s="58"/>
      <c r="I46" s="58"/>
      <c r="J46" s="1000">
        <f t="shared" si="0"/>
        <v>0</v>
      </c>
      <c r="K46" s="58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</row>
    <row r="47" spans="1:25">
      <c r="A47" s="999"/>
      <c r="B47" s="62"/>
      <c r="C47" s="58"/>
      <c r="D47" s="58"/>
      <c r="E47" s="58"/>
      <c r="F47" s="58"/>
      <c r="G47" s="58"/>
      <c r="H47" s="58"/>
      <c r="I47" s="58"/>
      <c r="J47" s="1000">
        <f t="shared" si="0"/>
        <v>0</v>
      </c>
      <c r="K47" s="58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</row>
    <row r="48" spans="1:25">
      <c r="A48" s="999"/>
      <c r="B48" s="62"/>
      <c r="C48" s="58"/>
      <c r="D48" s="58"/>
      <c r="E48" s="58"/>
      <c r="F48" s="58"/>
      <c r="G48" s="58"/>
      <c r="H48" s="58"/>
      <c r="I48" s="58"/>
      <c r="J48" s="1000">
        <f t="shared" si="0"/>
        <v>0</v>
      </c>
      <c r="K48" s="58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</row>
    <row r="49" spans="1:25">
      <c r="A49" s="999"/>
      <c r="B49" s="62"/>
      <c r="C49" s="58"/>
      <c r="D49" s="58"/>
      <c r="E49" s="58"/>
      <c r="F49" s="58"/>
      <c r="G49" s="58"/>
      <c r="H49" s="58"/>
      <c r="I49" s="58"/>
      <c r="J49" s="1000">
        <f t="shared" si="0"/>
        <v>0</v>
      </c>
      <c r="K49" s="58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</row>
    <row r="50" spans="1:25">
      <c r="A50" s="999"/>
      <c r="B50" s="62"/>
      <c r="C50" s="58"/>
      <c r="D50" s="58"/>
      <c r="E50" s="58"/>
      <c r="F50" s="58"/>
      <c r="G50" s="58"/>
      <c r="H50" s="58"/>
      <c r="I50" s="58"/>
      <c r="J50" s="1000">
        <f t="shared" si="0"/>
        <v>0</v>
      </c>
      <c r="K50" s="58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</row>
    <row r="51" spans="1:25">
      <c r="A51" s="999"/>
      <c r="B51" s="62"/>
      <c r="C51" s="58"/>
      <c r="D51" s="58"/>
      <c r="E51" s="58"/>
      <c r="F51" s="58"/>
      <c r="G51" s="58"/>
      <c r="H51" s="58"/>
      <c r="I51" s="58"/>
      <c r="J51" s="1000">
        <f t="shared" si="0"/>
        <v>0</v>
      </c>
      <c r="K51" s="58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</row>
    <row r="52" spans="1:25">
      <c r="A52" s="999"/>
      <c r="B52" s="62"/>
      <c r="C52" s="58"/>
      <c r="D52" s="58"/>
      <c r="E52" s="58"/>
      <c r="F52" s="58"/>
      <c r="G52" s="58"/>
      <c r="H52" s="58"/>
      <c r="I52" s="58"/>
      <c r="J52" s="1000">
        <f t="shared" si="0"/>
        <v>0</v>
      </c>
      <c r="K52" s="58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</row>
    <row r="53" spans="1:25">
      <c r="A53" s="999"/>
      <c r="B53" s="62"/>
      <c r="C53" s="58"/>
      <c r="D53" s="58"/>
      <c r="E53" s="58"/>
      <c r="F53" s="58"/>
      <c r="G53" s="58"/>
      <c r="H53" s="58"/>
      <c r="I53" s="58"/>
      <c r="J53" s="1000">
        <f t="shared" si="0"/>
        <v>0</v>
      </c>
      <c r="K53" s="58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25">
      <c r="A54" s="999"/>
      <c r="B54" s="62"/>
      <c r="C54" s="58"/>
      <c r="D54" s="58"/>
      <c r="E54" s="58"/>
      <c r="F54" s="58"/>
      <c r="G54" s="58"/>
      <c r="H54" s="58"/>
      <c r="I54" s="58"/>
      <c r="J54" s="1000">
        <f t="shared" si="0"/>
        <v>0</v>
      </c>
      <c r="K54" s="58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</row>
    <row r="55" spans="1:25">
      <c r="A55" s="999"/>
      <c r="B55" s="62"/>
      <c r="C55" s="58"/>
      <c r="D55" s="58"/>
      <c r="E55" s="58"/>
      <c r="F55" s="58"/>
      <c r="G55" s="58"/>
      <c r="H55" s="58"/>
      <c r="I55" s="58"/>
      <c r="J55" s="1000">
        <f t="shared" si="0"/>
        <v>0</v>
      </c>
      <c r="K55" s="58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</row>
    <row r="56" spans="1:25">
      <c r="A56" s="999"/>
      <c r="B56" s="62"/>
      <c r="C56" s="58"/>
      <c r="D56" s="58"/>
      <c r="E56" s="58"/>
      <c r="F56" s="58"/>
      <c r="G56" s="58"/>
      <c r="H56" s="58"/>
      <c r="I56" s="58"/>
      <c r="J56" s="1000">
        <f t="shared" si="0"/>
        <v>0</v>
      </c>
      <c r="K56" s="58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</row>
    <row r="57" spans="1:25">
      <c r="A57" s="999"/>
      <c r="B57" s="62"/>
      <c r="C57" s="58"/>
      <c r="D57" s="58"/>
      <c r="E57" s="58"/>
      <c r="F57" s="58"/>
      <c r="G57" s="58"/>
      <c r="H57" s="58"/>
      <c r="I57" s="58"/>
      <c r="J57" s="1000">
        <f t="shared" si="0"/>
        <v>0</v>
      </c>
      <c r="K57" s="58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</row>
    <row r="58" spans="1:25">
      <c r="A58" s="999"/>
      <c r="B58" s="62"/>
      <c r="C58" s="58"/>
      <c r="D58" s="58"/>
      <c r="E58" s="58"/>
      <c r="F58" s="58"/>
      <c r="G58" s="58"/>
      <c r="H58" s="58"/>
      <c r="I58" s="58"/>
      <c r="J58" s="1000">
        <f t="shared" si="0"/>
        <v>0</v>
      </c>
      <c r="K58" s="58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</row>
    <row r="59" spans="1:25">
      <c r="A59" s="999"/>
      <c r="B59" s="62"/>
      <c r="C59" s="58"/>
      <c r="D59" s="58"/>
      <c r="E59" s="58"/>
      <c r="F59" s="58"/>
      <c r="G59" s="58"/>
      <c r="H59" s="58"/>
      <c r="I59" s="58"/>
      <c r="J59" s="1000">
        <f t="shared" si="0"/>
        <v>0</v>
      </c>
      <c r="K59" s="58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</row>
    <row r="60" spans="1:25">
      <c r="A60" s="999"/>
      <c r="B60" s="62"/>
      <c r="C60" s="58"/>
      <c r="D60" s="58"/>
      <c r="E60" s="58"/>
      <c r="F60" s="58"/>
      <c r="G60" s="58"/>
      <c r="H60" s="58"/>
      <c r="I60" s="58"/>
      <c r="J60" s="1000">
        <f t="shared" si="0"/>
        <v>0</v>
      </c>
      <c r="K60" s="58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</row>
    <row r="61" spans="1:25">
      <c r="A61" s="999"/>
      <c r="B61" s="62"/>
      <c r="C61" s="58"/>
      <c r="D61" s="58"/>
      <c r="E61" s="58"/>
      <c r="F61" s="58"/>
      <c r="G61" s="58"/>
      <c r="H61" s="58"/>
      <c r="I61" s="58"/>
      <c r="J61" s="1000">
        <f t="shared" si="0"/>
        <v>0</v>
      </c>
      <c r="K61" s="58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</row>
    <row r="62" spans="1:25">
      <c r="A62" s="999"/>
      <c r="B62" s="62"/>
      <c r="C62" s="58"/>
      <c r="D62" s="58"/>
      <c r="E62" s="58"/>
      <c r="F62" s="58"/>
      <c r="G62" s="58"/>
      <c r="H62" s="58"/>
      <c r="I62" s="58"/>
      <c r="J62" s="1000">
        <f t="shared" si="0"/>
        <v>0</v>
      </c>
      <c r="K62" s="58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</row>
    <row r="63" spans="1:25">
      <c r="A63" s="444"/>
      <c r="B63" s="227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</row>
    <row r="64" spans="1:25" ht="18">
      <c r="A64" s="661"/>
      <c r="B64" s="662" t="str">
        <f>+i.04108!C32</f>
        <v>тамга тэмдэг</v>
      </c>
      <c r="C64" s="661"/>
      <c r="D64" s="661"/>
      <c r="E64" s="661"/>
      <c r="F64" s="661"/>
      <c r="G64" s="661"/>
      <c r="H64" s="34"/>
      <c r="I64" s="34"/>
      <c r="J64" s="34"/>
      <c r="K64" s="34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</row>
    <row r="65" spans="1:25" s="34" customFormat="1" ht="15" customHeight="1">
      <c r="A65" s="661"/>
      <c r="B65" s="661"/>
      <c r="C65" s="661"/>
      <c r="D65" s="661"/>
      <c r="E65" s="661"/>
      <c r="F65" s="661"/>
      <c r="G65" s="247"/>
      <c r="H65" s="242"/>
      <c r="I65" s="242"/>
      <c r="J65" s="242"/>
      <c r="K65" s="242"/>
    </row>
    <row r="66" spans="1:25" ht="18">
      <c r="A66" s="661"/>
      <c r="B66" s="661" t="str">
        <f>+i.04108!C34</f>
        <v xml:space="preserve">ТАЙЛАН ГАРГАСАН:    </v>
      </c>
      <c r="C66" s="661"/>
      <c r="D66" s="661"/>
      <c r="E66" s="661"/>
      <c r="F66" s="661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5" ht="19.5" customHeight="1">
      <c r="A67" s="661"/>
      <c r="B67" s="661"/>
      <c r="C67" s="661"/>
      <c r="D67" s="661"/>
      <c r="E67" s="661"/>
      <c r="F67" s="661"/>
      <c r="G67" s="247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5" ht="18">
      <c r="A68" s="661"/>
      <c r="B68" s="661" t="str">
        <f>+i.04108!C36</f>
        <v xml:space="preserve"> Гүйцэтгэх захирал</v>
      </c>
      <c r="D68" s="661" t="str">
        <f>+i.04108!D36</f>
        <v xml:space="preserve">/................................../   </v>
      </c>
      <c r="E68" s="661"/>
      <c r="F68" s="661" t="str">
        <f>+i.04108!F36</f>
        <v>/................................./</v>
      </c>
      <c r="G68" s="661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5" ht="18">
      <c r="A69" s="659"/>
      <c r="B69" s="661"/>
      <c r="D69" s="661"/>
      <c r="E69" s="661"/>
      <c r="F69" s="661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</row>
    <row r="70" spans="1:25" ht="18">
      <c r="A70" s="444"/>
      <c r="B70" s="661" t="str">
        <f>+i.04108!C38</f>
        <v xml:space="preserve"> Ерөнхий нягтлан бодогч  </v>
      </c>
      <c r="D70" s="661" t="str">
        <f>+i.04108!D38</f>
        <v xml:space="preserve">/.................................../   </v>
      </c>
      <c r="E70" s="661"/>
      <c r="F70" s="661" t="str">
        <f>+i.04108!F38</f>
        <v>/................................/</v>
      </c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</row>
    <row r="71" spans="1:25" ht="18">
      <c r="A71" s="444"/>
      <c r="B71" s="661"/>
      <c r="D71" s="661"/>
      <c r="E71" s="661"/>
      <c r="F71" s="661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</row>
    <row r="72" spans="1:25" ht="18">
      <c r="A72" s="444"/>
      <c r="B72" s="661" t="str">
        <f>+i.04108!C40</f>
        <v>...................................................</v>
      </c>
      <c r="D72" s="661" t="str">
        <f>+i.04108!D40</f>
        <v xml:space="preserve">/................................../   </v>
      </c>
      <c r="E72" s="661"/>
      <c r="F72" s="661" t="str">
        <f>+i.04108!F40</f>
        <v>/................................/</v>
      </c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</row>
    <row r="73" spans="1:25">
      <c r="A73" s="444"/>
      <c r="B73" s="227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</row>
    <row r="74" spans="1:25">
      <c r="A74" s="444"/>
      <c r="B74" s="227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</row>
    <row r="75" spans="1:25">
      <c r="A75" s="444"/>
      <c r="B75" s="227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</row>
    <row r="76" spans="1:25">
      <c r="A76" s="444"/>
      <c r="B76" s="227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</row>
    <row r="77" spans="1:25">
      <c r="A77" s="444"/>
      <c r="B77" s="227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</row>
    <row r="78" spans="1:25">
      <c r="A78" s="444"/>
      <c r="B78" s="227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</row>
    <row r="79" spans="1:25">
      <c r="A79" s="444"/>
      <c r="B79" s="227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</row>
    <row r="80" spans="1:25">
      <c r="A80" s="444"/>
      <c r="B80" s="227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</row>
    <row r="81" spans="1:25">
      <c r="A81" s="444"/>
      <c r="B81" s="227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</row>
    <row r="82" spans="1:25">
      <c r="A82" s="444"/>
      <c r="B82" s="227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</row>
    <row r="83" spans="1:25">
      <c r="A83" s="444"/>
      <c r="B83" s="227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</row>
    <row r="84" spans="1:25">
      <c r="A84" s="444"/>
      <c r="B84" s="227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</row>
    <row r="85" spans="1:25">
      <c r="A85" s="444"/>
      <c r="B85" s="227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</row>
    <row r="86" spans="1:25">
      <c r="A86" s="444"/>
      <c r="B86" s="227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</row>
    <row r="87" spans="1:25">
      <c r="A87" s="444"/>
      <c r="B87" s="227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</row>
    <row r="88" spans="1:25">
      <c r="A88" s="444"/>
      <c r="B88" s="227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</row>
    <row r="89" spans="1:25">
      <c r="A89" s="444"/>
      <c r="B89" s="227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</row>
    <row r="90" spans="1:25">
      <c r="A90" s="444"/>
      <c r="B90" s="227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</row>
    <row r="91" spans="1:25">
      <c r="A91" s="444"/>
      <c r="B91" s="227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</row>
    <row r="92" spans="1:25">
      <c r="A92" s="444"/>
      <c r="B92" s="227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</row>
    <row r="93" spans="1:25">
      <c r="A93" s="444"/>
      <c r="B93" s="227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</row>
    <row r="94" spans="1:25">
      <c r="A94" s="444"/>
      <c r="B94" s="227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</row>
    <row r="95" spans="1:25">
      <c r="A95" s="444"/>
      <c r="B95" s="227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</row>
    <row r="96" spans="1:25">
      <c r="A96" s="444"/>
      <c r="B96" s="227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</row>
    <row r="97" spans="1:25">
      <c r="A97" s="444"/>
      <c r="B97" s="227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</row>
    <row r="98" spans="1:25">
      <c r="A98" s="444"/>
      <c r="B98" s="227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</row>
    <row r="99" spans="1:25">
      <c r="A99" s="444"/>
      <c r="B99" s="227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</row>
    <row r="100" spans="1:25">
      <c r="A100" s="444"/>
      <c r="B100" s="227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</row>
    <row r="101" spans="1:25">
      <c r="A101" s="444"/>
      <c r="B101" s="227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</row>
    <row r="102" spans="1:25">
      <c r="A102" s="444"/>
      <c r="B102" s="227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</row>
    <row r="103" spans="1:25">
      <c r="A103" s="444"/>
      <c r="B103" s="227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</row>
    <row r="104" spans="1:25">
      <c r="A104" s="444"/>
      <c r="B104" s="227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</row>
    <row r="105" spans="1:25">
      <c r="A105" s="444"/>
      <c r="B105" s="227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</row>
    <row r="106" spans="1:25">
      <c r="A106" s="444"/>
      <c r="B106" s="227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</row>
    <row r="107" spans="1:25">
      <c r="A107" s="444"/>
      <c r="B107" s="227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</row>
    <row r="108" spans="1:25">
      <c r="A108" s="444"/>
      <c r="B108" s="227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</row>
    <row r="109" spans="1:25">
      <c r="A109" s="444"/>
      <c r="B109" s="227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</row>
    <row r="110" spans="1:25">
      <c r="A110" s="444"/>
      <c r="B110" s="227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</row>
    <row r="111" spans="1:25">
      <c r="A111" s="444"/>
      <c r="B111" s="227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</row>
    <row r="112" spans="1:25">
      <c r="A112" s="444"/>
      <c r="B112" s="227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</row>
    <row r="113" spans="1:25">
      <c r="A113" s="444"/>
      <c r="B113" s="227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</row>
    <row r="114" spans="1:25">
      <c r="A114" s="444"/>
      <c r="B114" s="227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</row>
    <row r="115" spans="1:25">
      <c r="A115" s="444"/>
      <c r="B115" s="227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</row>
    <row r="116" spans="1:25">
      <c r="A116" s="444"/>
      <c r="B116" s="227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</row>
    <row r="117" spans="1:25">
      <c r="A117" s="444"/>
      <c r="B117" s="227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</row>
    <row r="118" spans="1:25">
      <c r="A118" s="444"/>
      <c r="B118" s="227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</row>
    <row r="119" spans="1:25">
      <c r="A119" s="444"/>
      <c r="B119" s="227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</row>
    <row r="120" spans="1:25">
      <c r="A120" s="444"/>
      <c r="B120" s="227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</row>
    <row r="121" spans="1:25">
      <c r="A121" s="444"/>
      <c r="B121" s="227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</row>
    <row r="122" spans="1:25">
      <c r="A122" s="444"/>
      <c r="B122" s="227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</row>
    <row r="123" spans="1:25">
      <c r="A123" s="444"/>
      <c r="B123" s="227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</row>
    <row r="124" spans="1:25">
      <c r="A124" s="444"/>
      <c r="B124" s="227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</row>
    <row r="125" spans="1:25">
      <c r="A125" s="444"/>
      <c r="B125" s="227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</row>
    <row r="126" spans="1:25">
      <c r="A126" s="444"/>
      <c r="B126" s="227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</row>
    <row r="127" spans="1:25">
      <c r="A127" s="444"/>
      <c r="B127" s="227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</row>
    <row r="128" spans="1:25">
      <c r="A128" s="444"/>
      <c r="B128" s="227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</row>
    <row r="129" spans="1:25">
      <c r="A129" s="444"/>
      <c r="B129" s="227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</row>
    <row r="130" spans="1:25">
      <c r="A130" s="444"/>
      <c r="B130" s="227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</row>
    <row r="131" spans="1:25">
      <c r="A131" s="444"/>
      <c r="B131" s="227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</row>
    <row r="132" spans="1:25">
      <c r="A132" s="444"/>
      <c r="B132" s="227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</row>
    <row r="133" spans="1:25">
      <c r="A133" s="444"/>
      <c r="B133" s="227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</row>
    <row r="134" spans="1:25">
      <c r="A134" s="444"/>
      <c r="B134" s="227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</row>
    <row r="135" spans="1:25">
      <c r="A135" s="444"/>
      <c r="B135" s="227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</row>
    <row r="136" spans="1:25">
      <c r="A136" s="444"/>
      <c r="B136" s="227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</row>
    <row r="137" spans="1:25">
      <c r="A137" s="444"/>
      <c r="B137" s="227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</row>
    <row r="138" spans="1:25">
      <c r="A138" s="444"/>
      <c r="B138" s="227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</row>
    <row r="139" spans="1:25">
      <c r="A139" s="444"/>
      <c r="B139" s="227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</row>
    <row r="140" spans="1:25">
      <c r="A140" s="444"/>
      <c r="B140" s="227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</row>
    <row r="141" spans="1:25">
      <c r="A141" s="444"/>
      <c r="B141" s="227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</row>
    <row r="142" spans="1:25">
      <c r="A142" s="444"/>
      <c r="B142" s="227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</row>
    <row r="143" spans="1:25">
      <c r="A143" s="444"/>
      <c r="B143" s="227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</row>
    <row r="144" spans="1:25">
      <c r="A144" s="444"/>
      <c r="B144" s="227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</row>
    <row r="145" spans="1:25">
      <c r="A145" s="444"/>
      <c r="B145" s="227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</row>
    <row r="146" spans="1:25">
      <c r="A146" s="444"/>
      <c r="B146" s="227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</row>
    <row r="147" spans="1:25">
      <c r="A147" s="444"/>
      <c r="B147" s="227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</row>
    <row r="148" spans="1:25">
      <c r="A148" s="444"/>
      <c r="B148" s="227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</row>
    <row r="149" spans="1:25">
      <c r="A149" s="444"/>
      <c r="B149" s="227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</row>
    <row r="150" spans="1:25">
      <c r="A150" s="444"/>
      <c r="B150" s="227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</row>
    <row r="151" spans="1:25">
      <c r="A151" s="444"/>
      <c r="B151" s="227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</row>
    <row r="152" spans="1:25">
      <c r="A152" s="444"/>
      <c r="B152" s="227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</row>
    <row r="153" spans="1:25">
      <c r="A153" s="444"/>
      <c r="B153" s="227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</row>
    <row r="154" spans="1:25">
      <c r="A154" s="444"/>
      <c r="B154" s="227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</row>
    <row r="155" spans="1:25">
      <c r="A155" s="444"/>
      <c r="B155" s="227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</row>
    <row r="156" spans="1:25">
      <c r="A156" s="444"/>
      <c r="B156" s="227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</row>
    <row r="157" spans="1:25">
      <c r="A157" s="444"/>
      <c r="B157" s="227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</row>
    <row r="158" spans="1:25">
      <c r="A158" s="444"/>
      <c r="B158" s="227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</row>
    <row r="159" spans="1:25">
      <c r="A159" s="444"/>
      <c r="B159" s="227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</row>
    <row r="160" spans="1:25">
      <c r="A160" s="444"/>
      <c r="B160" s="227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</row>
    <row r="161" spans="1:25">
      <c r="A161" s="444"/>
      <c r="B161" s="227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</row>
    <row r="162" spans="1:25">
      <c r="A162" s="444"/>
      <c r="B162" s="227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</row>
    <row r="163" spans="1:25">
      <c r="A163" s="444"/>
      <c r="B163" s="227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</row>
    <row r="164" spans="1:25">
      <c r="A164" s="444"/>
      <c r="B164" s="227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</row>
    <row r="165" spans="1:25">
      <c r="A165" s="444"/>
      <c r="B165" s="227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</row>
    <row r="166" spans="1:25">
      <c r="A166" s="444"/>
      <c r="B166" s="227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</row>
    <row r="167" spans="1:25">
      <c r="A167" s="444"/>
      <c r="B167" s="227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</row>
    <row r="168" spans="1:25">
      <c r="A168" s="444"/>
      <c r="B168" s="227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</row>
    <row r="169" spans="1:25">
      <c r="A169" s="444"/>
      <c r="B169" s="227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</row>
    <row r="170" spans="1:25">
      <c r="A170" s="444"/>
      <c r="B170" s="227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</row>
    <row r="171" spans="1:25">
      <c r="A171" s="444"/>
      <c r="B171" s="227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</row>
    <row r="172" spans="1:25">
      <c r="A172" s="444"/>
      <c r="B172" s="227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</row>
    <row r="173" spans="1:25">
      <c r="A173" s="444"/>
      <c r="B173" s="227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</row>
    <row r="174" spans="1:25">
      <c r="A174" s="444"/>
      <c r="B174" s="227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</row>
    <row r="175" spans="1:25">
      <c r="A175" s="444"/>
      <c r="B175" s="227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</row>
    <row r="176" spans="1:25">
      <c r="A176" s="444"/>
      <c r="B176" s="227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</row>
    <row r="177" spans="1:25">
      <c r="A177" s="444"/>
      <c r="B177" s="227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</row>
    <row r="178" spans="1:25">
      <c r="A178" s="444"/>
      <c r="B178" s="227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</row>
    <row r="179" spans="1:25">
      <c r="A179" s="444"/>
      <c r="B179" s="227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</row>
    <row r="180" spans="1:25">
      <c r="A180" s="444"/>
      <c r="B180" s="227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</row>
    <row r="181" spans="1:25">
      <c r="A181" s="444"/>
      <c r="B181" s="227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</row>
    <row r="182" spans="1:25">
      <c r="A182" s="444"/>
      <c r="B182" s="227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</row>
    <row r="183" spans="1:25">
      <c r="A183" s="444"/>
      <c r="B183" s="227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</row>
    <row r="184" spans="1:25">
      <c r="A184" s="444"/>
      <c r="B184" s="227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</row>
    <row r="185" spans="1:25">
      <c r="A185" s="444"/>
      <c r="B185" s="227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</row>
    <row r="186" spans="1:25">
      <c r="A186" s="444"/>
      <c r="B186" s="227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</row>
    <row r="187" spans="1:25">
      <c r="A187" s="444"/>
      <c r="B187" s="227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</row>
    <row r="188" spans="1:25">
      <c r="A188" s="444"/>
      <c r="B188" s="227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</row>
    <row r="189" spans="1:25">
      <c r="A189" s="444"/>
      <c r="B189" s="227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</row>
    <row r="190" spans="1:25">
      <c r="A190" s="444"/>
      <c r="B190" s="227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</row>
    <row r="191" spans="1:25">
      <c r="A191" s="444"/>
      <c r="B191" s="227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</row>
    <row r="192" spans="1:25">
      <c r="A192" s="444"/>
      <c r="B192" s="227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</row>
    <row r="193" spans="1:25">
      <c r="A193" s="444"/>
      <c r="B193" s="227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</row>
    <row r="194" spans="1:25">
      <c r="A194" s="444"/>
      <c r="B194" s="227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</row>
    <row r="195" spans="1:25">
      <c r="A195" s="444"/>
      <c r="B195" s="227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</row>
    <row r="196" spans="1:25">
      <c r="A196" s="444"/>
      <c r="B196" s="227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</row>
    <row r="197" spans="1:25">
      <c r="A197" s="444"/>
      <c r="B197" s="227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</row>
    <row r="198" spans="1:25">
      <c r="A198" s="444"/>
      <c r="B198" s="227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</row>
    <row r="199" spans="1:25">
      <c r="A199" s="444"/>
      <c r="B199" s="227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</row>
    <row r="200" spans="1:25">
      <c r="A200" s="444"/>
      <c r="B200" s="227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</row>
    <row r="201" spans="1:25">
      <c r="A201" s="444"/>
      <c r="B201" s="227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</row>
    <row r="202" spans="1:25">
      <c r="A202" s="444"/>
      <c r="B202" s="227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</row>
    <row r="203" spans="1:25">
      <c r="A203" s="444"/>
      <c r="B203" s="227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</row>
    <row r="204" spans="1:25">
      <c r="A204" s="444"/>
      <c r="B204" s="227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</row>
    <row r="205" spans="1:25">
      <c r="A205" s="444"/>
      <c r="B205" s="227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</row>
    <row r="206" spans="1:25">
      <c r="A206" s="444"/>
      <c r="B206" s="227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</row>
    <row r="207" spans="1:25">
      <c r="A207" s="444"/>
      <c r="B207" s="227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</row>
    <row r="208" spans="1:25">
      <c r="A208" s="444"/>
      <c r="B208" s="227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</row>
    <row r="209" spans="1:25">
      <c r="A209" s="444"/>
      <c r="B209" s="227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</row>
    <row r="210" spans="1:25">
      <c r="A210" s="444"/>
      <c r="B210" s="227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</row>
    <row r="211" spans="1:25">
      <c r="A211" s="444"/>
      <c r="B211" s="227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</row>
    <row r="212" spans="1:25">
      <c r="A212" s="444"/>
      <c r="B212" s="227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</row>
    <row r="213" spans="1:25">
      <c r="A213" s="444"/>
      <c r="B213" s="227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</row>
    <row r="214" spans="1:25">
      <c r="A214" s="444"/>
      <c r="B214" s="227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</row>
    <row r="215" spans="1:25">
      <c r="A215" s="444"/>
      <c r="B215" s="227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</row>
    <row r="216" spans="1:25">
      <c r="A216" s="444"/>
      <c r="B216" s="227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</row>
    <row r="217" spans="1:25">
      <c r="A217" s="444"/>
      <c r="B217" s="227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</row>
    <row r="218" spans="1:25">
      <c r="A218" s="444"/>
      <c r="B218" s="227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</row>
    <row r="219" spans="1:25">
      <c r="A219" s="444"/>
      <c r="B219" s="227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</row>
    <row r="220" spans="1:25">
      <c r="A220" s="444"/>
      <c r="B220" s="227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</row>
    <row r="221" spans="1:25">
      <c r="A221" s="444"/>
      <c r="B221" s="227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</row>
    <row r="222" spans="1:25">
      <c r="A222" s="444"/>
      <c r="B222" s="227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</row>
    <row r="223" spans="1:25">
      <c r="A223" s="444"/>
      <c r="B223" s="227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</row>
    <row r="224" spans="1:25">
      <c r="A224" s="444"/>
      <c r="B224" s="227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</row>
    <row r="225" spans="1:25">
      <c r="A225" s="444"/>
      <c r="B225" s="227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</row>
    <row r="226" spans="1:25">
      <c r="A226" s="444"/>
      <c r="B226" s="227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</row>
    <row r="227" spans="1:25">
      <c r="A227" s="444"/>
      <c r="B227" s="227"/>
      <c r="C227" s="242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</row>
    <row r="228" spans="1:25">
      <c r="A228" s="444"/>
      <c r="B228" s="227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</row>
    <row r="229" spans="1:25">
      <c r="A229" s="444"/>
      <c r="B229" s="227"/>
      <c r="C229" s="242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</row>
    <row r="230" spans="1:25">
      <c r="A230" s="444"/>
      <c r="B230" s="227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</row>
    <row r="231" spans="1:25">
      <c r="A231" s="444"/>
      <c r="B231" s="227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</row>
    <row r="232" spans="1:25">
      <c r="A232" s="444"/>
      <c r="B232" s="227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</row>
    <row r="233" spans="1:25">
      <c r="A233" s="444"/>
      <c r="B233" s="227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</row>
    <row r="234" spans="1:25">
      <c r="A234" s="444"/>
      <c r="B234" s="227"/>
      <c r="C234" s="242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</row>
    <row r="235" spans="1:25">
      <c r="A235" s="444"/>
      <c r="B235" s="227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</row>
    <row r="236" spans="1:25">
      <c r="A236" s="444"/>
      <c r="B236" s="227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</row>
    <row r="237" spans="1:25">
      <c r="A237" s="444"/>
      <c r="B237" s="227"/>
      <c r="C237" s="242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</row>
    <row r="238" spans="1:25">
      <c r="A238" s="444"/>
      <c r="B238" s="227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</row>
    <row r="239" spans="1:25">
      <c r="A239" s="444"/>
      <c r="B239" s="227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</row>
    <row r="240" spans="1:25">
      <c r="A240" s="444"/>
      <c r="B240" s="227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</row>
    <row r="241" spans="1:25">
      <c r="A241" s="444"/>
      <c r="B241" s="227"/>
      <c r="C241" s="242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</row>
    <row r="242" spans="1:25">
      <c r="A242" s="444"/>
      <c r="B242" s="227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</row>
    <row r="243" spans="1:25">
      <c r="A243" s="444"/>
      <c r="B243" s="227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</row>
    <row r="244" spans="1:25">
      <c r="A244" s="444"/>
      <c r="B244" s="227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</row>
    <row r="245" spans="1:25">
      <c r="A245" s="444"/>
      <c r="B245" s="227"/>
      <c r="C245" s="242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</row>
    <row r="246" spans="1:25">
      <c r="A246" s="444"/>
      <c r="B246" s="227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</row>
    <row r="247" spans="1:25">
      <c r="A247" s="444"/>
      <c r="B247" s="227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</row>
    <row r="248" spans="1:25">
      <c r="A248" s="444"/>
      <c r="B248" s="227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</row>
    <row r="249" spans="1:25">
      <c r="A249" s="444"/>
      <c r="B249" s="227"/>
      <c r="C249" s="242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</row>
    <row r="250" spans="1:25">
      <c r="A250" s="444"/>
      <c r="B250" s="227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</row>
    <row r="251" spans="1:25">
      <c r="A251" s="444"/>
      <c r="B251" s="227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</row>
    <row r="252" spans="1:25">
      <c r="A252" s="444"/>
      <c r="B252" s="227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</row>
    <row r="253" spans="1:25">
      <c r="A253" s="444"/>
      <c r="B253" s="227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</row>
    <row r="254" spans="1:25">
      <c r="A254" s="444"/>
      <c r="B254" s="227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</row>
    <row r="255" spans="1:25">
      <c r="A255" s="444"/>
      <c r="B255" s="227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</row>
    <row r="256" spans="1:25">
      <c r="A256" s="444"/>
      <c r="B256" s="227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</row>
    <row r="257" spans="1:25">
      <c r="A257" s="444"/>
      <c r="B257" s="227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</row>
    <row r="258" spans="1:25">
      <c r="A258" s="444"/>
      <c r="B258" s="227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</row>
    <row r="259" spans="1:25">
      <c r="A259" s="444"/>
      <c r="B259" s="227"/>
      <c r="C259" s="242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</row>
    <row r="260" spans="1:25">
      <c r="A260" s="444"/>
      <c r="B260" s="227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</row>
    <row r="261" spans="1:25">
      <c r="A261" s="444"/>
      <c r="B261" s="227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</row>
    <row r="262" spans="1:25">
      <c r="A262" s="444"/>
      <c r="B262" s="227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</row>
    <row r="263" spans="1:25">
      <c r="A263" s="444"/>
      <c r="B263" s="227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</row>
    <row r="264" spans="1:25">
      <c r="A264" s="444"/>
      <c r="B264" s="227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</row>
    <row r="265" spans="1:25">
      <c r="A265" s="444"/>
      <c r="B265" s="227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</row>
    <row r="266" spans="1:25">
      <c r="A266" s="444"/>
      <c r="B266" s="227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</row>
    <row r="267" spans="1:25">
      <c r="A267" s="444"/>
      <c r="B267" s="227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>
      <c r="A268" s="444"/>
      <c r="B268" s="227"/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</row>
    <row r="269" spans="1:25">
      <c r="A269" s="444"/>
      <c r="B269" s="227"/>
      <c r="C269" s="242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</row>
    <row r="270" spans="1:25">
      <c r="A270" s="444"/>
      <c r="B270" s="227"/>
      <c r="C270" s="242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</row>
    <row r="271" spans="1:25">
      <c r="A271" s="444"/>
      <c r="B271" s="227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</row>
    <row r="272" spans="1:25">
      <c r="A272" s="444"/>
      <c r="B272" s="227"/>
      <c r="C272" s="242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</row>
    <row r="273" spans="1:25">
      <c r="A273" s="444"/>
      <c r="B273" s="227"/>
      <c r="C273" s="242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</row>
    <row r="274" spans="1:25">
      <c r="A274" s="444"/>
      <c r="B274" s="227"/>
      <c r="C274" s="242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</row>
    <row r="275" spans="1:25">
      <c r="A275" s="444"/>
      <c r="B275" s="227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</row>
    <row r="276" spans="1:25">
      <c r="A276" s="444"/>
      <c r="B276" s="227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</row>
    <row r="277" spans="1:25">
      <c r="A277" s="444"/>
      <c r="B277" s="227"/>
      <c r="C277" s="242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</row>
    <row r="278" spans="1:25">
      <c r="A278" s="444"/>
      <c r="B278" s="227"/>
      <c r="C278" s="242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</row>
    <row r="279" spans="1:25">
      <c r="A279" s="444"/>
      <c r="B279" s="227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</row>
    <row r="280" spans="1:25">
      <c r="A280" s="444"/>
      <c r="B280" s="227"/>
      <c r="C280" s="242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</row>
    <row r="281" spans="1:25">
      <c r="A281" s="444"/>
      <c r="B281" s="227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1:25">
      <c r="A282" s="444"/>
      <c r="B282" s="227"/>
      <c r="C282" s="242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</row>
    <row r="283" spans="1:25">
      <c r="A283" s="444"/>
      <c r="B283" s="227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</row>
    <row r="284" spans="1:25">
      <c r="A284" s="444"/>
      <c r="B284" s="227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  <c r="Y284" s="242"/>
    </row>
    <row r="285" spans="1:25">
      <c r="A285" s="444"/>
      <c r="B285" s="227"/>
      <c r="C285" s="242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</row>
    <row r="286" spans="1:25">
      <c r="A286" s="444"/>
      <c r="B286" s="227"/>
      <c r="C286" s="242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</row>
    <row r="287" spans="1:25">
      <c r="A287" s="444"/>
      <c r="B287" s="227"/>
      <c r="C287" s="242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</row>
    <row r="288" spans="1:25">
      <c r="A288" s="444"/>
      <c r="B288" s="227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</row>
    <row r="289" spans="1:25">
      <c r="A289" s="444"/>
      <c r="B289" s="227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</row>
    <row r="290" spans="1:25">
      <c r="A290" s="444"/>
      <c r="B290" s="227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</row>
    <row r="291" spans="1:25">
      <c r="A291" s="444"/>
      <c r="B291" s="227"/>
      <c r="C291" s="242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</row>
    <row r="292" spans="1:25">
      <c r="A292" s="444"/>
      <c r="B292" s="227"/>
      <c r="C292" s="242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</row>
    <row r="293" spans="1:25">
      <c r="A293" s="444"/>
      <c r="B293" s="227"/>
      <c r="C293" s="242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</row>
    <row r="294" spans="1:25">
      <c r="A294" s="444"/>
      <c r="B294" s="227"/>
      <c r="C294" s="242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</row>
    <row r="295" spans="1:25">
      <c r="A295" s="444"/>
      <c r="B295" s="227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</row>
    <row r="296" spans="1:25">
      <c r="A296" s="444"/>
      <c r="B296" s="227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</row>
    <row r="297" spans="1:25">
      <c r="A297" s="444"/>
      <c r="B297" s="227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</row>
    <row r="298" spans="1:25">
      <c r="A298" s="444"/>
      <c r="B298" s="227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</row>
    <row r="299" spans="1:25">
      <c r="A299" s="444"/>
      <c r="B299" s="227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</row>
    <row r="300" spans="1:25">
      <c r="A300" s="444"/>
      <c r="B300" s="227"/>
      <c r="C300" s="242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</row>
    <row r="301" spans="1:25">
      <c r="A301" s="444"/>
      <c r="B301" s="227"/>
      <c r="C301" s="242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</row>
    <row r="302" spans="1:25">
      <c r="A302" s="444"/>
      <c r="B302" s="227"/>
      <c r="C302" s="242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</row>
    <row r="303" spans="1:25">
      <c r="A303" s="444"/>
      <c r="B303" s="227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</row>
    <row r="304" spans="1:25">
      <c r="A304" s="444"/>
      <c r="B304" s="227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</row>
    <row r="305" spans="1:25">
      <c r="A305" s="444"/>
      <c r="B305" s="227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</row>
    <row r="306" spans="1:25">
      <c r="A306" s="444"/>
      <c r="B306" s="227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</row>
    <row r="307" spans="1:25">
      <c r="A307" s="444"/>
      <c r="B307" s="227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</row>
    <row r="308" spans="1:25">
      <c r="A308" s="444"/>
      <c r="B308" s="227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</row>
    <row r="309" spans="1:25">
      <c r="A309" s="444"/>
      <c r="B309" s="227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</row>
    <row r="310" spans="1:25">
      <c r="A310" s="444"/>
      <c r="B310" s="227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</row>
    <row r="311" spans="1:25">
      <c r="A311" s="444"/>
      <c r="B311" s="227"/>
      <c r="C311" s="242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</row>
    <row r="312" spans="1:25">
      <c r="A312" s="444"/>
      <c r="B312" s="227"/>
      <c r="C312" s="242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</row>
    <row r="313" spans="1:25">
      <c r="A313" s="444"/>
      <c r="B313" s="227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42"/>
      <c r="W313" s="242"/>
      <c r="X313" s="242"/>
      <c r="Y313" s="242"/>
    </row>
    <row r="314" spans="1:25">
      <c r="A314" s="444"/>
      <c r="B314" s="227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</row>
    <row r="315" spans="1:25">
      <c r="A315" s="444"/>
      <c r="B315" s="227"/>
      <c r="C315" s="242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</row>
    <row r="316" spans="1:25">
      <c r="A316" s="444"/>
      <c r="B316" s="227"/>
      <c r="C316" s="242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</row>
    <row r="317" spans="1:25">
      <c r="A317" s="444"/>
      <c r="B317" s="227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</row>
    <row r="318" spans="1:25">
      <c r="A318" s="444"/>
      <c r="B318" s="227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</row>
    <row r="319" spans="1:25">
      <c r="A319" s="444"/>
      <c r="B319" s="227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</row>
    <row r="320" spans="1:25">
      <c r="A320" s="444"/>
      <c r="B320" s="227"/>
      <c r="C320" s="242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</row>
    <row r="321" spans="1:25">
      <c r="A321" s="444"/>
      <c r="B321" s="227"/>
      <c r="C321" s="242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42"/>
      <c r="W321" s="242"/>
      <c r="X321" s="242"/>
      <c r="Y321" s="242"/>
    </row>
    <row r="322" spans="1:25">
      <c r="A322" s="444"/>
      <c r="B322" s="227"/>
      <c r="C322" s="242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</row>
    <row r="323" spans="1:25">
      <c r="A323" s="444"/>
      <c r="B323" s="227"/>
      <c r="C323" s="242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</row>
    <row r="324" spans="1:25">
      <c r="A324" s="444"/>
      <c r="B324" s="227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</row>
    <row r="325" spans="1:25">
      <c r="A325" s="444"/>
      <c r="B325" s="227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</row>
    <row r="326" spans="1:25">
      <c r="A326" s="444"/>
      <c r="B326" s="227"/>
      <c r="C326" s="242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</row>
    <row r="327" spans="1:25">
      <c r="A327" s="444"/>
      <c r="B327" s="227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</row>
    <row r="328" spans="1:25">
      <c r="A328" s="444"/>
      <c r="B328" s="227"/>
      <c r="C328" s="242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</row>
    <row r="329" spans="1:25">
      <c r="A329" s="444"/>
      <c r="B329" s="227"/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</row>
    <row r="330" spans="1:25">
      <c r="A330" s="444"/>
      <c r="B330" s="227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</row>
    <row r="331" spans="1:25">
      <c r="A331" s="444"/>
      <c r="B331" s="227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</row>
    <row r="332" spans="1:25">
      <c r="A332" s="444"/>
      <c r="B332" s="227"/>
      <c r="C332" s="242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</row>
    <row r="333" spans="1:25">
      <c r="A333" s="444"/>
      <c r="B333" s="227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</row>
    <row r="334" spans="1:25">
      <c r="A334" s="444"/>
      <c r="B334" s="227"/>
      <c r="C334" s="242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</row>
    <row r="335" spans="1:25">
      <c r="A335" s="444"/>
      <c r="B335" s="227"/>
      <c r="C335" s="242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</row>
    <row r="336" spans="1:25">
      <c r="A336" s="444"/>
      <c r="B336" s="227"/>
      <c r="C336" s="242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</row>
    <row r="337" spans="1:25">
      <c r="A337" s="444"/>
      <c r="B337" s="227"/>
      <c r="C337" s="242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</row>
    <row r="338" spans="1:25">
      <c r="A338" s="444"/>
      <c r="B338" s="227"/>
      <c r="C338" s="242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</row>
    <row r="339" spans="1:25">
      <c r="A339" s="444"/>
      <c r="B339" s="227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</row>
    <row r="340" spans="1:25">
      <c r="A340" s="444"/>
      <c r="B340" s="227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</row>
    <row r="341" spans="1:25">
      <c r="A341" s="444"/>
      <c r="B341" s="227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</row>
    <row r="342" spans="1:25">
      <c r="A342" s="444"/>
      <c r="B342" s="227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</row>
    <row r="343" spans="1:25">
      <c r="A343" s="444"/>
      <c r="B343" s="227"/>
      <c r="C343" s="242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</row>
    <row r="344" spans="1:25">
      <c r="A344" s="444"/>
      <c r="B344" s="227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</row>
    <row r="345" spans="1:25">
      <c r="A345" s="444"/>
      <c r="B345" s="227"/>
      <c r="C345" s="242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</row>
    <row r="346" spans="1:25">
      <c r="A346" s="444"/>
      <c r="B346" s="227"/>
      <c r="C346" s="242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</row>
    <row r="347" spans="1:25">
      <c r="A347" s="444"/>
      <c r="B347" s="227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</row>
    <row r="348" spans="1:25">
      <c r="A348" s="444"/>
      <c r="B348" s="227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</row>
    <row r="349" spans="1:25">
      <c r="A349" s="444"/>
      <c r="B349" s="227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</row>
    <row r="350" spans="1:25">
      <c r="A350" s="444"/>
      <c r="B350" s="227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</row>
    <row r="351" spans="1:25">
      <c r="A351" s="444"/>
      <c r="B351" s="227"/>
      <c r="C351" s="242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</row>
    <row r="352" spans="1:25">
      <c r="A352" s="444"/>
      <c r="B352" s="227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</row>
    <row r="353" spans="1:25">
      <c r="A353" s="444"/>
      <c r="B353" s="227"/>
      <c r="C353" s="242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</row>
    <row r="354" spans="1:25">
      <c r="A354" s="444"/>
      <c r="B354" s="227"/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</row>
    <row r="355" spans="1:25">
      <c r="A355" s="444"/>
      <c r="B355" s="227"/>
      <c r="C355" s="242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</row>
    <row r="356" spans="1:25">
      <c r="A356" s="444"/>
      <c r="B356" s="227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</row>
    <row r="357" spans="1:25">
      <c r="A357" s="444"/>
      <c r="B357" s="227"/>
      <c r="C357" s="242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</row>
    <row r="358" spans="1:25">
      <c r="A358" s="444"/>
      <c r="B358" s="227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</row>
    <row r="359" spans="1:25">
      <c r="A359" s="444"/>
      <c r="B359" s="227"/>
      <c r="C359" s="242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</row>
    <row r="360" spans="1:25">
      <c r="A360" s="444"/>
      <c r="B360" s="227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</row>
    <row r="361" spans="1:25">
      <c r="A361" s="444"/>
      <c r="B361" s="227"/>
      <c r="C361" s="242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</row>
    <row r="362" spans="1:25">
      <c r="A362" s="444"/>
      <c r="B362" s="227"/>
      <c r="C362" s="242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</row>
    <row r="363" spans="1:25">
      <c r="A363" s="444"/>
      <c r="B363" s="227"/>
      <c r="C363" s="242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</row>
    <row r="364" spans="1:25">
      <c r="A364" s="444"/>
      <c r="B364" s="227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</row>
    <row r="365" spans="1:25">
      <c r="A365" s="444"/>
      <c r="B365" s="227"/>
      <c r="C365" s="242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</row>
    <row r="366" spans="1:25">
      <c r="A366" s="444"/>
      <c r="B366" s="227"/>
      <c r="C366" s="242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</row>
    <row r="367" spans="1:25">
      <c r="A367" s="444"/>
      <c r="B367" s="227"/>
      <c r="C367" s="242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</row>
    <row r="368" spans="1:25">
      <c r="A368" s="444"/>
      <c r="B368" s="227"/>
      <c r="C368" s="242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</row>
    <row r="369" spans="1:25">
      <c r="A369" s="444"/>
      <c r="B369" s="227"/>
      <c r="C369" s="242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</row>
    <row r="370" spans="1:25">
      <c r="A370" s="444"/>
      <c r="B370" s="227"/>
      <c r="C370" s="242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  <c r="Y370" s="242"/>
    </row>
    <row r="371" spans="1:25">
      <c r="A371" s="444"/>
      <c r="B371" s="227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  <c r="Y371" s="242"/>
    </row>
    <row r="372" spans="1:25">
      <c r="A372" s="444"/>
      <c r="B372" s="227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  <c r="Y372" s="242"/>
    </row>
    <row r="373" spans="1:25">
      <c r="A373" s="444"/>
      <c r="B373" s="227"/>
      <c r="C373" s="242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  <c r="Y373" s="242"/>
    </row>
    <row r="374" spans="1:25">
      <c r="A374" s="444"/>
      <c r="B374" s="227"/>
      <c r="C374" s="242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</row>
    <row r="375" spans="1:25">
      <c r="A375" s="444"/>
      <c r="B375" s="227"/>
      <c r="C375" s="242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  <c r="Y375" s="242"/>
    </row>
    <row r="376" spans="1:25">
      <c r="A376" s="444"/>
      <c r="B376" s="227"/>
      <c r="C376" s="242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  <c r="Y376" s="242"/>
    </row>
    <row r="377" spans="1:25">
      <c r="A377" s="444"/>
      <c r="B377" s="227"/>
      <c r="C377" s="242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  <c r="Y377" s="242"/>
    </row>
    <row r="378" spans="1:25">
      <c r="A378" s="444"/>
      <c r="B378" s="227"/>
      <c r="C378" s="242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  <c r="Y378" s="242"/>
    </row>
    <row r="379" spans="1:25">
      <c r="A379" s="444"/>
      <c r="B379" s="227"/>
      <c r="C379" s="242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  <c r="Y379" s="242"/>
    </row>
    <row r="380" spans="1:25">
      <c r="A380" s="444"/>
      <c r="B380" s="227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  <c r="Y380" s="242"/>
    </row>
    <row r="381" spans="1:25">
      <c r="A381" s="444"/>
      <c r="B381" s="227"/>
      <c r="C381" s="242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  <c r="Y381" s="242"/>
    </row>
    <row r="382" spans="1:25">
      <c r="A382" s="444"/>
      <c r="B382" s="227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</row>
    <row r="383" spans="1:25">
      <c r="A383" s="444"/>
      <c r="B383" s="227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</row>
    <row r="384" spans="1:25">
      <c r="A384" s="444"/>
      <c r="B384" s="227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  <c r="Y384" s="242"/>
    </row>
    <row r="385" spans="1:25">
      <c r="A385" s="444"/>
      <c r="B385" s="227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  <c r="Y385" s="242"/>
    </row>
    <row r="386" spans="1:25">
      <c r="A386" s="444"/>
      <c r="B386" s="227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  <c r="Y386" s="242"/>
    </row>
    <row r="387" spans="1:25">
      <c r="A387" s="444"/>
      <c r="B387" s="227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</row>
    <row r="388" spans="1:25">
      <c r="A388" s="444"/>
      <c r="B388" s="227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</row>
    <row r="389" spans="1:25">
      <c r="A389" s="444"/>
      <c r="B389" s="227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</row>
    <row r="390" spans="1:25">
      <c r="A390" s="444"/>
      <c r="B390" s="227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</row>
    <row r="391" spans="1:25">
      <c r="A391" s="444"/>
      <c r="B391" s="227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  <c r="Y391" s="242"/>
    </row>
    <row r="392" spans="1:25">
      <c r="A392" s="444"/>
      <c r="B392" s="227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</row>
    <row r="393" spans="1:25">
      <c r="A393" s="444"/>
      <c r="B393" s="227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</row>
    <row r="394" spans="1:25">
      <c r="A394" s="444"/>
      <c r="B394" s="227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</row>
    <row r="395" spans="1:25">
      <c r="A395" s="444"/>
      <c r="B395" s="227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</row>
    <row r="396" spans="1:25">
      <c r="A396" s="444"/>
      <c r="B396" s="227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</row>
    <row r="397" spans="1:25">
      <c r="A397" s="444"/>
      <c r="B397" s="227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</row>
    <row r="398" spans="1:25">
      <c r="A398" s="444"/>
      <c r="B398" s="227"/>
      <c r="C398" s="242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</row>
    <row r="399" spans="1:25">
      <c r="A399" s="444"/>
      <c r="B399" s="227"/>
      <c r="C399" s="242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42"/>
      <c r="W399" s="242"/>
      <c r="X399" s="242"/>
      <c r="Y399" s="242"/>
    </row>
    <row r="400" spans="1:25">
      <c r="A400" s="444"/>
      <c r="B400" s="227"/>
      <c r="C400" s="242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</row>
    <row r="401" spans="1:25">
      <c r="A401" s="444"/>
      <c r="B401" s="227"/>
      <c r="C401" s="242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</row>
    <row r="402" spans="1:25">
      <c r="A402" s="444"/>
      <c r="B402" s="227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</row>
    <row r="403" spans="1:25">
      <c r="A403" s="444"/>
      <c r="B403" s="227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</row>
    <row r="404" spans="1:25">
      <c r="A404" s="444"/>
      <c r="B404" s="227"/>
      <c r="C404" s="242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</row>
    <row r="405" spans="1:25">
      <c r="A405" s="444"/>
      <c r="B405" s="227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</row>
    <row r="406" spans="1:25">
      <c r="A406" s="444"/>
      <c r="B406" s="227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</row>
    <row r="407" spans="1:25">
      <c r="A407" s="444"/>
      <c r="B407" s="227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</row>
    <row r="408" spans="1:25">
      <c r="A408" s="444"/>
      <c r="B408" s="227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</row>
    <row r="409" spans="1:25">
      <c r="A409" s="444"/>
      <c r="B409" s="227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</row>
    <row r="410" spans="1:25">
      <c r="A410" s="444"/>
      <c r="B410" s="227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</row>
    <row r="411" spans="1:25">
      <c r="A411" s="444"/>
      <c r="B411" s="227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</row>
    <row r="412" spans="1:25">
      <c r="A412" s="444"/>
      <c r="B412" s="227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</row>
    <row r="413" spans="1:25">
      <c r="A413" s="444"/>
      <c r="B413" s="227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</row>
    <row r="414" spans="1:25">
      <c r="A414" s="444"/>
      <c r="B414" s="227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</row>
    <row r="415" spans="1:25">
      <c r="A415" s="444"/>
      <c r="B415" s="227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</row>
    <row r="416" spans="1:25">
      <c r="A416" s="444"/>
      <c r="B416" s="227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</row>
    <row r="417" spans="1:25">
      <c r="A417" s="444"/>
      <c r="B417" s="227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</row>
    <row r="418" spans="1:25">
      <c r="A418" s="444"/>
      <c r="B418" s="227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</row>
    <row r="419" spans="1:25">
      <c r="A419" s="444"/>
      <c r="B419" s="227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</row>
    <row r="420" spans="1:25">
      <c r="A420" s="444"/>
      <c r="B420" s="227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</row>
    <row r="421" spans="1:25">
      <c r="A421" s="444"/>
      <c r="B421" s="227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</row>
    <row r="422" spans="1:25">
      <c r="A422" s="444"/>
      <c r="B422" s="227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</row>
    <row r="423" spans="1:25">
      <c r="A423" s="444"/>
      <c r="B423" s="227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</row>
    <row r="424" spans="1:25">
      <c r="A424" s="444"/>
      <c r="B424" s="227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</row>
    <row r="425" spans="1:25">
      <c r="A425" s="444"/>
      <c r="B425" s="227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</row>
    <row r="426" spans="1:25">
      <c r="A426" s="444"/>
      <c r="B426" s="227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</row>
    <row r="427" spans="1:25">
      <c r="A427" s="444"/>
      <c r="B427" s="227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</row>
    <row r="428" spans="1:25">
      <c r="A428" s="444"/>
      <c r="B428" s="227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</row>
    <row r="429" spans="1:25">
      <c r="A429" s="444"/>
      <c r="B429" s="227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</row>
    <row r="430" spans="1:25">
      <c r="A430" s="444"/>
      <c r="B430" s="227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</row>
    <row r="431" spans="1:25">
      <c r="A431" s="444"/>
      <c r="B431" s="227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</row>
    <row r="432" spans="1:25">
      <c r="A432" s="444"/>
      <c r="B432" s="227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</row>
    <row r="433" spans="1:25">
      <c r="A433" s="444"/>
      <c r="B433" s="227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</row>
    <row r="434" spans="1:25">
      <c r="A434" s="444"/>
      <c r="B434" s="227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</row>
    <row r="435" spans="1:25">
      <c r="A435" s="444"/>
      <c r="B435" s="227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</row>
    <row r="436" spans="1:25">
      <c r="A436" s="444"/>
      <c r="B436" s="227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</row>
    <row r="437" spans="1:25">
      <c r="A437" s="444"/>
      <c r="B437" s="227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</row>
    <row r="438" spans="1:25">
      <c r="A438" s="444"/>
      <c r="B438" s="227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</row>
    <row r="439" spans="1:25">
      <c r="A439" s="444"/>
      <c r="B439" s="227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</row>
    <row r="440" spans="1:25">
      <c r="A440" s="444"/>
      <c r="B440" s="227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</row>
    <row r="441" spans="1:25">
      <c r="A441" s="444"/>
      <c r="B441" s="227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</row>
    <row r="442" spans="1:25">
      <c r="A442" s="444"/>
      <c r="B442" s="227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</row>
    <row r="443" spans="1:25">
      <c r="A443" s="444"/>
      <c r="B443" s="227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</row>
    <row r="444" spans="1:25">
      <c r="A444" s="444"/>
      <c r="B444" s="227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</row>
    <row r="445" spans="1:25">
      <c r="A445" s="444"/>
      <c r="B445" s="227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</row>
    <row r="446" spans="1:25">
      <c r="A446" s="444"/>
      <c r="B446" s="227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</row>
    <row r="447" spans="1:25">
      <c r="A447" s="444"/>
      <c r="B447" s="227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</row>
    <row r="448" spans="1:25">
      <c r="A448" s="444"/>
      <c r="B448" s="227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</row>
    <row r="449" spans="1:25">
      <c r="A449" s="444"/>
      <c r="B449" s="227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</row>
    <row r="450" spans="1:25">
      <c r="A450" s="444"/>
      <c r="B450" s="227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</row>
    <row r="451" spans="1:25">
      <c r="A451" s="444"/>
      <c r="B451" s="227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</row>
    <row r="452" spans="1:25">
      <c r="A452" s="444"/>
      <c r="B452" s="227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</row>
    <row r="453" spans="1:25">
      <c r="A453" s="444"/>
      <c r="B453" s="227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</row>
    <row r="454" spans="1:25">
      <c r="A454" s="444"/>
      <c r="B454" s="227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</row>
    <row r="455" spans="1:25">
      <c r="A455" s="444"/>
      <c r="B455" s="227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</row>
    <row r="456" spans="1:25">
      <c r="A456" s="444"/>
      <c r="B456" s="227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</row>
    <row r="457" spans="1:25">
      <c r="A457" s="444"/>
      <c r="B457" s="227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</row>
    <row r="458" spans="1:25">
      <c r="A458" s="444"/>
      <c r="B458" s="227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</row>
    <row r="459" spans="1:25">
      <c r="A459" s="444"/>
      <c r="B459" s="227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</row>
    <row r="460" spans="1:25">
      <c r="A460" s="444"/>
      <c r="B460" s="227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</row>
    <row r="461" spans="1:25">
      <c r="A461" s="444"/>
      <c r="B461" s="227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</row>
    <row r="462" spans="1:25">
      <c r="A462" s="444"/>
      <c r="B462" s="227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</row>
    <row r="463" spans="1:25">
      <c r="A463" s="444"/>
      <c r="B463" s="227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1:25">
      <c r="A464" s="444"/>
      <c r="B464" s="227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</row>
    <row r="465" spans="1:25">
      <c r="A465" s="444"/>
      <c r="B465" s="227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</row>
    <row r="466" spans="1:25">
      <c r="A466" s="444"/>
      <c r="B466" s="227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</row>
    <row r="467" spans="1:25">
      <c r="A467" s="444"/>
      <c r="B467" s="227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</row>
    <row r="468" spans="1:25">
      <c r="A468" s="444"/>
      <c r="B468" s="227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</row>
    <row r="469" spans="1:25">
      <c r="A469" s="444"/>
      <c r="B469" s="227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</row>
    <row r="470" spans="1:25">
      <c r="A470" s="444"/>
      <c r="B470" s="227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</row>
    <row r="471" spans="1:25">
      <c r="A471" s="444"/>
      <c r="B471" s="227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</row>
    <row r="472" spans="1:25">
      <c r="A472" s="444"/>
      <c r="B472" s="227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</row>
    <row r="473" spans="1:25">
      <c r="A473" s="444"/>
      <c r="B473" s="227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</row>
    <row r="474" spans="1:25">
      <c r="A474" s="444"/>
      <c r="B474" s="227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</row>
    <row r="475" spans="1:25">
      <c r="A475" s="444"/>
      <c r="B475" s="227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</row>
    <row r="476" spans="1:25">
      <c r="A476" s="444"/>
      <c r="B476" s="227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</row>
    <row r="477" spans="1:25">
      <c r="A477" s="444"/>
      <c r="B477" s="227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</row>
    <row r="478" spans="1:25">
      <c r="A478" s="444"/>
      <c r="B478" s="227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</row>
    <row r="479" spans="1:25">
      <c r="A479" s="444"/>
      <c r="B479" s="227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</row>
    <row r="480" spans="1:25">
      <c r="A480" s="444"/>
      <c r="B480" s="227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</row>
    <row r="481" spans="1:25">
      <c r="A481" s="444"/>
      <c r="B481" s="227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</row>
    <row r="482" spans="1:25">
      <c r="A482" s="444"/>
      <c r="B482" s="227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</row>
    <row r="483" spans="1:25">
      <c r="A483" s="444"/>
      <c r="B483" s="227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</row>
    <row r="484" spans="1:25">
      <c r="A484" s="444"/>
      <c r="B484" s="227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</row>
    <row r="485" spans="1:25">
      <c r="A485" s="444"/>
      <c r="B485" s="227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</row>
    <row r="486" spans="1:25">
      <c r="A486" s="444"/>
      <c r="B486" s="227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</row>
    <row r="487" spans="1:25">
      <c r="A487" s="444"/>
      <c r="B487" s="227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</row>
    <row r="488" spans="1:25">
      <c r="A488" s="444"/>
      <c r="B488" s="227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</row>
    <row r="489" spans="1:25">
      <c r="A489" s="444"/>
      <c r="B489" s="227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</row>
    <row r="490" spans="1:25">
      <c r="A490" s="444"/>
      <c r="B490" s="227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</row>
    <row r="491" spans="1:25">
      <c r="A491" s="444"/>
      <c r="B491" s="227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</row>
    <row r="492" spans="1:25">
      <c r="A492" s="444"/>
      <c r="B492" s="227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</row>
    <row r="493" spans="1:25">
      <c r="A493" s="444"/>
      <c r="B493" s="227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</row>
    <row r="494" spans="1:25">
      <c r="A494" s="444"/>
      <c r="B494" s="227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</row>
    <row r="495" spans="1:25">
      <c r="A495" s="444"/>
      <c r="B495" s="227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</row>
    <row r="496" spans="1:25">
      <c r="A496" s="444"/>
      <c r="B496" s="227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</row>
    <row r="497" spans="1:25">
      <c r="A497" s="444"/>
      <c r="B497" s="227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</row>
    <row r="498" spans="1:25">
      <c r="A498" s="444"/>
      <c r="B498" s="227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</row>
    <row r="499" spans="1:25">
      <c r="A499" s="444"/>
      <c r="B499" s="227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</row>
    <row r="500" spans="1:25">
      <c r="A500" s="444"/>
      <c r="B500" s="227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</row>
    <row r="501" spans="1:25">
      <c r="A501" s="444"/>
      <c r="B501" s="227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</row>
    <row r="502" spans="1:25">
      <c r="A502" s="444"/>
      <c r="B502" s="227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</row>
    <row r="503" spans="1:25">
      <c r="A503" s="444"/>
      <c r="B503" s="227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</row>
    <row r="504" spans="1:25">
      <c r="A504" s="444"/>
      <c r="B504" s="227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</row>
    <row r="505" spans="1:25">
      <c r="A505" s="444"/>
      <c r="B505" s="227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</row>
    <row r="506" spans="1:25">
      <c r="A506" s="444"/>
      <c r="B506" s="227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</row>
    <row r="507" spans="1:25">
      <c r="A507" s="444"/>
      <c r="B507" s="227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</row>
    <row r="508" spans="1:25">
      <c r="A508" s="444"/>
      <c r="B508" s="227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</row>
    <row r="509" spans="1:25">
      <c r="A509" s="444"/>
      <c r="B509" s="227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</row>
    <row r="510" spans="1:25">
      <c r="A510" s="444"/>
      <c r="B510" s="227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</row>
    <row r="511" spans="1:25">
      <c r="A511" s="444"/>
      <c r="B511" s="227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</row>
    <row r="512" spans="1:25">
      <c r="A512" s="444"/>
      <c r="B512" s="227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</row>
    <row r="513" spans="1:25">
      <c r="A513" s="444"/>
      <c r="B513" s="227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</row>
    <row r="514" spans="1:25">
      <c r="A514" s="444"/>
      <c r="B514" s="227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</row>
    <row r="515" spans="1:25">
      <c r="A515" s="444"/>
      <c r="B515" s="227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</row>
    <row r="516" spans="1:25">
      <c r="A516" s="444"/>
      <c r="B516" s="227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</row>
    <row r="517" spans="1:25">
      <c r="A517" s="444"/>
      <c r="B517" s="227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</row>
    <row r="518" spans="1:25">
      <c r="A518" s="444"/>
      <c r="B518" s="227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</row>
    <row r="519" spans="1:25">
      <c r="A519" s="444"/>
      <c r="B519" s="227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</row>
    <row r="520" spans="1:25">
      <c r="A520" s="444"/>
      <c r="B520" s="227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</row>
    <row r="521" spans="1:25">
      <c r="A521" s="444"/>
      <c r="B521" s="227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</row>
    <row r="522" spans="1:25">
      <c r="A522" s="444"/>
      <c r="B522" s="227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</row>
    <row r="523" spans="1:25">
      <c r="A523" s="444"/>
      <c r="B523" s="227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</row>
    <row r="524" spans="1:25">
      <c r="A524" s="444"/>
      <c r="B524" s="227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</row>
    <row r="525" spans="1:25">
      <c r="A525" s="444"/>
      <c r="B525" s="227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</row>
    <row r="526" spans="1:25">
      <c r="A526" s="444"/>
      <c r="B526" s="227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</row>
    <row r="527" spans="1:25">
      <c r="A527" s="444"/>
      <c r="B527" s="227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</row>
    <row r="528" spans="1:25">
      <c r="A528" s="444"/>
      <c r="B528" s="227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</row>
    <row r="529" spans="1:25">
      <c r="A529" s="444"/>
      <c r="B529" s="227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</row>
    <row r="530" spans="1:25">
      <c r="A530" s="444"/>
      <c r="B530" s="227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</row>
    <row r="531" spans="1:25">
      <c r="A531" s="444"/>
      <c r="B531" s="227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</row>
    <row r="532" spans="1:25">
      <c r="A532" s="444"/>
      <c r="B532" s="227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</row>
    <row r="533" spans="1:25">
      <c r="A533" s="444"/>
      <c r="B533" s="227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</row>
    <row r="534" spans="1:25">
      <c r="A534" s="444"/>
      <c r="B534" s="227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</row>
    <row r="535" spans="1:25">
      <c r="A535" s="444"/>
      <c r="B535" s="227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</row>
    <row r="536" spans="1:25">
      <c r="A536" s="444"/>
      <c r="B536" s="227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</row>
    <row r="537" spans="1:25">
      <c r="A537" s="444"/>
      <c r="B537" s="227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</row>
    <row r="538" spans="1:25">
      <c r="A538" s="444"/>
      <c r="B538" s="227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</row>
    <row r="539" spans="1:25">
      <c r="A539" s="444"/>
      <c r="B539" s="227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</row>
    <row r="540" spans="1:25">
      <c r="A540" s="444"/>
      <c r="B540" s="227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</row>
    <row r="541" spans="1:25">
      <c r="A541" s="444"/>
      <c r="B541" s="227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</row>
    <row r="542" spans="1:25">
      <c r="A542" s="444"/>
      <c r="B542" s="227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</row>
    <row r="543" spans="1:25">
      <c r="A543" s="444"/>
      <c r="B543" s="227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</row>
    <row r="544" spans="1:25">
      <c r="A544" s="444"/>
      <c r="B544" s="227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</row>
    <row r="545" spans="1:25">
      <c r="A545" s="444"/>
      <c r="B545" s="227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</row>
    <row r="546" spans="1:25">
      <c r="A546" s="444"/>
      <c r="B546" s="227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</row>
    <row r="547" spans="1:25">
      <c r="A547" s="444"/>
      <c r="B547" s="227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</row>
    <row r="548" spans="1:25">
      <c r="A548" s="444"/>
      <c r="B548" s="227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</row>
    <row r="549" spans="1:25">
      <c r="A549" s="444"/>
      <c r="B549" s="227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</row>
    <row r="550" spans="1:25">
      <c r="A550" s="444"/>
      <c r="B550" s="227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</row>
    <row r="551" spans="1:25">
      <c r="A551" s="444"/>
      <c r="B551" s="227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</row>
    <row r="552" spans="1:25">
      <c r="A552" s="444"/>
      <c r="B552" s="227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</row>
    <row r="553" spans="1:25">
      <c r="A553" s="444"/>
      <c r="B553" s="227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</row>
    <row r="554" spans="1:25">
      <c r="A554" s="444"/>
      <c r="B554" s="227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</row>
    <row r="555" spans="1:25">
      <c r="A555" s="444"/>
      <c r="B555" s="227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</row>
    <row r="556" spans="1:25">
      <c r="A556" s="444"/>
      <c r="B556" s="227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</row>
    <row r="557" spans="1:25">
      <c r="A557" s="444"/>
      <c r="B557" s="227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</row>
    <row r="558" spans="1:25">
      <c r="A558" s="444"/>
      <c r="B558" s="227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</row>
    <row r="559" spans="1:25">
      <c r="A559" s="444"/>
      <c r="B559" s="227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</row>
    <row r="560" spans="1:25">
      <c r="A560" s="444"/>
      <c r="B560" s="227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</row>
    <row r="561" spans="1:25">
      <c r="A561" s="444"/>
      <c r="B561" s="227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</row>
    <row r="562" spans="1:25">
      <c r="A562" s="444"/>
      <c r="B562" s="227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</row>
    <row r="563" spans="1:25">
      <c r="A563" s="444"/>
      <c r="B563" s="227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</row>
    <row r="564" spans="1:25">
      <c r="A564" s="444"/>
      <c r="B564" s="227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</row>
    <row r="565" spans="1:25">
      <c r="A565" s="444"/>
      <c r="B565" s="227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</row>
    <row r="566" spans="1:25">
      <c r="A566" s="444"/>
      <c r="B566" s="227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</row>
    <row r="567" spans="1:25">
      <c r="A567" s="444"/>
      <c r="B567" s="227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</row>
    <row r="568" spans="1:25">
      <c r="A568" s="444"/>
      <c r="B568" s="227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</row>
    <row r="569" spans="1:25">
      <c r="A569" s="444"/>
      <c r="B569" s="227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</row>
    <row r="570" spans="1:25">
      <c r="A570" s="444"/>
      <c r="B570" s="227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</row>
    <row r="571" spans="1:25">
      <c r="A571" s="444"/>
      <c r="B571" s="227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</row>
    <row r="572" spans="1:25">
      <c r="A572" s="444"/>
      <c r="B572" s="227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</row>
    <row r="573" spans="1:25">
      <c r="A573" s="444"/>
      <c r="B573" s="227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</row>
    <row r="574" spans="1:25">
      <c r="A574" s="444"/>
      <c r="B574" s="227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</row>
    <row r="575" spans="1:25">
      <c r="A575" s="444"/>
      <c r="B575" s="227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</row>
    <row r="576" spans="1:25">
      <c r="A576" s="444"/>
      <c r="B576" s="227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</row>
    <row r="577" spans="1:25">
      <c r="A577" s="444"/>
      <c r="B577" s="227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</row>
    <row r="578" spans="1:25">
      <c r="A578" s="444"/>
      <c r="B578" s="227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</row>
    <row r="579" spans="1:25">
      <c r="A579" s="444"/>
      <c r="B579" s="227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</row>
    <row r="580" spans="1:25">
      <c r="A580" s="444"/>
      <c r="B580" s="227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</row>
    <row r="581" spans="1:25">
      <c r="A581" s="444"/>
      <c r="B581" s="227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</row>
    <row r="582" spans="1:25">
      <c r="A582" s="444"/>
      <c r="B582" s="227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</row>
    <row r="583" spans="1:25">
      <c r="A583" s="444"/>
      <c r="B583" s="227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</row>
    <row r="584" spans="1:25">
      <c r="A584" s="444"/>
      <c r="B584" s="227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</row>
    <row r="585" spans="1:25">
      <c r="A585" s="444"/>
      <c r="B585" s="227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</row>
    <row r="586" spans="1:25">
      <c r="A586" s="444"/>
      <c r="B586" s="227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</row>
    <row r="587" spans="1:25">
      <c r="A587" s="444"/>
      <c r="B587" s="227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</row>
    <row r="588" spans="1:25">
      <c r="A588" s="444"/>
      <c r="B588" s="227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</row>
    <row r="589" spans="1:25">
      <c r="A589" s="444"/>
      <c r="B589" s="227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</row>
    <row r="590" spans="1:25">
      <c r="A590" s="444"/>
      <c r="B590" s="227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</row>
    <row r="591" spans="1:25">
      <c r="A591" s="444"/>
      <c r="B591" s="227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</row>
    <row r="592" spans="1:25">
      <c r="A592" s="444"/>
      <c r="B592" s="227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</row>
    <row r="593" spans="1:25">
      <c r="A593" s="444"/>
      <c r="B593" s="227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</row>
    <row r="594" spans="1:25">
      <c r="A594" s="444"/>
      <c r="B594" s="227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</row>
    <row r="595" spans="1:25">
      <c r="A595" s="444"/>
      <c r="B595" s="227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</row>
    <row r="596" spans="1:25">
      <c r="A596" s="444"/>
      <c r="B596" s="227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</row>
    <row r="597" spans="1:25">
      <c r="A597" s="444"/>
      <c r="B597" s="227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</row>
    <row r="598" spans="1:25">
      <c r="A598" s="444"/>
      <c r="B598" s="227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</row>
    <row r="599" spans="1:25">
      <c r="A599" s="444"/>
      <c r="B599" s="227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</row>
    <row r="600" spans="1:25">
      <c r="A600" s="444"/>
      <c r="B600" s="227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</row>
    <row r="601" spans="1:25">
      <c r="A601" s="444"/>
      <c r="B601" s="227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</row>
    <row r="602" spans="1:25">
      <c r="A602" s="444"/>
      <c r="B602" s="227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</row>
    <row r="603" spans="1:25">
      <c r="A603" s="444"/>
      <c r="B603" s="227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</row>
    <row r="604" spans="1:25">
      <c r="A604" s="444"/>
      <c r="B604" s="227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</row>
    <row r="605" spans="1:25">
      <c r="A605" s="444"/>
      <c r="B605" s="227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</row>
    <row r="606" spans="1:25">
      <c r="A606" s="444"/>
      <c r="B606" s="227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</row>
    <row r="607" spans="1:25">
      <c r="A607" s="444"/>
      <c r="B607" s="227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</row>
    <row r="608" spans="1:25">
      <c r="A608" s="444"/>
      <c r="B608" s="227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</row>
    <row r="609" spans="1:25">
      <c r="A609" s="444"/>
      <c r="B609" s="227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</row>
    <row r="610" spans="1:25">
      <c r="A610" s="444"/>
      <c r="B610" s="227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</row>
    <row r="611" spans="1:25">
      <c r="A611" s="444"/>
      <c r="B611" s="227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</row>
    <row r="612" spans="1:25">
      <c r="A612" s="444"/>
      <c r="B612" s="227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</row>
    <row r="613" spans="1:25">
      <c r="A613" s="444"/>
      <c r="B613" s="227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</row>
    <row r="614" spans="1:25">
      <c r="A614" s="444"/>
      <c r="B614" s="227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</row>
    <row r="615" spans="1:25">
      <c r="A615" s="444"/>
      <c r="B615" s="227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</row>
    <row r="616" spans="1:25">
      <c r="A616" s="444"/>
      <c r="B616" s="227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</row>
    <row r="617" spans="1:25">
      <c r="A617" s="444"/>
      <c r="B617" s="227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</row>
    <row r="618" spans="1:25">
      <c r="A618" s="444"/>
      <c r="B618" s="227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</row>
    <row r="619" spans="1:25">
      <c r="A619" s="444"/>
      <c r="B619" s="227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</row>
    <row r="620" spans="1:25">
      <c r="A620" s="444"/>
      <c r="B620" s="227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</row>
    <row r="621" spans="1:25">
      <c r="A621" s="444"/>
      <c r="B621" s="227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</row>
    <row r="622" spans="1:25">
      <c r="A622" s="444"/>
      <c r="B622" s="227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</row>
    <row r="623" spans="1:25">
      <c r="A623" s="444"/>
      <c r="B623" s="227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</row>
    <row r="624" spans="1:25">
      <c r="A624" s="444"/>
      <c r="B624" s="227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</row>
    <row r="625" spans="1:25">
      <c r="A625" s="444"/>
      <c r="B625" s="227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</row>
    <row r="626" spans="1:25">
      <c r="A626" s="444"/>
      <c r="B626" s="227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</row>
    <row r="627" spans="1:25">
      <c r="A627" s="444"/>
      <c r="B627" s="227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</row>
    <row r="628" spans="1:25">
      <c r="A628" s="444"/>
      <c r="B628" s="227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</row>
    <row r="629" spans="1:25">
      <c r="A629" s="444"/>
      <c r="B629" s="227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</row>
    <row r="630" spans="1:25">
      <c r="A630" s="444"/>
      <c r="B630" s="227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</row>
    <row r="631" spans="1:25">
      <c r="A631" s="444"/>
      <c r="B631" s="227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</row>
    <row r="632" spans="1:25">
      <c r="A632" s="444"/>
      <c r="B632" s="227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</row>
    <row r="633" spans="1:25">
      <c r="A633" s="444"/>
      <c r="B633" s="227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</row>
    <row r="634" spans="1:25">
      <c r="A634" s="444"/>
      <c r="B634" s="227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</row>
    <row r="635" spans="1:25">
      <c r="A635" s="444"/>
      <c r="B635" s="227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</row>
    <row r="636" spans="1:25">
      <c r="A636" s="444"/>
      <c r="B636" s="227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</row>
    <row r="637" spans="1:25">
      <c r="A637" s="444"/>
      <c r="B637" s="227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</row>
    <row r="638" spans="1:25">
      <c r="A638" s="444"/>
      <c r="B638" s="227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</row>
    <row r="639" spans="1:25">
      <c r="A639" s="444"/>
      <c r="B639" s="227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</row>
    <row r="640" spans="1:25">
      <c r="A640" s="444"/>
      <c r="B640" s="227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</row>
    <row r="641" spans="1:25">
      <c r="A641" s="444"/>
      <c r="B641" s="227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</row>
    <row r="642" spans="1:25">
      <c r="A642" s="444"/>
      <c r="B642" s="227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</row>
    <row r="643" spans="1:25">
      <c r="A643" s="444"/>
      <c r="B643" s="227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</row>
    <row r="644" spans="1:25">
      <c r="A644" s="444"/>
      <c r="B644" s="227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</row>
    <row r="645" spans="1:25">
      <c r="A645" s="444"/>
      <c r="B645" s="227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</row>
    <row r="646" spans="1:25">
      <c r="A646" s="444"/>
      <c r="B646" s="227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</row>
    <row r="647" spans="1:25">
      <c r="A647" s="444"/>
      <c r="B647" s="227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</row>
    <row r="648" spans="1:25">
      <c r="A648" s="444"/>
      <c r="B648" s="227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</row>
    <row r="649" spans="1:25">
      <c r="A649" s="444"/>
      <c r="B649" s="227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</row>
    <row r="650" spans="1:25">
      <c r="A650" s="444"/>
      <c r="B650" s="227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</row>
    <row r="651" spans="1:25">
      <c r="A651" s="444"/>
      <c r="B651" s="227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</row>
    <row r="652" spans="1:25">
      <c r="A652" s="444"/>
      <c r="B652" s="227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</row>
    <row r="653" spans="1:25">
      <c r="A653" s="444"/>
      <c r="B653" s="227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</row>
    <row r="654" spans="1:25">
      <c r="A654" s="444"/>
      <c r="B654" s="227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</row>
    <row r="655" spans="1:25">
      <c r="A655" s="444"/>
      <c r="B655" s="227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</row>
    <row r="656" spans="1:25">
      <c r="A656" s="444"/>
      <c r="B656" s="227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</row>
    <row r="657" spans="1:25">
      <c r="A657" s="444"/>
      <c r="B657" s="227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</row>
    <row r="658" spans="1:25">
      <c r="A658" s="444"/>
      <c r="B658" s="227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</row>
    <row r="659" spans="1:25">
      <c r="A659" s="444"/>
      <c r="B659" s="227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</row>
    <row r="660" spans="1:25">
      <c r="A660" s="444"/>
      <c r="B660" s="227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</row>
    <row r="661" spans="1:25">
      <c r="A661" s="444"/>
      <c r="B661" s="227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</row>
    <row r="662" spans="1:25">
      <c r="A662" s="444"/>
      <c r="B662" s="227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</row>
    <row r="663" spans="1:25">
      <c r="A663" s="444"/>
      <c r="B663" s="227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</row>
    <row r="664" spans="1:25">
      <c r="A664" s="444"/>
      <c r="B664" s="227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</row>
    <row r="665" spans="1:25">
      <c r="A665" s="444"/>
      <c r="B665" s="227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</row>
    <row r="666" spans="1:25">
      <c r="A666" s="444"/>
      <c r="B666" s="227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</row>
    <row r="667" spans="1:25">
      <c r="A667" s="444"/>
      <c r="B667" s="227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</row>
    <row r="668" spans="1:25">
      <c r="A668" s="444"/>
      <c r="B668" s="227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</row>
    <row r="669" spans="1:25">
      <c r="A669" s="444"/>
      <c r="B669" s="227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</row>
    <row r="670" spans="1:25">
      <c r="A670" s="444"/>
      <c r="B670" s="227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</row>
    <row r="671" spans="1:25">
      <c r="A671" s="444"/>
      <c r="B671" s="227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</row>
    <row r="672" spans="1:25">
      <c r="A672" s="444"/>
      <c r="B672" s="227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</row>
    <row r="673" spans="1:25">
      <c r="A673" s="444"/>
      <c r="B673" s="227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</row>
    <row r="674" spans="1:25">
      <c r="A674" s="444"/>
      <c r="B674" s="227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</row>
    <row r="675" spans="1:25">
      <c r="A675" s="444"/>
      <c r="B675" s="227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</row>
    <row r="676" spans="1:25">
      <c r="A676" s="444"/>
      <c r="B676" s="227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</row>
    <row r="677" spans="1:25">
      <c r="A677" s="444"/>
      <c r="B677" s="227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</row>
    <row r="678" spans="1:25">
      <c r="A678" s="444"/>
      <c r="B678" s="227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</row>
    <row r="679" spans="1:25">
      <c r="A679" s="444"/>
      <c r="B679" s="227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</row>
    <row r="680" spans="1:25">
      <c r="A680" s="444"/>
      <c r="B680" s="227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</row>
    <row r="681" spans="1:25">
      <c r="A681" s="444"/>
      <c r="B681" s="227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</row>
    <row r="682" spans="1:25">
      <c r="A682" s="444"/>
      <c r="B682" s="227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</row>
    <row r="683" spans="1:25">
      <c r="A683" s="444"/>
      <c r="B683" s="227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</row>
    <row r="684" spans="1:25">
      <c r="A684" s="444"/>
      <c r="B684" s="227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</row>
    <row r="685" spans="1:25">
      <c r="A685" s="444"/>
      <c r="B685" s="227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</row>
    <row r="686" spans="1:25">
      <c r="A686" s="444"/>
      <c r="B686" s="227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</row>
    <row r="687" spans="1:25">
      <c r="A687" s="444"/>
      <c r="B687" s="227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</row>
    <row r="688" spans="1:25">
      <c r="A688" s="444"/>
      <c r="B688" s="227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</row>
    <row r="689" spans="1:25">
      <c r="A689" s="444"/>
      <c r="B689" s="227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</row>
    <row r="690" spans="1:25">
      <c r="A690" s="444"/>
      <c r="B690" s="227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</row>
    <row r="691" spans="1:25">
      <c r="A691" s="444"/>
      <c r="B691" s="227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</row>
    <row r="692" spans="1:25">
      <c r="A692" s="444"/>
      <c r="B692" s="227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</row>
    <row r="693" spans="1:25">
      <c r="A693" s="444"/>
      <c r="B693" s="227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</row>
    <row r="694" spans="1:25">
      <c r="A694" s="444"/>
      <c r="B694" s="227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</row>
    <row r="695" spans="1:25">
      <c r="A695" s="444"/>
      <c r="B695" s="227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</row>
    <row r="696" spans="1:25">
      <c r="A696" s="444"/>
      <c r="B696" s="227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</row>
    <row r="697" spans="1:25">
      <c r="A697" s="444"/>
      <c r="B697" s="227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</row>
    <row r="698" spans="1:25">
      <c r="A698" s="444"/>
      <c r="B698" s="227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</row>
    <row r="699" spans="1:25">
      <c r="A699" s="444"/>
      <c r="B699" s="227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</row>
    <row r="700" spans="1:25">
      <c r="A700" s="444"/>
      <c r="B700" s="227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</row>
    <row r="701" spans="1:25">
      <c r="A701" s="444"/>
      <c r="B701" s="227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</row>
    <row r="702" spans="1:25">
      <c r="A702" s="444"/>
      <c r="B702" s="227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</row>
    <row r="703" spans="1:25">
      <c r="A703" s="444"/>
      <c r="B703" s="227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</row>
    <row r="704" spans="1:25">
      <c r="A704" s="444"/>
      <c r="B704" s="227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</row>
    <row r="705" spans="1:25">
      <c r="A705" s="444"/>
      <c r="B705" s="227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</row>
    <row r="706" spans="1:25">
      <c r="A706" s="444"/>
      <c r="B706" s="227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</row>
    <row r="707" spans="1:25">
      <c r="A707" s="444"/>
      <c r="B707" s="227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</row>
    <row r="708" spans="1:25">
      <c r="A708" s="444"/>
      <c r="B708" s="227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</row>
    <row r="709" spans="1:25">
      <c r="A709" s="444"/>
      <c r="B709" s="227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</row>
    <row r="710" spans="1:25">
      <c r="A710" s="444"/>
      <c r="B710" s="227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</row>
    <row r="711" spans="1:25">
      <c r="A711" s="444"/>
      <c r="B711" s="227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</row>
    <row r="712" spans="1:25">
      <c r="A712" s="444"/>
      <c r="B712" s="227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</row>
    <row r="713" spans="1:25">
      <c r="A713" s="444"/>
      <c r="B713" s="227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</row>
    <row r="714" spans="1:25">
      <c r="A714" s="444"/>
      <c r="B714" s="227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</row>
    <row r="715" spans="1:25">
      <c r="A715" s="444"/>
      <c r="B715" s="227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</row>
    <row r="716" spans="1:25">
      <c r="A716" s="444"/>
      <c r="B716" s="227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</row>
    <row r="717" spans="1:25">
      <c r="A717" s="444"/>
      <c r="B717" s="227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</row>
    <row r="718" spans="1:25">
      <c r="A718" s="444"/>
      <c r="B718" s="227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</row>
    <row r="719" spans="1:25">
      <c r="A719" s="444"/>
      <c r="B719" s="227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</row>
    <row r="720" spans="1:25">
      <c r="A720" s="444"/>
      <c r="B720" s="227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</row>
    <row r="721" spans="1:25">
      <c r="A721" s="444"/>
      <c r="B721" s="227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</row>
    <row r="722" spans="1:25">
      <c r="A722" s="444"/>
      <c r="B722" s="227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</row>
    <row r="723" spans="1:25">
      <c r="A723" s="444"/>
      <c r="B723" s="227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</row>
    <row r="724" spans="1:25">
      <c r="A724" s="444"/>
      <c r="B724" s="227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</row>
    <row r="725" spans="1:25">
      <c r="A725" s="444"/>
      <c r="B725" s="227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</row>
    <row r="726" spans="1:25">
      <c r="A726" s="444"/>
      <c r="B726" s="227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</row>
    <row r="727" spans="1:25">
      <c r="A727" s="444"/>
      <c r="B727" s="227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</row>
    <row r="728" spans="1:25">
      <c r="A728" s="444"/>
      <c r="B728" s="227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</row>
    <row r="729" spans="1:25">
      <c r="A729" s="444"/>
      <c r="B729" s="227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</row>
    <row r="730" spans="1:25">
      <c r="A730" s="444"/>
      <c r="B730" s="227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</row>
    <row r="731" spans="1:25">
      <c r="A731" s="444"/>
      <c r="B731" s="227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</row>
    <row r="732" spans="1:25">
      <c r="A732" s="444"/>
      <c r="B732" s="227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</row>
    <row r="733" spans="1:25">
      <c r="A733" s="444"/>
      <c r="B733" s="227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</row>
    <row r="734" spans="1:25">
      <c r="A734" s="444"/>
      <c r="B734" s="227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</row>
    <row r="735" spans="1:25">
      <c r="A735" s="444"/>
      <c r="B735" s="227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</row>
    <row r="736" spans="1:25">
      <c r="A736" s="444"/>
      <c r="B736" s="227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</row>
    <row r="737" spans="1:25">
      <c r="A737" s="444"/>
      <c r="B737" s="227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</row>
    <row r="738" spans="1:25">
      <c r="A738" s="444"/>
      <c r="B738" s="227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</row>
    <row r="739" spans="1:25">
      <c r="A739" s="444"/>
      <c r="B739" s="227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</row>
    <row r="740" spans="1:25">
      <c r="A740" s="444"/>
      <c r="B740" s="227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</row>
    <row r="741" spans="1:25">
      <c r="A741" s="444"/>
      <c r="B741" s="227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</row>
    <row r="742" spans="1:25">
      <c r="A742" s="444"/>
      <c r="B742" s="227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</row>
    <row r="743" spans="1:25">
      <c r="A743" s="444"/>
      <c r="B743" s="227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</row>
    <row r="744" spans="1:25">
      <c r="A744" s="444"/>
      <c r="B744" s="227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</row>
    <row r="745" spans="1:25">
      <c r="A745" s="444"/>
      <c r="B745" s="227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</row>
    <row r="746" spans="1:25">
      <c r="A746" s="444"/>
      <c r="B746" s="227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</row>
    <row r="747" spans="1:25">
      <c r="A747" s="444"/>
      <c r="B747" s="227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</row>
    <row r="748" spans="1:25">
      <c r="A748" s="444"/>
      <c r="B748" s="227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</row>
    <row r="749" spans="1:25">
      <c r="A749" s="444"/>
      <c r="B749" s="227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</row>
    <row r="750" spans="1:25">
      <c r="A750" s="444"/>
      <c r="B750" s="227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</row>
    <row r="751" spans="1:25">
      <c r="A751" s="444"/>
      <c r="B751" s="227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</row>
    <row r="752" spans="1:25">
      <c r="A752" s="444"/>
      <c r="B752" s="227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</row>
    <row r="753" spans="1:25">
      <c r="A753" s="444"/>
      <c r="B753" s="227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</row>
    <row r="754" spans="1:25">
      <c r="A754" s="444"/>
      <c r="B754" s="227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</row>
    <row r="755" spans="1:25">
      <c r="A755" s="444"/>
      <c r="B755" s="227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</row>
    <row r="756" spans="1:25">
      <c r="A756" s="444"/>
      <c r="B756" s="227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</row>
    <row r="757" spans="1:25">
      <c r="A757" s="444"/>
      <c r="B757" s="227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</row>
    <row r="758" spans="1:25">
      <c r="A758" s="444"/>
      <c r="B758" s="227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</row>
    <row r="759" spans="1:25">
      <c r="A759" s="444"/>
      <c r="B759" s="227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</row>
    <row r="760" spans="1:25">
      <c r="A760" s="444"/>
      <c r="B760" s="227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</row>
    <row r="761" spans="1:25">
      <c r="A761" s="444"/>
      <c r="B761" s="227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</row>
    <row r="762" spans="1:25">
      <c r="A762" s="444"/>
      <c r="B762" s="227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</row>
    <row r="763" spans="1:25">
      <c r="A763" s="444"/>
      <c r="B763" s="227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</row>
    <row r="764" spans="1:25">
      <c r="A764" s="444"/>
      <c r="B764" s="227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</row>
    <row r="765" spans="1:25">
      <c r="A765" s="444"/>
      <c r="B765" s="227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</row>
    <row r="766" spans="1:25">
      <c r="A766" s="444"/>
      <c r="B766" s="227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</row>
    <row r="767" spans="1:25">
      <c r="A767" s="444"/>
      <c r="B767" s="227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</row>
    <row r="768" spans="1:25">
      <c r="A768" s="444"/>
      <c r="B768" s="227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</row>
    <row r="769" spans="1:25">
      <c r="A769" s="444"/>
      <c r="B769" s="227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</row>
    <row r="770" spans="1:25">
      <c r="A770" s="444"/>
      <c r="B770" s="227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</row>
    <row r="771" spans="1:25">
      <c r="A771" s="444"/>
      <c r="B771" s="227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</row>
    <row r="772" spans="1:25">
      <c r="A772" s="444"/>
      <c r="B772" s="227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</row>
    <row r="773" spans="1:25">
      <c r="A773" s="444"/>
      <c r="B773" s="227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</row>
    <row r="774" spans="1:25">
      <c r="A774" s="444"/>
      <c r="B774" s="227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</row>
    <row r="775" spans="1:25">
      <c r="A775" s="444"/>
      <c r="B775" s="227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</row>
    <row r="776" spans="1:25">
      <c r="A776" s="444"/>
      <c r="B776" s="227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</row>
    <row r="777" spans="1:25">
      <c r="A777" s="444"/>
      <c r="B777" s="227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</row>
    <row r="778" spans="1:25">
      <c r="A778" s="444"/>
      <c r="B778" s="227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</row>
    <row r="779" spans="1:25">
      <c r="A779" s="444"/>
      <c r="B779" s="227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</row>
    <row r="780" spans="1:25">
      <c r="A780" s="444"/>
      <c r="B780" s="227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</row>
    <row r="781" spans="1:25">
      <c r="A781" s="444"/>
      <c r="B781" s="227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</row>
    <row r="782" spans="1:25">
      <c r="A782" s="444"/>
      <c r="B782" s="227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</row>
    <row r="783" spans="1:25">
      <c r="A783" s="444"/>
      <c r="B783" s="227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</row>
    <row r="784" spans="1:25">
      <c r="A784" s="444"/>
      <c r="B784" s="227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</row>
    <row r="785" spans="1:25">
      <c r="A785" s="444"/>
      <c r="B785" s="227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</row>
    <row r="786" spans="1:25">
      <c r="A786" s="444"/>
      <c r="B786" s="227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</row>
    <row r="787" spans="1:25">
      <c r="A787" s="444"/>
      <c r="B787" s="227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</row>
    <row r="788" spans="1:25">
      <c r="A788" s="444"/>
      <c r="B788" s="227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</row>
    <row r="789" spans="1:25">
      <c r="A789" s="444"/>
      <c r="B789" s="227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</row>
    <row r="790" spans="1:25">
      <c r="A790" s="444"/>
      <c r="B790" s="227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</row>
    <row r="791" spans="1:25">
      <c r="A791" s="444"/>
      <c r="B791" s="227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</row>
    <row r="792" spans="1:25">
      <c r="A792" s="444"/>
      <c r="B792" s="227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</row>
    <row r="793" spans="1:25">
      <c r="A793" s="444"/>
      <c r="B793" s="227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</row>
    <row r="794" spans="1:25">
      <c r="A794" s="444"/>
      <c r="B794" s="227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</row>
    <row r="795" spans="1:25">
      <c r="A795" s="444"/>
      <c r="B795" s="227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</row>
    <row r="796" spans="1:25">
      <c r="A796" s="444"/>
      <c r="B796" s="227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</row>
    <row r="797" spans="1:25">
      <c r="A797" s="444"/>
      <c r="B797" s="227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</row>
    <row r="798" spans="1:25">
      <c r="A798" s="444"/>
      <c r="B798" s="227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</row>
    <row r="799" spans="1:25">
      <c r="A799" s="444"/>
      <c r="B799" s="227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</row>
    <row r="800" spans="1:25">
      <c r="A800" s="444"/>
      <c r="B800" s="227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</row>
    <row r="801" spans="1:25">
      <c r="A801" s="444"/>
      <c r="B801" s="227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</row>
    <row r="802" spans="1:25">
      <c r="A802" s="444"/>
      <c r="B802" s="227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</row>
    <row r="803" spans="1:25">
      <c r="A803" s="444"/>
      <c r="B803" s="227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</row>
    <row r="804" spans="1:25">
      <c r="A804" s="444"/>
      <c r="B804" s="227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</row>
    <row r="805" spans="1:25">
      <c r="A805" s="444"/>
      <c r="B805" s="227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</row>
    <row r="806" spans="1:25">
      <c r="A806" s="444"/>
      <c r="B806" s="227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</row>
    <row r="807" spans="1:25">
      <c r="A807" s="444"/>
      <c r="B807" s="227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</row>
    <row r="808" spans="1:25">
      <c r="A808" s="444"/>
      <c r="B808" s="227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</row>
    <row r="809" spans="1:25">
      <c r="A809" s="444"/>
      <c r="B809" s="227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</row>
    <row r="810" spans="1:25">
      <c r="A810" s="444"/>
      <c r="B810" s="227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</row>
    <row r="811" spans="1:25">
      <c r="A811" s="444"/>
      <c r="B811" s="227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</row>
    <row r="812" spans="1:25">
      <c r="A812" s="444"/>
      <c r="B812" s="227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</row>
    <row r="813" spans="1:25">
      <c r="A813" s="444"/>
      <c r="B813" s="227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</row>
    <row r="814" spans="1:25">
      <c r="A814" s="444"/>
      <c r="B814" s="227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</row>
    <row r="815" spans="1:25">
      <c r="A815" s="444"/>
      <c r="B815" s="227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</row>
    <row r="816" spans="1:25">
      <c r="A816" s="444"/>
      <c r="B816" s="227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</row>
    <row r="817" spans="1:25">
      <c r="A817" s="444"/>
      <c r="B817" s="227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</row>
    <row r="818" spans="1:25">
      <c r="A818" s="444"/>
      <c r="B818" s="227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</row>
    <row r="819" spans="1:25">
      <c r="A819" s="444"/>
      <c r="B819" s="227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</row>
    <row r="820" spans="1:25">
      <c r="A820" s="444"/>
      <c r="B820" s="227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</row>
    <row r="821" spans="1:25">
      <c r="A821" s="444"/>
      <c r="B821" s="227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</row>
    <row r="822" spans="1:25">
      <c r="A822" s="444"/>
      <c r="B822" s="227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</row>
    <row r="823" spans="1:25">
      <c r="A823" s="444"/>
      <c r="B823" s="227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</row>
    <row r="824" spans="1:25">
      <c r="A824" s="444"/>
      <c r="B824" s="227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</row>
    <row r="825" spans="1:25">
      <c r="A825" s="444"/>
      <c r="B825" s="227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</row>
    <row r="826" spans="1:25">
      <c r="A826" s="444"/>
      <c r="B826" s="227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</row>
    <row r="827" spans="1:25">
      <c r="A827" s="444"/>
      <c r="B827" s="227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</row>
    <row r="828" spans="1:25">
      <c r="A828" s="444"/>
      <c r="B828" s="227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</row>
    <row r="829" spans="1:25">
      <c r="A829" s="444"/>
      <c r="B829" s="227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</row>
    <row r="830" spans="1:25">
      <c r="A830" s="444"/>
      <c r="B830" s="227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</row>
    <row r="831" spans="1:25">
      <c r="A831" s="444"/>
      <c r="B831" s="227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</row>
    <row r="832" spans="1:25">
      <c r="A832" s="444"/>
      <c r="B832" s="227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</row>
    <row r="833" spans="1:25">
      <c r="A833" s="444"/>
      <c r="B833" s="227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</row>
    <row r="834" spans="1:25">
      <c r="A834" s="444"/>
      <c r="B834" s="227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</row>
    <row r="835" spans="1:25">
      <c r="A835" s="444"/>
      <c r="B835" s="227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</row>
    <row r="836" spans="1:25">
      <c r="A836" s="444"/>
      <c r="B836" s="227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</row>
    <row r="837" spans="1:25">
      <c r="A837" s="444"/>
      <c r="B837" s="227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</row>
    <row r="838" spans="1:25">
      <c r="A838" s="444"/>
      <c r="B838" s="227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</row>
    <row r="839" spans="1:25">
      <c r="A839" s="444"/>
      <c r="B839" s="227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</row>
    <row r="840" spans="1:25">
      <c r="A840" s="444"/>
      <c r="B840" s="227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</row>
    <row r="841" spans="1:25">
      <c r="A841" s="444"/>
      <c r="B841" s="227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</row>
    <row r="842" spans="1:25">
      <c r="A842" s="444"/>
      <c r="B842" s="227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</row>
    <row r="843" spans="1:25">
      <c r="A843" s="444"/>
      <c r="B843" s="227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</row>
    <row r="844" spans="1:25">
      <c r="A844" s="444"/>
      <c r="B844" s="227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</row>
    <row r="845" spans="1:25">
      <c r="A845" s="444"/>
      <c r="B845" s="227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</row>
    <row r="846" spans="1:25">
      <c r="A846" s="444"/>
      <c r="B846" s="227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</row>
    <row r="847" spans="1:25">
      <c r="A847" s="444"/>
      <c r="B847" s="227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</row>
    <row r="848" spans="1:25">
      <c r="A848" s="444"/>
      <c r="B848" s="227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</row>
    <row r="849" spans="1:25">
      <c r="A849" s="444"/>
      <c r="B849" s="227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</row>
    <row r="850" spans="1:25">
      <c r="A850" s="444"/>
      <c r="B850" s="227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</row>
    <row r="851" spans="1:25">
      <c r="A851" s="444"/>
      <c r="B851" s="227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</row>
    <row r="852" spans="1:25">
      <c r="A852" s="444"/>
      <c r="B852" s="227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</row>
    <row r="853" spans="1:25">
      <c r="A853" s="444"/>
      <c r="B853" s="227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</row>
    <row r="854" spans="1:25">
      <c r="A854" s="444"/>
      <c r="B854" s="227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</row>
    <row r="855" spans="1:25">
      <c r="A855" s="444"/>
      <c r="B855" s="227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</row>
    <row r="856" spans="1:25">
      <c r="A856" s="444"/>
      <c r="B856" s="227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</row>
    <row r="857" spans="1:25">
      <c r="A857" s="444"/>
      <c r="B857" s="227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</row>
    <row r="858" spans="1:25">
      <c r="A858" s="444"/>
      <c r="B858" s="227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</row>
    <row r="859" spans="1:25">
      <c r="A859" s="444"/>
      <c r="B859" s="227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</row>
    <row r="860" spans="1:25">
      <c r="A860" s="444"/>
      <c r="B860" s="227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</row>
    <row r="861" spans="1:25">
      <c r="A861" s="444"/>
      <c r="B861" s="227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</row>
    <row r="862" spans="1:25">
      <c r="A862" s="444"/>
      <c r="B862" s="227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</row>
    <row r="863" spans="1:25">
      <c r="A863" s="444"/>
      <c r="B863" s="227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</row>
    <row r="864" spans="1:25">
      <c r="A864" s="444"/>
      <c r="B864" s="227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</row>
    <row r="865" spans="1:25">
      <c r="A865" s="444"/>
      <c r="B865" s="227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</row>
    <row r="866" spans="1:25">
      <c r="A866" s="444"/>
      <c r="B866" s="227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</row>
    <row r="867" spans="1:25">
      <c r="A867" s="444"/>
      <c r="B867" s="227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</row>
    <row r="868" spans="1:25">
      <c r="A868" s="444"/>
      <c r="B868" s="227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</row>
    <row r="869" spans="1:25">
      <c r="A869" s="444"/>
      <c r="B869" s="227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</row>
    <row r="870" spans="1:25">
      <c r="A870" s="444"/>
      <c r="B870" s="227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</row>
    <row r="871" spans="1:25">
      <c r="A871" s="444"/>
      <c r="B871" s="227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</row>
    <row r="872" spans="1:25">
      <c r="A872" s="444"/>
      <c r="B872" s="227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</row>
    <row r="873" spans="1:25">
      <c r="A873" s="444"/>
      <c r="B873" s="227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</row>
    <row r="874" spans="1:25">
      <c r="A874" s="444"/>
      <c r="B874" s="227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</row>
    <row r="875" spans="1:25">
      <c r="A875" s="444"/>
      <c r="B875" s="227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</row>
    <row r="876" spans="1:25">
      <c r="A876" s="444"/>
      <c r="B876" s="227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</row>
    <row r="877" spans="1:25">
      <c r="A877" s="444"/>
      <c r="B877" s="227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</row>
    <row r="878" spans="1:25">
      <c r="A878" s="444"/>
      <c r="B878" s="227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</row>
    <row r="879" spans="1:25">
      <c r="A879" s="444"/>
      <c r="B879" s="227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</row>
    <row r="880" spans="1:25">
      <c r="A880" s="444"/>
      <c r="B880" s="227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</row>
    <row r="881" spans="1:25">
      <c r="A881" s="444"/>
      <c r="B881" s="227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</row>
    <row r="882" spans="1:25">
      <c r="A882" s="444"/>
      <c r="B882" s="227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</row>
    <row r="883" spans="1:25">
      <c r="A883" s="444"/>
      <c r="B883" s="227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</row>
    <row r="884" spans="1:25">
      <c r="A884" s="444"/>
      <c r="B884" s="227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</row>
    <row r="885" spans="1:25">
      <c r="A885" s="444"/>
      <c r="B885" s="227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</row>
    <row r="886" spans="1:25">
      <c r="A886" s="444"/>
      <c r="B886" s="227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</row>
    <row r="887" spans="1:25">
      <c r="A887" s="444"/>
      <c r="B887" s="227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</row>
    <row r="888" spans="1:25">
      <c r="A888" s="444"/>
      <c r="B888" s="227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</row>
    <row r="889" spans="1:25">
      <c r="A889" s="444"/>
      <c r="B889" s="227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</row>
    <row r="890" spans="1:25">
      <c r="A890" s="444"/>
      <c r="B890" s="227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</row>
    <row r="891" spans="1:25">
      <c r="A891" s="444"/>
      <c r="B891" s="227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</row>
    <row r="892" spans="1:25">
      <c r="A892" s="444"/>
      <c r="B892" s="227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</row>
    <row r="893" spans="1:25">
      <c r="A893" s="444"/>
      <c r="B893" s="227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</row>
    <row r="894" spans="1:25">
      <c r="A894" s="444"/>
      <c r="B894" s="227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</row>
    <row r="895" spans="1:25">
      <c r="A895" s="444"/>
      <c r="B895" s="227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</row>
    <row r="896" spans="1:25">
      <c r="A896" s="444"/>
      <c r="B896" s="227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</row>
    <row r="897" spans="1:25">
      <c r="A897" s="444"/>
      <c r="B897" s="227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</row>
    <row r="898" spans="1:25">
      <c r="A898" s="444"/>
      <c r="B898" s="227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</row>
    <row r="899" spans="1:25">
      <c r="A899" s="444"/>
      <c r="B899" s="227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</row>
    <row r="900" spans="1:25">
      <c r="A900" s="444"/>
      <c r="B900" s="227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</row>
    <row r="901" spans="1:25">
      <c r="A901" s="444"/>
      <c r="B901" s="227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</row>
    <row r="902" spans="1:25">
      <c r="A902" s="444"/>
      <c r="B902" s="227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</row>
    <row r="903" spans="1:25">
      <c r="A903" s="444"/>
      <c r="B903" s="227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</row>
    <row r="904" spans="1:25">
      <c r="A904" s="444"/>
      <c r="B904" s="227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</row>
    <row r="905" spans="1:25">
      <c r="A905" s="444"/>
      <c r="B905" s="227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</row>
    <row r="906" spans="1:25">
      <c r="A906" s="444"/>
      <c r="B906" s="227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</row>
    <row r="907" spans="1:25">
      <c r="A907" s="444"/>
      <c r="B907" s="227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</row>
    <row r="908" spans="1:25">
      <c r="A908" s="444"/>
      <c r="B908" s="227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</row>
    <row r="909" spans="1:25">
      <c r="A909" s="444"/>
      <c r="B909" s="227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</row>
    <row r="910" spans="1:25">
      <c r="A910" s="444"/>
      <c r="B910" s="227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</row>
    <row r="911" spans="1:25">
      <c r="A911" s="444"/>
      <c r="B911" s="227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</row>
    <row r="912" spans="1:25">
      <c r="A912" s="444"/>
      <c r="B912" s="227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</row>
    <row r="913" spans="1:25">
      <c r="A913" s="444"/>
      <c r="B913" s="227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</row>
    <row r="914" spans="1:25">
      <c r="A914" s="444"/>
      <c r="B914" s="227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</row>
    <row r="915" spans="1:25">
      <c r="A915" s="444"/>
      <c r="B915" s="227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</row>
    <row r="916" spans="1:25">
      <c r="A916" s="444"/>
      <c r="B916" s="227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</row>
    <row r="917" spans="1:25">
      <c r="A917" s="444"/>
      <c r="B917" s="227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</row>
    <row r="918" spans="1:25">
      <c r="A918" s="444"/>
      <c r="B918" s="227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</row>
    <row r="919" spans="1:25">
      <c r="A919" s="444"/>
      <c r="B919" s="227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</row>
    <row r="920" spans="1:25">
      <c r="A920" s="444"/>
      <c r="B920" s="227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</row>
    <row r="921" spans="1:25">
      <c r="A921" s="444"/>
      <c r="B921" s="227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</row>
    <row r="922" spans="1:25">
      <c r="A922" s="444"/>
      <c r="B922" s="227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</row>
    <row r="923" spans="1:25">
      <c r="A923" s="444"/>
      <c r="B923" s="227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</row>
    <row r="924" spans="1:25">
      <c r="A924" s="444"/>
      <c r="B924" s="227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</row>
    <row r="925" spans="1:25">
      <c r="A925" s="444"/>
      <c r="B925" s="227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</row>
    <row r="926" spans="1:25">
      <c r="A926" s="444"/>
      <c r="B926" s="227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</row>
    <row r="927" spans="1:25">
      <c r="A927" s="444"/>
      <c r="B927" s="227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</row>
    <row r="928" spans="1:25">
      <c r="A928" s="444"/>
      <c r="B928" s="227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</row>
    <row r="929" spans="1:25">
      <c r="A929" s="444"/>
      <c r="B929" s="227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</row>
    <row r="930" spans="1:25">
      <c r="A930" s="444"/>
      <c r="B930" s="227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</row>
    <row r="931" spans="1:25">
      <c r="A931" s="444"/>
      <c r="B931" s="227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</row>
    <row r="932" spans="1:25">
      <c r="A932" s="444"/>
      <c r="B932" s="227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</row>
    <row r="933" spans="1:25">
      <c r="A933" s="444"/>
      <c r="B933" s="227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</row>
    <row r="934" spans="1:25">
      <c r="A934" s="444"/>
      <c r="B934" s="227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</row>
    <row r="935" spans="1:25">
      <c r="A935" s="444"/>
      <c r="B935" s="227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</row>
    <row r="936" spans="1:25">
      <c r="A936" s="444"/>
      <c r="B936" s="227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</row>
    <row r="937" spans="1:25">
      <c r="A937" s="444"/>
      <c r="B937" s="227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</row>
    <row r="938" spans="1:25">
      <c r="A938" s="444"/>
      <c r="B938" s="227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</row>
    <row r="939" spans="1:25">
      <c r="A939" s="444"/>
      <c r="B939" s="227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</row>
    <row r="940" spans="1:25">
      <c r="A940" s="444"/>
      <c r="B940" s="227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</row>
    <row r="941" spans="1:25">
      <c r="A941" s="444"/>
      <c r="B941" s="227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</row>
    <row r="942" spans="1:25">
      <c r="A942" s="444"/>
      <c r="B942" s="227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</row>
    <row r="943" spans="1:25">
      <c r="A943" s="444"/>
      <c r="B943" s="227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</row>
    <row r="944" spans="1:25">
      <c r="A944" s="444"/>
      <c r="B944" s="227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</row>
    <row r="945" spans="1:25">
      <c r="A945" s="444"/>
      <c r="B945" s="227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</row>
    <row r="946" spans="1:25">
      <c r="A946" s="444"/>
      <c r="B946" s="227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</row>
    <row r="947" spans="1:25">
      <c r="A947" s="444"/>
      <c r="B947" s="227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</row>
    <row r="948" spans="1:25">
      <c r="A948" s="444"/>
      <c r="B948" s="227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</row>
    <row r="949" spans="1:25">
      <c r="A949" s="444"/>
      <c r="B949" s="227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</row>
    <row r="950" spans="1:25">
      <c r="A950" s="444"/>
      <c r="B950" s="227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</row>
    <row r="951" spans="1:25">
      <c r="A951" s="444"/>
      <c r="B951" s="227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</row>
    <row r="952" spans="1:25">
      <c r="A952" s="444"/>
      <c r="B952" s="227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</row>
    <row r="953" spans="1:25">
      <c r="A953" s="444"/>
      <c r="B953" s="227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</row>
    <row r="954" spans="1:25">
      <c r="A954" s="444"/>
      <c r="B954" s="227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</row>
    <row r="955" spans="1:25">
      <c r="A955" s="444"/>
      <c r="B955" s="227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</row>
    <row r="956" spans="1:25">
      <c r="A956" s="444"/>
      <c r="B956" s="227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</row>
    <row r="957" spans="1:25">
      <c r="A957" s="444"/>
      <c r="B957" s="227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</row>
    <row r="958" spans="1:25">
      <c r="A958" s="444"/>
      <c r="B958" s="227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</row>
    <row r="959" spans="1:25">
      <c r="A959" s="444"/>
      <c r="B959" s="227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</row>
    <row r="960" spans="1:25">
      <c r="A960" s="444"/>
      <c r="B960" s="227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</row>
    <row r="961" spans="1:25">
      <c r="A961" s="444"/>
      <c r="B961" s="227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</row>
    <row r="962" spans="1:25">
      <c r="A962" s="444"/>
      <c r="B962" s="227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</row>
    <row r="963" spans="1:25">
      <c r="A963" s="444"/>
      <c r="B963" s="227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</row>
    <row r="964" spans="1:25">
      <c r="A964" s="444"/>
      <c r="B964" s="227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</row>
    <row r="965" spans="1:25">
      <c r="A965" s="444"/>
      <c r="B965" s="227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</row>
    <row r="966" spans="1:25">
      <c r="A966" s="444"/>
      <c r="B966" s="227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</row>
    <row r="967" spans="1:25">
      <c r="A967" s="444"/>
      <c r="B967" s="227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</row>
    <row r="968" spans="1:25">
      <c r="A968" s="444"/>
      <c r="B968" s="227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</row>
    <row r="969" spans="1:25">
      <c r="A969" s="444"/>
      <c r="B969" s="227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</row>
    <row r="970" spans="1:25">
      <c r="A970" s="444"/>
      <c r="B970" s="227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</row>
    <row r="971" spans="1:25">
      <c r="A971" s="444"/>
      <c r="B971" s="227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</row>
    <row r="972" spans="1:25">
      <c r="A972" s="444"/>
      <c r="B972" s="227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</row>
    <row r="973" spans="1:25">
      <c r="A973" s="444"/>
      <c r="B973" s="227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</row>
    <row r="974" spans="1:25">
      <c r="A974" s="444"/>
      <c r="B974" s="227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</row>
    <row r="975" spans="1:25">
      <c r="A975" s="444"/>
      <c r="B975" s="227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</row>
    <row r="976" spans="1:25">
      <c r="A976" s="444"/>
      <c r="B976" s="227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</row>
    <row r="977" spans="1:25">
      <c r="A977" s="444"/>
      <c r="B977" s="227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</row>
    <row r="978" spans="1:25">
      <c r="A978" s="444"/>
      <c r="B978" s="227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</row>
    <row r="979" spans="1:25">
      <c r="A979" s="444"/>
      <c r="B979" s="227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</row>
    <row r="980" spans="1:25">
      <c r="A980" s="444"/>
      <c r="B980" s="227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</row>
    <row r="981" spans="1:25">
      <c r="A981" s="444"/>
      <c r="B981" s="227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</row>
    <row r="982" spans="1:25">
      <c r="A982" s="444"/>
      <c r="B982" s="227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</row>
    <row r="983" spans="1:25">
      <c r="A983" s="444"/>
      <c r="B983" s="227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</row>
    <row r="984" spans="1:25">
      <c r="A984" s="444"/>
      <c r="B984" s="227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</row>
    <row r="985" spans="1:25">
      <c r="A985" s="444"/>
      <c r="B985" s="227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</row>
    <row r="986" spans="1:25">
      <c r="A986" s="444"/>
      <c r="B986" s="227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</row>
    <row r="987" spans="1:25">
      <c r="A987" s="444"/>
      <c r="B987" s="227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</row>
    <row r="988" spans="1:25">
      <c r="A988" s="444"/>
      <c r="B988" s="227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</row>
    <row r="989" spans="1:25">
      <c r="A989" s="444"/>
      <c r="B989" s="227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</row>
    <row r="990" spans="1:25">
      <c r="A990" s="444"/>
      <c r="B990" s="227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</row>
    <row r="991" spans="1:25">
      <c r="A991" s="444"/>
      <c r="B991" s="227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</row>
    <row r="992" spans="1:25">
      <c r="A992" s="444"/>
      <c r="B992" s="227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</row>
    <row r="993" spans="1:25">
      <c r="A993" s="444"/>
      <c r="B993" s="227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</row>
    <row r="994" spans="1:25">
      <c r="A994" s="444"/>
      <c r="B994" s="227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</row>
    <row r="995" spans="1:25">
      <c r="A995" s="444"/>
      <c r="B995" s="227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</row>
    <row r="996" spans="1:25">
      <c r="A996" s="444"/>
      <c r="B996" s="227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</row>
    <row r="997" spans="1:25">
      <c r="A997" s="444"/>
      <c r="B997" s="227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</row>
    <row r="998" spans="1:25">
      <c r="A998" s="444"/>
      <c r="B998" s="227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</row>
    <row r="999" spans="1:25">
      <c r="A999" s="444"/>
      <c r="B999" s="227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</row>
    <row r="1000" spans="1:25">
      <c r="A1000" s="444"/>
      <c r="B1000" s="227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</row>
    <row r="1001" spans="1:25">
      <c r="A1001" s="444"/>
      <c r="B1001" s="227"/>
      <c r="C1001" s="242"/>
      <c r="D1001" s="242"/>
      <c r="E1001" s="242"/>
      <c r="F1001" s="242"/>
      <c r="G1001" s="242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2"/>
      <c r="V1001" s="242"/>
      <c r="W1001" s="242"/>
      <c r="X1001" s="242"/>
      <c r="Y1001" s="242"/>
    </row>
    <row r="1002" spans="1:25">
      <c r="A1002" s="444"/>
      <c r="B1002" s="227"/>
      <c r="C1002" s="242"/>
      <c r="D1002" s="242"/>
      <c r="E1002" s="242"/>
      <c r="F1002" s="242"/>
      <c r="G1002" s="242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2"/>
      <c r="V1002" s="242"/>
      <c r="W1002" s="242"/>
      <c r="X1002" s="242"/>
      <c r="Y1002" s="242"/>
    </row>
    <row r="1003" spans="1:25">
      <c r="A1003" s="444"/>
      <c r="B1003" s="227"/>
      <c r="C1003" s="242"/>
      <c r="D1003" s="242"/>
      <c r="E1003" s="242"/>
      <c r="F1003" s="242"/>
      <c r="G1003" s="242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2"/>
      <c r="V1003" s="242"/>
      <c r="W1003" s="242"/>
      <c r="X1003" s="242"/>
      <c r="Y1003" s="242"/>
    </row>
    <row r="1004" spans="1:25">
      <c r="A1004" s="444"/>
      <c r="B1004" s="227"/>
      <c r="C1004" s="242"/>
      <c r="D1004" s="242"/>
      <c r="E1004" s="242"/>
      <c r="F1004" s="242"/>
      <c r="G1004" s="242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2"/>
      <c r="V1004" s="242"/>
      <c r="W1004" s="242"/>
      <c r="X1004" s="242"/>
      <c r="Y1004" s="242"/>
    </row>
    <row r="1005" spans="1:25">
      <c r="A1005" s="444"/>
      <c r="B1005" s="227"/>
      <c r="C1005" s="242"/>
      <c r="D1005" s="242"/>
      <c r="E1005" s="242"/>
      <c r="F1005" s="242"/>
      <c r="G1005" s="242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2"/>
      <c r="V1005" s="242"/>
      <c r="W1005" s="242"/>
      <c r="X1005" s="242"/>
      <c r="Y1005" s="242"/>
    </row>
    <row r="1006" spans="1:25">
      <c r="A1006" s="444"/>
      <c r="B1006" s="227"/>
      <c r="C1006" s="242"/>
      <c r="D1006" s="242"/>
      <c r="E1006" s="242"/>
      <c r="F1006" s="242"/>
      <c r="G1006" s="242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2"/>
      <c r="V1006" s="242"/>
      <c r="W1006" s="242"/>
      <c r="X1006" s="242"/>
      <c r="Y1006" s="242"/>
    </row>
    <row r="1007" spans="1:25">
      <c r="A1007" s="444"/>
      <c r="B1007" s="227"/>
      <c r="C1007" s="242"/>
      <c r="D1007" s="242"/>
      <c r="E1007" s="242"/>
      <c r="F1007" s="242"/>
      <c r="G1007" s="242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2"/>
      <c r="V1007" s="242"/>
      <c r="W1007" s="242"/>
      <c r="X1007" s="242"/>
      <c r="Y1007" s="242"/>
    </row>
    <row r="1008" spans="1:25">
      <c r="A1008" s="444"/>
      <c r="B1008" s="227"/>
      <c r="C1008" s="242"/>
      <c r="D1008" s="242"/>
      <c r="E1008" s="242"/>
      <c r="F1008" s="242"/>
      <c r="G1008" s="242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2"/>
      <c r="V1008" s="242"/>
      <c r="W1008" s="242"/>
      <c r="X1008" s="242"/>
      <c r="Y1008" s="242"/>
    </row>
    <row r="1009" spans="1:25">
      <c r="A1009" s="444"/>
      <c r="B1009" s="227"/>
      <c r="C1009" s="242"/>
      <c r="D1009" s="242"/>
      <c r="E1009" s="242"/>
      <c r="F1009" s="242"/>
      <c r="G1009" s="242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2"/>
      <c r="V1009" s="242"/>
      <c r="W1009" s="242"/>
      <c r="X1009" s="242"/>
      <c r="Y1009" s="242"/>
    </row>
    <row r="1010" spans="1:25">
      <c r="A1010" s="444"/>
      <c r="B1010" s="227"/>
      <c r="C1010" s="242"/>
      <c r="D1010" s="242"/>
      <c r="E1010" s="242"/>
      <c r="F1010" s="242"/>
      <c r="G1010" s="242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2"/>
      <c r="V1010" s="242"/>
      <c r="W1010" s="242"/>
      <c r="X1010" s="242"/>
      <c r="Y1010" s="242"/>
    </row>
    <row r="1011" spans="1:25">
      <c r="A1011" s="444"/>
      <c r="B1011" s="227"/>
      <c r="C1011" s="242"/>
      <c r="D1011" s="242"/>
      <c r="E1011" s="242"/>
      <c r="F1011" s="242"/>
      <c r="G1011" s="242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2"/>
      <c r="V1011" s="242"/>
      <c r="W1011" s="242"/>
      <c r="X1011" s="242"/>
      <c r="Y1011" s="242"/>
    </row>
    <row r="1012" spans="1:25">
      <c r="A1012" s="444"/>
      <c r="B1012" s="227"/>
      <c r="C1012" s="242"/>
      <c r="D1012" s="242"/>
      <c r="E1012" s="242"/>
      <c r="F1012" s="242"/>
      <c r="G1012" s="242"/>
      <c r="H1012" s="242"/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  <c r="U1012" s="242"/>
      <c r="V1012" s="242"/>
      <c r="W1012" s="242"/>
      <c r="X1012" s="242"/>
      <c r="Y1012" s="242"/>
    </row>
    <row r="1013" spans="1:25">
      <c r="A1013" s="444"/>
      <c r="B1013" s="227"/>
      <c r="C1013" s="242"/>
      <c r="D1013" s="242"/>
      <c r="E1013" s="242"/>
      <c r="F1013" s="242"/>
      <c r="G1013" s="242"/>
      <c r="H1013" s="242"/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  <c r="U1013" s="242"/>
      <c r="V1013" s="242"/>
      <c r="W1013" s="242"/>
      <c r="X1013" s="242"/>
      <c r="Y1013" s="242"/>
    </row>
    <row r="1014" spans="1:25">
      <c r="A1014" s="444"/>
      <c r="B1014" s="227"/>
      <c r="C1014" s="242"/>
      <c r="D1014" s="242"/>
      <c r="E1014" s="242"/>
      <c r="F1014" s="242"/>
      <c r="G1014" s="242"/>
      <c r="H1014" s="242"/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2"/>
      <c r="S1014" s="242"/>
      <c r="T1014" s="242"/>
      <c r="U1014" s="242"/>
      <c r="V1014" s="242"/>
      <c r="W1014" s="242"/>
      <c r="X1014" s="242"/>
      <c r="Y1014" s="242"/>
    </row>
    <row r="1015" spans="1:25">
      <c r="A1015" s="444"/>
      <c r="B1015" s="227"/>
      <c r="C1015" s="242"/>
      <c r="D1015" s="242"/>
      <c r="E1015" s="242"/>
      <c r="F1015" s="242"/>
      <c r="G1015" s="242"/>
      <c r="H1015" s="242"/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  <c r="U1015" s="242"/>
      <c r="V1015" s="242"/>
      <c r="W1015" s="242"/>
      <c r="X1015" s="242"/>
      <c r="Y1015" s="242"/>
    </row>
    <row r="1016" spans="1:25">
      <c r="A1016" s="444"/>
      <c r="B1016" s="227"/>
      <c r="C1016" s="242"/>
      <c r="D1016" s="242"/>
      <c r="E1016" s="242"/>
      <c r="F1016" s="242"/>
      <c r="G1016" s="242"/>
      <c r="H1016" s="242"/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  <c r="U1016" s="242"/>
      <c r="V1016" s="242"/>
      <c r="W1016" s="242"/>
      <c r="X1016" s="242"/>
      <c r="Y1016" s="242"/>
    </row>
    <row r="1017" spans="1:25">
      <c r="A1017" s="444"/>
      <c r="B1017" s="227"/>
      <c r="C1017" s="242"/>
      <c r="D1017" s="242"/>
      <c r="E1017" s="242"/>
      <c r="F1017" s="242"/>
      <c r="G1017" s="242"/>
      <c r="H1017" s="242"/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  <c r="U1017" s="242"/>
      <c r="V1017" s="242"/>
      <c r="W1017" s="242"/>
      <c r="X1017" s="242"/>
      <c r="Y1017" s="242"/>
    </row>
    <row r="1018" spans="1:25">
      <c r="A1018" s="444"/>
      <c r="B1018" s="227"/>
      <c r="C1018" s="242"/>
      <c r="D1018" s="242"/>
      <c r="E1018" s="242"/>
      <c r="F1018" s="242"/>
      <c r="G1018" s="242"/>
      <c r="H1018" s="242"/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  <c r="U1018" s="242"/>
      <c r="V1018" s="242"/>
      <c r="W1018" s="242"/>
      <c r="X1018" s="242"/>
      <c r="Y1018" s="242"/>
    </row>
    <row r="1019" spans="1:25">
      <c r="A1019" s="444"/>
      <c r="B1019" s="227"/>
      <c r="C1019" s="242"/>
      <c r="D1019" s="242"/>
      <c r="E1019" s="242"/>
      <c r="F1019" s="242"/>
      <c r="G1019" s="242"/>
      <c r="H1019" s="242"/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2"/>
      <c r="S1019" s="242"/>
      <c r="T1019" s="242"/>
      <c r="U1019" s="242"/>
      <c r="V1019" s="242"/>
      <c r="W1019" s="242"/>
      <c r="X1019" s="242"/>
      <c r="Y1019" s="242"/>
    </row>
    <row r="1020" spans="1:25">
      <c r="A1020" s="444"/>
      <c r="B1020" s="227"/>
      <c r="C1020" s="242"/>
      <c r="D1020" s="242"/>
      <c r="E1020" s="242"/>
      <c r="F1020" s="242"/>
      <c r="G1020" s="242"/>
      <c r="H1020" s="242"/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  <c r="U1020" s="242"/>
      <c r="V1020" s="242"/>
      <c r="W1020" s="242"/>
      <c r="X1020" s="242"/>
      <c r="Y1020" s="242"/>
    </row>
    <row r="1021" spans="1:25">
      <c r="A1021" s="444"/>
      <c r="B1021" s="227"/>
      <c r="C1021" s="242"/>
      <c r="D1021" s="242"/>
      <c r="E1021" s="242"/>
      <c r="F1021" s="242"/>
      <c r="G1021" s="242"/>
      <c r="H1021" s="242"/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  <c r="U1021" s="242"/>
      <c r="V1021" s="242"/>
      <c r="W1021" s="242"/>
      <c r="X1021" s="242"/>
      <c r="Y1021" s="242"/>
    </row>
    <row r="1022" spans="1:25">
      <c r="A1022" s="444"/>
      <c r="B1022" s="227"/>
      <c r="C1022" s="242"/>
      <c r="D1022" s="242"/>
      <c r="E1022" s="242"/>
      <c r="F1022" s="242"/>
      <c r="G1022" s="242"/>
      <c r="H1022" s="242"/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  <c r="U1022" s="242"/>
      <c r="V1022" s="242"/>
      <c r="W1022" s="242"/>
      <c r="X1022" s="242"/>
      <c r="Y1022" s="242"/>
    </row>
    <row r="1023" spans="1:25">
      <c r="A1023" s="444"/>
      <c r="B1023" s="227"/>
      <c r="C1023" s="242"/>
      <c r="D1023" s="242"/>
      <c r="E1023" s="242"/>
      <c r="F1023" s="242"/>
      <c r="G1023" s="242"/>
      <c r="H1023" s="242"/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  <c r="U1023" s="242"/>
      <c r="V1023" s="242"/>
      <c r="W1023" s="242"/>
      <c r="X1023" s="242"/>
      <c r="Y1023" s="242"/>
    </row>
    <row r="1024" spans="1:25">
      <c r="A1024" s="444"/>
      <c r="B1024" s="227"/>
      <c r="C1024" s="242"/>
      <c r="D1024" s="242"/>
      <c r="E1024" s="242"/>
      <c r="F1024" s="242"/>
      <c r="G1024" s="242"/>
      <c r="H1024" s="242"/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  <c r="U1024" s="242"/>
      <c r="V1024" s="242"/>
      <c r="W1024" s="242"/>
      <c r="X1024" s="242"/>
      <c r="Y1024" s="242"/>
    </row>
    <row r="1025" spans="1:25">
      <c r="A1025" s="444"/>
      <c r="B1025" s="227"/>
      <c r="C1025" s="242"/>
      <c r="D1025" s="242"/>
      <c r="E1025" s="242"/>
      <c r="F1025" s="242"/>
      <c r="G1025" s="242"/>
      <c r="H1025" s="242"/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  <c r="U1025" s="242"/>
      <c r="V1025" s="242"/>
      <c r="W1025" s="242"/>
      <c r="X1025" s="242"/>
      <c r="Y1025" s="242"/>
    </row>
    <row r="1026" spans="1:25">
      <c r="A1026" s="444"/>
      <c r="B1026" s="227"/>
      <c r="C1026" s="242"/>
      <c r="D1026" s="242"/>
      <c r="E1026" s="242"/>
      <c r="F1026" s="242"/>
      <c r="G1026" s="242"/>
      <c r="H1026" s="242"/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  <c r="U1026" s="242"/>
      <c r="V1026" s="242"/>
      <c r="W1026" s="242"/>
      <c r="X1026" s="242"/>
      <c r="Y1026" s="242"/>
    </row>
    <row r="1027" spans="1:25">
      <c r="A1027" s="444"/>
      <c r="B1027" s="227"/>
      <c r="C1027" s="242"/>
      <c r="D1027" s="242"/>
      <c r="E1027" s="242"/>
      <c r="F1027" s="242"/>
      <c r="G1027" s="242"/>
      <c r="H1027" s="242"/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  <c r="U1027" s="242"/>
      <c r="V1027" s="242"/>
      <c r="W1027" s="242"/>
      <c r="X1027" s="242"/>
      <c r="Y1027" s="242"/>
    </row>
    <row r="1028" spans="1:25">
      <c r="A1028" s="444"/>
      <c r="B1028" s="227"/>
      <c r="C1028" s="242"/>
      <c r="D1028" s="242"/>
      <c r="E1028" s="242"/>
      <c r="F1028" s="242"/>
      <c r="G1028" s="242"/>
      <c r="H1028" s="242"/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  <c r="U1028" s="242"/>
      <c r="V1028" s="242"/>
      <c r="W1028" s="242"/>
      <c r="X1028" s="242"/>
      <c r="Y1028" s="242"/>
    </row>
    <row r="1029" spans="1:25">
      <c r="A1029" s="444"/>
      <c r="B1029" s="227"/>
      <c r="C1029" s="242"/>
      <c r="D1029" s="242"/>
      <c r="E1029" s="242"/>
      <c r="F1029" s="242"/>
      <c r="G1029" s="242"/>
      <c r="H1029" s="242"/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  <c r="U1029" s="242"/>
      <c r="V1029" s="242"/>
      <c r="W1029" s="242"/>
      <c r="X1029" s="242"/>
      <c r="Y1029" s="242"/>
    </row>
    <row r="1030" spans="1:25">
      <c r="L1030" s="242"/>
      <c r="M1030" s="242"/>
      <c r="N1030" s="242"/>
      <c r="O1030" s="242"/>
      <c r="P1030" s="242"/>
      <c r="Q1030" s="242"/>
      <c r="R1030" s="242"/>
      <c r="S1030" s="242"/>
      <c r="T1030" s="242"/>
      <c r="U1030" s="242"/>
      <c r="V1030" s="242"/>
      <c r="W1030" s="242"/>
      <c r="X1030" s="242"/>
      <c r="Y1030" s="242"/>
    </row>
  </sheetData>
  <sheetCalcPr fullCalcOnLoad="1"/>
  <sheetProtection password="CA9F" sheet="1"/>
  <mergeCells count="14">
    <mergeCell ref="A8:A10"/>
    <mergeCell ref="B8:B10"/>
    <mergeCell ref="C8:C10"/>
    <mergeCell ref="D8:J8"/>
    <mergeCell ref="K8:K10"/>
    <mergeCell ref="D9:D10"/>
    <mergeCell ref="E9:I9"/>
    <mergeCell ref="J9:J10"/>
    <mergeCell ref="F1:K3"/>
    <mergeCell ref="A4:K4"/>
    <mergeCell ref="A6:D6"/>
    <mergeCell ref="I6:K6"/>
    <mergeCell ref="M6:P6"/>
    <mergeCell ref="J7:K7"/>
  </mergeCells>
  <dataValidations count="1">
    <dataValidation type="decimal" allowBlank="1" showInputMessage="1" showErrorMessage="1" sqref="C12:K62">
      <formula1>0</formula1>
      <formula2>1E+38</formula2>
    </dataValidation>
  </dataValidations>
  <pageMargins left="0.7" right="0.7" top="0.4" bottom="0.51" header="0.3" footer="0.3"/>
  <pageSetup scale="46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9"/>
  <sheetViews>
    <sheetView zoomScaleNormal="100" workbookViewId="0">
      <pane xSplit="1" topLeftCell="B1" activePane="topRight" state="frozen"/>
      <selection activeCell="L11" sqref="L11"/>
      <selection pane="topRight" activeCell="F275" sqref="F275"/>
    </sheetView>
  </sheetViews>
  <sheetFormatPr defaultColWidth="9.1796875" defaultRowHeight="13"/>
  <cols>
    <col min="1" max="1" width="5.7265625" style="25" customWidth="1"/>
    <col min="2" max="2" width="36.81640625" style="65" customWidth="1"/>
    <col min="3" max="3" width="17.81640625" style="27" customWidth="1"/>
    <col min="4" max="4" width="17.81640625" style="64" customWidth="1"/>
    <col min="5" max="5" width="17.81640625" style="26" customWidth="1"/>
    <col min="6" max="16384" width="9.1796875" style="25"/>
  </cols>
  <sheetData>
    <row r="1" spans="1:5">
      <c r="A1" s="67"/>
      <c r="B1" s="73"/>
      <c r="C1" s="74"/>
      <c r="D1" s="75"/>
      <c r="E1" s="67"/>
    </row>
    <row r="2" spans="1:5">
      <c r="A2" s="1212" t="s">
        <v>865</v>
      </c>
      <c r="B2" s="1212"/>
      <c r="C2" s="1212"/>
      <c r="D2" s="1212"/>
      <c r="E2" s="1212"/>
    </row>
    <row r="3" spans="1:5">
      <c r="A3" s="67"/>
      <c r="B3" s="76"/>
      <c r="C3" s="74"/>
      <c r="D3" s="75"/>
      <c r="E3" s="67"/>
    </row>
    <row r="4" spans="1:5">
      <c r="A4" s="67"/>
      <c r="B4" s="76"/>
      <c r="C4" s="74"/>
      <c r="D4" s="75"/>
      <c r="E4" s="67"/>
    </row>
    <row r="5" spans="1:5">
      <c r="A5" s="1214" t="str">
        <f>+i.04108!A7</f>
        <v>Даатгагчийн нэр:</v>
      </c>
      <c r="B5" s="1214"/>
      <c r="C5" s="1214"/>
      <c r="D5" s="1213" t="str">
        <f>+i.04108!F7</f>
        <v>..... оны .... сарын ...-ны өдөр</v>
      </c>
      <c r="E5" s="1213"/>
    </row>
    <row r="6" spans="1:5">
      <c r="A6" s="68"/>
      <c r="B6" s="73"/>
      <c r="C6" s="74"/>
      <c r="D6" s="75"/>
      <c r="E6" s="40" t="s">
        <v>1</v>
      </c>
    </row>
    <row r="7" spans="1:5" s="213" customFormat="1" ht="39">
      <c r="A7" s="107"/>
      <c r="B7" s="108" t="s">
        <v>757</v>
      </c>
      <c r="C7" s="211" t="s">
        <v>762</v>
      </c>
      <c r="D7" s="212" t="s">
        <v>764</v>
      </c>
      <c r="E7" s="123" t="s">
        <v>765</v>
      </c>
    </row>
    <row r="8" spans="1:5">
      <c r="A8" s="108" t="s">
        <v>6</v>
      </c>
      <c r="B8" s="108" t="s">
        <v>7</v>
      </c>
      <c r="C8" s="126">
        <v>1</v>
      </c>
      <c r="D8" s="123">
        <v>2</v>
      </c>
      <c r="E8" s="123">
        <v>3</v>
      </c>
    </row>
    <row r="9" spans="1:5" s="66" customFormat="1" ht="26">
      <c r="A9" s="109" t="s">
        <v>866</v>
      </c>
      <c r="B9" s="109" t="str">
        <f>"Банкны харилцах, хадгаламж "</f>
        <v xml:space="preserve">Банкны харилцах, хадгаламж </v>
      </c>
      <c r="C9" s="110">
        <f>C10+C11+C12+C13+C14+C15+C16+C17+C18+C19+C20+C21+C22+C23+C24+C25+C26+C27+C28+C29</f>
        <v>0</v>
      </c>
      <c r="D9" s="110">
        <f>D10+D11+D12+D13+D14+D15+D16+D17+D18+D19+D20+D21+D22+D23+D24+D25+D26+D27+D28+D29</f>
        <v>0</v>
      </c>
      <c r="E9" s="110">
        <f>E10+E11+E12+E13+E14+E15+E16+E17+E18+E19+E20+E21+E22+E23+E24+E25+E26+E27+E28+E29</f>
        <v>0</v>
      </c>
    </row>
    <row r="10" spans="1:5">
      <c r="A10" s="70">
        <v>1.1000000000000001</v>
      </c>
      <c r="B10" s="78" t="str">
        <f>"Хаан банк"</f>
        <v>Хаан банк</v>
      </c>
      <c r="C10" s="287"/>
      <c r="D10" s="879">
        <f>IF(C10&lt;=0.35*(i.04101!$E$47-i.04101!$E$40-i.04101!$E$41),C10,0.35*(i.04101!$E$47-i.04101!$E$40-i.04101!$E$41))</f>
        <v>0</v>
      </c>
      <c r="E10" s="880">
        <f t="shared" ref="E10:E18" si="0">C10-D10</f>
        <v>0</v>
      </c>
    </row>
    <row r="11" spans="1:5">
      <c r="A11" s="70">
        <v>1.2</v>
      </c>
      <c r="B11" s="78" t="str">
        <f>"Голомт банк"</f>
        <v>Голомт банк</v>
      </c>
      <c r="C11" s="287"/>
      <c r="D11" s="879">
        <f>IF(C11&lt;=0.35*(i.04101!$E$47-i.04101!$E$40-i.04101!$E$41),C11,0.35*(i.04101!$E$47-i.04101!$E$40-i.04101!$E$41))</f>
        <v>0</v>
      </c>
      <c r="E11" s="880">
        <f t="shared" si="0"/>
        <v>0</v>
      </c>
    </row>
    <row r="12" spans="1:5">
      <c r="A12" s="70">
        <v>1.3</v>
      </c>
      <c r="B12" s="78" t="str">
        <f>"Худалдаа хөгжлийн банк"</f>
        <v>Худалдаа хөгжлийн банк</v>
      </c>
      <c r="C12" s="287"/>
      <c r="D12" s="879">
        <f>IF(C12&lt;=0.35*(i.04101!$E$47-i.04101!$E$40-i.04101!$E$41),C12,0.35*(i.04101!$E$47-i.04101!$E$40-i.04101!$E$41))</f>
        <v>0</v>
      </c>
      <c r="E12" s="880">
        <f t="shared" si="0"/>
        <v>0</v>
      </c>
    </row>
    <row r="13" spans="1:5">
      <c r="A13" s="70">
        <v>1.4</v>
      </c>
      <c r="B13" s="78" t="str">
        <f>"Төрийн банк"</f>
        <v>Төрийн банк</v>
      </c>
      <c r="C13" s="287"/>
      <c r="D13" s="879">
        <f>IF(C13&lt;=0.35*(i.04101!$E$47-i.04101!$E$40-i.04101!$E$41),C13,0.35*(i.04101!$E$47-i.04101!$E$40-i.04101!$E$41))</f>
        <v>0</v>
      </c>
      <c r="E13" s="880">
        <f t="shared" si="0"/>
        <v>0</v>
      </c>
    </row>
    <row r="14" spans="1:5">
      <c r="A14" s="70">
        <v>1.5</v>
      </c>
      <c r="B14" s="78" t="str">
        <f>"Хас банк"</f>
        <v>Хас банк</v>
      </c>
      <c r="C14" s="287"/>
      <c r="D14" s="879">
        <f>IF(C14&lt;=0.35*(i.04101!$E$47-i.04101!$E$40-i.04101!$E$41),C14,0.35*(i.04101!$E$47-i.04101!$E$40-i.04101!$E$41))</f>
        <v>0</v>
      </c>
      <c r="E14" s="880">
        <f t="shared" si="0"/>
        <v>0</v>
      </c>
    </row>
    <row r="15" spans="1:5">
      <c r="A15" s="70">
        <v>1.6</v>
      </c>
      <c r="B15" s="78" t="str">
        <f>"Улаанбаатар хотын банк"</f>
        <v>Улаанбаатар хотын банк</v>
      </c>
      <c r="C15" s="287"/>
      <c r="D15" s="879">
        <f>IF(C15&lt;=0.35*(i.04101!$E$47-i.04101!$E$40-i.04101!$E$41),C15,0.35*(i.04101!$E$47-i.04101!$E$40-i.04101!$E$41))</f>
        <v>0</v>
      </c>
      <c r="E15" s="880">
        <f t="shared" si="0"/>
        <v>0</v>
      </c>
    </row>
    <row r="16" spans="1:5">
      <c r="A16" s="70">
        <v>1.7</v>
      </c>
      <c r="B16" s="78" t="str">
        <f>"Капитал банк"</f>
        <v>Капитал банк</v>
      </c>
      <c r="C16" s="287"/>
      <c r="D16" s="879">
        <f>IF(C16&lt;=0.35*(i.04101!$E$47-i.04101!$E$40-i.04101!$E$41),C16,0.35*(i.04101!$E$47-i.04101!$E$40-i.04101!$E$41))</f>
        <v>0</v>
      </c>
      <c r="E16" s="880">
        <f t="shared" si="0"/>
        <v>0</v>
      </c>
    </row>
    <row r="17" spans="1:5">
      <c r="A17" s="70">
        <v>1.8</v>
      </c>
      <c r="B17" s="78" t="str">
        <f>"Үндэсний хөрөнгө оруулалтын банк"</f>
        <v>Үндэсний хөрөнгө оруулалтын банк</v>
      </c>
      <c r="C17" s="287"/>
      <c r="D17" s="879">
        <f>IF(C17&lt;=0.35*(i.04101!$E$47-i.04101!$E$40-i.04101!$E$41),C17,0.35*(i.04101!$E$47-i.04101!$E$40-i.04101!$E$41))</f>
        <v>0</v>
      </c>
      <c r="E17" s="880">
        <f t="shared" si="0"/>
        <v>0</v>
      </c>
    </row>
    <row r="18" spans="1:5">
      <c r="A18" s="70">
        <v>1.9</v>
      </c>
      <c r="B18" s="78" t="str">
        <f>"Капитрон банк"</f>
        <v>Капитрон банк</v>
      </c>
      <c r="C18" s="287"/>
      <c r="D18" s="879">
        <f>IF(C18&lt;=0.35*(i.04101!$E$47-i.04101!$E$40-i.04101!$E$41),C18,0.35*(i.04101!$E$47-i.04101!$E$40-i.04101!$E$41))</f>
        <v>0</v>
      </c>
      <c r="E18" s="880">
        <f t="shared" si="0"/>
        <v>0</v>
      </c>
    </row>
    <row r="19" spans="1:5">
      <c r="A19" s="79">
        <v>1.1000000000000001</v>
      </c>
      <c r="B19" s="78" t="str">
        <f>"Ариг банк"</f>
        <v>Ариг банк</v>
      </c>
      <c r="C19" s="287"/>
      <c r="D19" s="879">
        <f>IF(C19&lt;=0.35*(i.04101!$E$47-i.04101!$E$40-i.04101!$E$41),C19,0.35*(i.04101!$E$47-i.04101!$E$40-i.04101!$E$41))</f>
        <v>0</v>
      </c>
      <c r="E19" s="880">
        <f t="shared" ref="E19:E76" si="1">C19-D19</f>
        <v>0</v>
      </c>
    </row>
    <row r="20" spans="1:5">
      <c r="A20" s="70">
        <v>1.1100000000000001</v>
      </c>
      <c r="B20" s="78" t="str">
        <f>"Кредит банк"</f>
        <v>Кредит банк</v>
      </c>
      <c r="C20" s="287"/>
      <c r="D20" s="879">
        <f>IF(C20&lt;=0.35*(i.04101!$E$47-i.04101!$E$40-i.04101!$E$41),C20,0.35*(i.04101!$E$47-i.04101!$E$40-i.04101!$E$41))</f>
        <v>0</v>
      </c>
      <c r="E20" s="880">
        <f t="shared" si="1"/>
        <v>0</v>
      </c>
    </row>
    <row r="21" spans="1:5">
      <c r="A21" s="70">
        <v>1.1200000000000001</v>
      </c>
      <c r="B21" s="78" t="str">
        <f>"Тээвэр Хөгжлийн банк"</f>
        <v>Тээвэр Хөгжлийн банк</v>
      </c>
      <c r="C21" s="287"/>
      <c r="D21" s="879">
        <f>IF(C21&lt;=0.35*(i.04101!$E$47-i.04101!$E$40-i.04101!$E$41),C21,0.35*(i.04101!$E$47-i.04101!$E$40-i.04101!$E$41))</f>
        <v>0</v>
      </c>
      <c r="E21" s="880">
        <f t="shared" si="1"/>
        <v>0</v>
      </c>
    </row>
    <row r="22" spans="1:5">
      <c r="A22" s="70">
        <v>1.1299999999999999</v>
      </c>
      <c r="B22" s="78" t="str">
        <f>"Чингис хаан банк"</f>
        <v>Чингис хаан банк</v>
      </c>
      <c r="C22" s="287"/>
      <c r="D22" s="879">
        <f>IF(C22&lt;=0.35*(i.04101!$E$47-i.04101!$E$40-i.04101!$E$41),C22,0.35*(i.04101!$E$47-i.04101!$E$40-i.04101!$E$41))</f>
        <v>0</v>
      </c>
      <c r="E22" s="880">
        <f t="shared" si="1"/>
        <v>0</v>
      </c>
    </row>
    <row r="23" spans="1:5">
      <c r="A23" s="70">
        <v>1.1399999999999999</v>
      </c>
      <c r="B23" s="78" t="str">
        <f>"Богд банк"</f>
        <v>Богд банк</v>
      </c>
      <c r="C23" s="287"/>
      <c r="D23" s="879">
        <f>IF(C23&lt;=0.35*(i.04101!$E$47-i.04101!$E$40-i.04101!$E$41),C23,0.35*(i.04101!$E$47-i.04101!$E$40-i.04101!$E$41))</f>
        <v>0</v>
      </c>
      <c r="E23" s="880">
        <f>C23-D23</f>
        <v>0</v>
      </c>
    </row>
    <row r="24" spans="1:5">
      <c r="A24" s="70">
        <v>1.1499999999999999</v>
      </c>
      <c r="B24" s="80"/>
      <c r="C24" s="287"/>
      <c r="D24" s="879">
        <f>IF(C24&lt;=0.35*(i.04101!$E$47-i.04101!$E$40-i.04101!$E$41),C24,0.35*(i.04101!$E$47-i.04101!$E$40-i.04101!$E$41))</f>
        <v>0</v>
      </c>
      <c r="E24" s="880">
        <f>C24-D24</f>
        <v>0</v>
      </c>
    </row>
    <row r="25" spans="1:5">
      <c r="A25" s="70">
        <v>1.1599999999999999</v>
      </c>
      <c r="B25" s="80"/>
      <c r="C25" s="287"/>
      <c r="D25" s="879">
        <f>IF(C25&lt;=0.35*(i.04101!$E$47-i.04101!$E$40-i.04101!$E$41),C25,0.35*(i.04101!$E$47-i.04101!$E$40-i.04101!$E$41))</f>
        <v>0</v>
      </c>
      <c r="E25" s="880">
        <f t="shared" si="1"/>
        <v>0</v>
      </c>
    </row>
    <row r="26" spans="1:5">
      <c r="A26" s="70">
        <v>1.17</v>
      </c>
      <c r="B26" s="80"/>
      <c r="C26" s="287"/>
      <c r="D26" s="879">
        <f>IF(C26&lt;=0.35*(i.04101!$E$47-i.04101!$E$40-i.04101!$E$41),C26,0.35*(i.04101!$E$47-i.04101!$E$40-i.04101!$E$41))</f>
        <v>0</v>
      </c>
      <c r="E26" s="880">
        <f t="shared" si="1"/>
        <v>0</v>
      </c>
    </row>
    <row r="27" spans="1:5">
      <c r="A27" s="70">
        <v>1.18</v>
      </c>
      <c r="B27" s="80"/>
      <c r="C27" s="287"/>
      <c r="D27" s="879">
        <f>IF(C27&lt;=0.35*(i.04101!$E$47-i.04101!$E$40-i.04101!$E$41),C27,0.35*(i.04101!$E$47-i.04101!$E$40-i.04101!$E$41))</f>
        <v>0</v>
      </c>
      <c r="E27" s="880">
        <f t="shared" si="1"/>
        <v>0</v>
      </c>
    </row>
    <row r="28" spans="1:5">
      <c r="A28" s="70">
        <v>1.19</v>
      </c>
      <c r="B28" s="80"/>
      <c r="C28" s="287"/>
      <c r="D28" s="879">
        <f>IF(C28&lt;=0.35*(i.04101!$E$47-i.04101!$E$40-i.04101!$E$41),C28,0.35*(i.04101!$E$47-i.04101!$E$40-i.04101!$E$41))</f>
        <v>0</v>
      </c>
      <c r="E28" s="880">
        <f t="shared" si="1"/>
        <v>0</v>
      </c>
    </row>
    <row r="29" spans="1:5">
      <c r="A29" s="1007" t="s">
        <v>1024</v>
      </c>
      <c r="B29" s="80"/>
      <c r="C29" s="287"/>
      <c r="D29" s="879">
        <f>IF(C29&lt;=0.35*(i.04101!$E$47-i.04101!$E$40-i.04101!$E$41),C29,0.35*(i.04101!$E$47-i.04101!$E$40-i.04101!$E$41))</f>
        <v>0</v>
      </c>
      <c r="E29" s="880">
        <f t="shared" si="1"/>
        <v>0</v>
      </c>
    </row>
    <row r="30" spans="1:5" s="28" customFormat="1" ht="39">
      <c r="A30" s="111" t="s">
        <v>867</v>
      </c>
      <c r="B30" s="112" t="str">
        <f>"Гадаадын банкин дахь харилцах, хадгаламж, хадгаламжийн сертификат /Хамгийн өндөр дүнтэйгээс эхлэн бичих/ "</f>
        <v xml:space="preserve">Гадаадын банкин дахь харилцах, хадгаламж, хадгаламжийн сертификат /Хамгийн өндөр дүнтэйгээс эхлэн бичих/ </v>
      </c>
      <c r="C30" s="113">
        <f>C31+C32+C33+C34+C35+C36+C37+C38+C39+C40+C41</f>
        <v>0</v>
      </c>
      <c r="D30" s="114">
        <f>D31+D32+D33+D34+D35+D36+D37+D38+D39+D40+D41</f>
        <v>0</v>
      </c>
      <c r="E30" s="106">
        <f t="shared" si="1"/>
        <v>0</v>
      </c>
    </row>
    <row r="31" spans="1:5">
      <c r="A31" s="70">
        <v>2.1</v>
      </c>
      <c r="B31" s="81"/>
      <c r="C31" s="82"/>
      <c r="D31" s="881">
        <f>IF(C31&lt;=0.01*(i.04101!$E$47-i.04101!$E$40-i.04101!$E$41),i.04144a!C31,0.01*(i.04101!$E$47-i.04101!$E$40-i.04101!$E$41))</f>
        <v>0</v>
      </c>
      <c r="E31" s="880">
        <f t="shared" si="1"/>
        <v>0</v>
      </c>
    </row>
    <row r="32" spans="1:5">
      <c r="A32" s="70">
        <v>2.2000000000000002</v>
      </c>
      <c r="B32" s="81"/>
      <c r="C32" s="82"/>
      <c r="D32" s="881">
        <f>IF(C32&lt;=0.01*(i.04101!$E$47-i.04101!$E$40-i.04101!$E$41),i.04144a!C32,0.01*(i.04101!$E$47-i.04101!$E$40-i.04101!$E$41))</f>
        <v>0</v>
      </c>
      <c r="E32" s="880">
        <f t="shared" si="1"/>
        <v>0</v>
      </c>
    </row>
    <row r="33" spans="1:5">
      <c r="A33" s="70">
        <v>2.2999999999999998</v>
      </c>
      <c r="B33" s="81"/>
      <c r="C33" s="82"/>
      <c r="D33" s="881">
        <f>IF(C33&lt;=0.01*(i.04101!$E$47-i.04101!$E$40-i.04101!$E$41),i.04144a!C33,0.01*(i.04101!$E$47-i.04101!$E$40-i.04101!$E$41))</f>
        <v>0</v>
      </c>
      <c r="E33" s="880">
        <f t="shared" si="1"/>
        <v>0</v>
      </c>
    </row>
    <row r="34" spans="1:5">
      <c r="A34" s="70">
        <v>2.4</v>
      </c>
      <c r="B34" s="81"/>
      <c r="C34" s="82"/>
      <c r="D34" s="881">
        <f>IF(C34&lt;=0.01*(i.04101!$E$47-i.04101!$E$40-i.04101!$E$41),i.04144a!C34,0.01*(i.04101!$E$47-i.04101!$E$40-i.04101!$E$41))</f>
        <v>0</v>
      </c>
      <c r="E34" s="880">
        <f t="shared" si="1"/>
        <v>0</v>
      </c>
    </row>
    <row r="35" spans="1:5">
      <c r="A35" s="70">
        <v>2.5</v>
      </c>
      <c r="B35" s="81"/>
      <c r="C35" s="82"/>
      <c r="D35" s="881">
        <f>IF(C35&lt;=0.01*(i.04101!$E$47-i.04101!$E$40-i.04101!$E$41),i.04144a!C35,0.01*(i.04101!$E$47-i.04101!$E$40-i.04101!$E$41))</f>
        <v>0</v>
      </c>
      <c r="E35" s="880">
        <f t="shared" si="1"/>
        <v>0</v>
      </c>
    </row>
    <row r="36" spans="1:5">
      <c r="A36" s="70">
        <v>2.6</v>
      </c>
      <c r="B36" s="81"/>
      <c r="C36" s="82"/>
      <c r="D36" s="881">
        <f>IF(C36&lt;=0.01*(i.04101!$E$47-i.04101!$E$40-i.04101!$E$41),i.04144a!C36,0.01*(i.04101!$E$47-i.04101!$E$40-i.04101!$E$41))</f>
        <v>0</v>
      </c>
      <c r="E36" s="880">
        <f t="shared" si="1"/>
        <v>0</v>
      </c>
    </row>
    <row r="37" spans="1:5">
      <c r="A37" s="70">
        <v>2.7</v>
      </c>
      <c r="B37" s="81"/>
      <c r="C37" s="82"/>
      <c r="D37" s="881">
        <f>IF(C37&lt;=0.01*(i.04101!$E$47-i.04101!$E$40-i.04101!$E$41),i.04144a!C37,0.01*(i.04101!$E$47-i.04101!$E$40-i.04101!$E$41))</f>
        <v>0</v>
      </c>
      <c r="E37" s="880">
        <f t="shared" si="1"/>
        <v>0</v>
      </c>
    </row>
    <row r="38" spans="1:5">
      <c r="A38" s="70">
        <v>2.8</v>
      </c>
      <c r="B38" s="81"/>
      <c r="C38" s="82"/>
      <c r="D38" s="881">
        <f>IF(C38&lt;=0.01*(i.04101!$E$47-i.04101!$E$40-i.04101!$E$41),i.04144a!C38,0.01*(i.04101!$E$47-i.04101!$E$40-i.04101!$E$41))</f>
        <v>0</v>
      </c>
      <c r="E38" s="880">
        <f t="shared" si="1"/>
        <v>0</v>
      </c>
    </row>
    <row r="39" spans="1:5">
      <c r="A39" s="70">
        <v>2.9</v>
      </c>
      <c r="B39" s="81"/>
      <c r="C39" s="82"/>
      <c r="D39" s="881">
        <f>IF(C39&lt;=0.01*(i.04101!$E$47-i.04101!$E$40-i.04101!$E$41),i.04144a!C39,0.01*(i.04101!$E$47-i.04101!$E$40-i.04101!$E$41))</f>
        <v>0</v>
      </c>
      <c r="E39" s="880">
        <f t="shared" si="1"/>
        <v>0</v>
      </c>
    </row>
    <row r="40" spans="1:5">
      <c r="A40" s="79">
        <v>2.1</v>
      </c>
      <c r="B40" s="81"/>
      <c r="C40" s="82"/>
      <c r="D40" s="881">
        <f>IF(C40&lt;=0.01*(i.04101!$E$47-i.04101!$E$40-i.04101!$E$41),i.04144a!C40,0.01*(i.04101!$E$47-i.04101!$E$40-i.04101!$E$41))</f>
        <v>0</v>
      </c>
      <c r="E40" s="880">
        <f t="shared" si="1"/>
        <v>0</v>
      </c>
    </row>
    <row r="41" spans="1:5">
      <c r="A41" s="70">
        <v>2.11</v>
      </c>
      <c r="B41" s="77" t="str">
        <f>"Бусад  "</f>
        <v xml:space="preserve">Бусад  </v>
      </c>
      <c r="C41" s="82"/>
      <c r="D41" s="881">
        <f>IF(C41&lt;=0.01*(i.04101!$E$47-i.04101!$E$40-i.04101!$E$41),i.04144a!C41,0.01*(i.04101!$E$47-i.04101!$E$40-i.04101!$E$41))</f>
        <v>0</v>
      </c>
      <c r="E41" s="880">
        <f t="shared" si="1"/>
        <v>0</v>
      </c>
    </row>
    <row r="42" spans="1:5" s="28" customFormat="1" ht="38.25" customHeight="1">
      <c r="A42" s="111" t="s">
        <v>868</v>
      </c>
      <c r="B42" s="115" t="str">
        <f>"Дотоодын банк бус санхүүгийн байгууллагад итгэлцлээр байршуулсан мөнгөн хөрөнгө /Хамгийн өндөр дүнтэйгээс эхлэн бичих/  "</f>
        <v xml:space="preserve">Дотоодын банк бус санхүүгийн байгууллагад итгэлцлээр байршуулсан мөнгөн хөрөнгө /Хамгийн өндөр дүнтэйгээс эхлэн бичих/  </v>
      </c>
      <c r="C42" s="116">
        <f>C43+C44+C45+C46+C47+C48+C49+C50+C51+C52+C53</f>
        <v>0</v>
      </c>
      <c r="D42" s="114">
        <f>D43+D44+D45+D46+D47+D48+D49+D50+D51+D52+D53</f>
        <v>0</v>
      </c>
      <c r="E42" s="106">
        <f t="shared" si="1"/>
        <v>0</v>
      </c>
    </row>
    <row r="43" spans="1:5">
      <c r="A43" s="70">
        <v>3.1</v>
      </c>
      <c r="B43" s="83"/>
      <c r="C43" s="84"/>
      <c r="D43" s="881">
        <f>IF(C43&lt;=0.05*(i.04101!$E$47-i.04101!$E$40-i.04101!$E$41),i.04144a!C43,0.05*(i.04101!$E$47-i.04101!$E$40-i.04101!$E$41))</f>
        <v>0</v>
      </c>
      <c r="E43" s="880">
        <f t="shared" si="1"/>
        <v>0</v>
      </c>
    </row>
    <row r="44" spans="1:5">
      <c r="A44" s="70">
        <v>3.2</v>
      </c>
      <c r="B44" s="83"/>
      <c r="C44" s="84"/>
      <c r="D44" s="881">
        <f>IF(C44&lt;=0.05*(i.04101!$E$47-i.04101!$E$40-i.04101!$E$41),i.04144a!C44,0.05*(i.04101!$E$47-i.04101!$E$40-i.04101!$E$41))</f>
        <v>0</v>
      </c>
      <c r="E44" s="880">
        <f t="shared" si="1"/>
        <v>0</v>
      </c>
    </row>
    <row r="45" spans="1:5">
      <c r="A45" s="70">
        <v>3.3</v>
      </c>
      <c r="B45" s="83"/>
      <c r="C45" s="84"/>
      <c r="D45" s="881">
        <f>IF(C45&lt;=0.05*(i.04101!$E$47-i.04101!$E$40-i.04101!$E$41),i.04144a!C45,0.05*(i.04101!$E$47-i.04101!$E$40-i.04101!$E$41))</f>
        <v>0</v>
      </c>
      <c r="E45" s="880">
        <f t="shared" si="1"/>
        <v>0</v>
      </c>
    </row>
    <row r="46" spans="1:5">
      <c r="A46" s="70">
        <v>3.4</v>
      </c>
      <c r="B46" s="83"/>
      <c r="C46" s="84"/>
      <c r="D46" s="881">
        <f>IF(C46&lt;=0.05*(i.04101!$E$47-i.04101!$E$40-i.04101!$E$41),i.04144a!C46,0.05*(i.04101!$E$47-i.04101!$E$40-i.04101!$E$41))</f>
        <v>0</v>
      </c>
      <c r="E46" s="880">
        <f t="shared" si="1"/>
        <v>0</v>
      </c>
    </row>
    <row r="47" spans="1:5">
      <c r="A47" s="70">
        <v>3.5</v>
      </c>
      <c r="B47" s="83"/>
      <c r="C47" s="84"/>
      <c r="D47" s="881">
        <f>IF(C47&lt;=0.05*(i.04101!$E$47-i.04101!$E$40-i.04101!$E$41),i.04144a!C47,0.05*(i.04101!$E$47-i.04101!$E$40-i.04101!$E$41))</f>
        <v>0</v>
      </c>
      <c r="E47" s="880">
        <f t="shared" si="1"/>
        <v>0</v>
      </c>
    </row>
    <row r="48" spans="1:5">
      <c r="A48" s="70">
        <v>3.6</v>
      </c>
      <c r="B48" s="83"/>
      <c r="C48" s="84"/>
      <c r="D48" s="881">
        <f>IF(C48&lt;=0.05*(i.04101!$E$47-i.04101!$E$40-i.04101!$E$41),i.04144a!C48,0.05*(i.04101!$E$47-i.04101!$E$40-i.04101!$E$41))</f>
        <v>0</v>
      </c>
      <c r="E48" s="880">
        <f t="shared" si="1"/>
        <v>0</v>
      </c>
    </row>
    <row r="49" spans="1:5">
      <c r="A49" s="70">
        <v>3.7</v>
      </c>
      <c r="B49" s="83"/>
      <c r="C49" s="84"/>
      <c r="D49" s="881">
        <f>IF(C49&lt;=0.05*(i.04101!$E$47-i.04101!$E$40-i.04101!$E$41),i.04144a!C49,0.05*(i.04101!$E$47-i.04101!$E$40-i.04101!$E$41))</f>
        <v>0</v>
      </c>
      <c r="E49" s="880">
        <f t="shared" si="1"/>
        <v>0</v>
      </c>
    </row>
    <row r="50" spans="1:5">
      <c r="A50" s="70">
        <v>3.8</v>
      </c>
      <c r="B50" s="83"/>
      <c r="C50" s="84"/>
      <c r="D50" s="881">
        <f>IF(C50&lt;=0.05*(i.04101!$E$47-i.04101!$E$40-i.04101!$E$41),i.04144a!C50,0.05*(i.04101!$E$47-i.04101!$E$40-i.04101!$E$41))</f>
        <v>0</v>
      </c>
      <c r="E50" s="880">
        <f t="shared" si="1"/>
        <v>0</v>
      </c>
    </row>
    <row r="51" spans="1:5">
      <c r="A51" s="70">
        <v>3.9</v>
      </c>
      <c r="B51" s="83"/>
      <c r="C51" s="84"/>
      <c r="D51" s="881">
        <f>IF(C51&lt;=0.05*(i.04101!$E$47-i.04101!$E$40-i.04101!$E$41),i.04144a!C51,0.05*(i.04101!$E$47-i.04101!$E$40-i.04101!$E$41))</f>
        <v>0</v>
      </c>
      <c r="E51" s="880">
        <f t="shared" si="1"/>
        <v>0</v>
      </c>
    </row>
    <row r="52" spans="1:5">
      <c r="A52" s="79">
        <v>3.1</v>
      </c>
      <c r="B52" s="83"/>
      <c r="C52" s="84"/>
      <c r="D52" s="881">
        <f>IF(C52&lt;=0.05*(i.04101!$E$47-i.04101!$E$40-i.04101!$E$41),i.04144a!C52,0.05*(i.04101!$E$47-i.04101!$E$40-i.04101!$E$41))</f>
        <v>0</v>
      </c>
      <c r="E52" s="880">
        <f t="shared" si="1"/>
        <v>0</v>
      </c>
    </row>
    <row r="53" spans="1:5">
      <c r="A53" s="70">
        <v>3.11</v>
      </c>
      <c r="B53" s="85" t="str">
        <f>"Бусад  "</f>
        <v xml:space="preserve">Бусад  </v>
      </c>
      <c r="C53" s="84"/>
      <c r="D53" s="881">
        <f>IF(C53&lt;=0.05*(i.04101!$E$47-i.04101!$E$40-i.04101!$E$41),i.04144a!C53,0.05*(i.04101!$E$47-i.04101!$E$40-i.04101!$E$41))</f>
        <v>0</v>
      </c>
      <c r="E53" s="880">
        <f t="shared" si="1"/>
        <v>0</v>
      </c>
    </row>
    <row r="54" spans="1:5" s="28" customFormat="1" ht="14.25" customHeight="1">
      <c r="A54" s="117" t="s">
        <v>869</v>
      </c>
      <c r="B54" s="118" t="str">
        <f>"Бэлэн мөнгө  "</f>
        <v xml:space="preserve">Бэлэн мөнгө  </v>
      </c>
      <c r="C54" s="883"/>
      <c r="D54" s="114">
        <f>IF(C54&lt;=0.02*(i.04101!$E$47-i.04101!E40-i.04101!E41),i.04144a!C54,0.02*(i.04101!$E$47-i.04101!E40-i.04101!E41))</f>
        <v>0</v>
      </c>
      <c r="E54" s="106">
        <f t="shared" si="1"/>
        <v>0</v>
      </c>
    </row>
    <row r="55" spans="1:5" s="28" customFormat="1" ht="27.75" customHeight="1">
      <c r="A55" s="118" t="s">
        <v>870</v>
      </c>
      <c r="B55" s="118" t="str">
        <f>"Хэвийн авлага /Хамгийн өндөр дүнтэйгээс эхлэн бичих/  "</f>
        <v xml:space="preserve">Хэвийн авлага /Хамгийн өндөр дүнтэйгээс эхлэн бичих/  </v>
      </c>
      <c r="C55" s="119">
        <f>C56+C57+C58+C59+C60+C61</f>
        <v>0</v>
      </c>
      <c r="D55" s="114">
        <f>D56+D57+D58+D59+D60+D61</f>
        <v>0</v>
      </c>
      <c r="E55" s="106">
        <f t="shared" si="1"/>
        <v>0</v>
      </c>
    </row>
    <row r="56" spans="1:5">
      <c r="A56" s="69" t="s">
        <v>766</v>
      </c>
      <c r="B56" s="71"/>
      <c r="C56" s="72"/>
      <c r="D56" s="881">
        <f>IF(C56&lt;=0.2*(i.04101!$E$47-i.04101!$E$40-i.04101!$E$41),i.04144a!C56,0.2*(i.04101!$E$47-i.04101!$E$40-i.04101!$E$41))</f>
        <v>0</v>
      </c>
      <c r="E56" s="880">
        <f t="shared" si="1"/>
        <v>0</v>
      </c>
    </row>
    <row r="57" spans="1:5">
      <c r="A57" s="69" t="s">
        <v>767</v>
      </c>
      <c r="B57" s="71"/>
      <c r="C57" s="72"/>
      <c r="D57" s="881">
        <f>IF(C57&lt;=0.2*(i.04101!$E$47-i.04101!$E$40-i.04101!$E$41),i.04144a!C57,0.2*(i.04101!$E$47-i.04101!$E$40-i.04101!$E$41))</f>
        <v>0</v>
      </c>
      <c r="E57" s="880">
        <f t="shared" si="1"/>
        <v>0</v>
      </c>
    </row>
    <row r="58" spans="1:5">
      <c r="A58" s="69" t="s">
        <v>768</v>
      </c>
      <c r="B58" s="71"/>
      <c r="C58" s="72"/>
      <c r="D58" s="881">
        <f>IF(C58&lt;=0.2*(i.04101!$E$47-i.04101!$E$40-i.04101!$E$41),i.04144a!C58,0.2*(i.04101!$E$47-i.04101!$E$40-i.04101!$E$41))</f>
        <v>0</v>
      </c>
      <c r="E58" s="880">
        <f t="shared" si="1"/>
        <v>0</v>
      </c>
    </row>
    <row r="59" spans="1:5">
      <c r="A59" s="69" t="s">
        <v>769</v>
      </c>
      <c r="B59" s="71"/>
      <c r="C59" s="72"/>
      <c r="D59" s="881">
        <f>IF(C59&lt;=0.2*(i.04101!$E$47-i.04101!$E$40-i.04101!$E$41),i.04144a!C59,0.2*(i.04101!$E$47-i.04101!$E$40-i.04101!$E$41))</f>
        <v>0</v>
      </c>
      <c r="E59" s="880">
        <f t="shared" si="1"/>
        <v>0</v>
      </c>
    </row>
    <row r="60" spans="1:5">
      <c r="A60" s="69" t="s">
        <v>770</v>
      </c>
      <c r="B60" s="71"/>
      <c r="C60" s="72"/>
      <c r="D60" s="881">
        <f>IF(C60&lt;=0.2*(i.04101!$E$47-i.04101!$E$40-i.04101!$E$41),i.04144a!C60,0.2*(i.04101!$E$47-i.04101!$E$40-i.04101!$E$41))</f>
        <v>0</v>
      </c>
      <c r="E60" s="880">
        <f t="shared" si="1"/>
        <v>0</v>
      </c>
    </row>
    <row r="61" spans="1:5">
      <c r="A61" s="69" t="s">
        <v>771</v>
      </c>
      <c r="B61" s="69" t="str">
        <f>"Бусад  "</f>
        <v xml:space="preserve">Бусад  </v>
      </c>
      <c r="C61" s="72"/>
      <c r="D61" s="881">
        <f>IF(C61&lt;=0.2*(i.04101!$E$47-i.04101!$E$40-i.04101!$E$41),i.04144a!C61,0.2*(i.04101!$E$47-i.04101!$E$40-i.04101!$E$41))</f>
        <v>0</v>
      </c>
      <c r="E61" s="880">
        <f t="shared" si="1"/>
        <v>0</v>
      </c>
    </row>
    <row r="62" spans="1:5" s="28" customFormat="1" ht="26">
      <c r="A62" s="118">
        <v>5.2</v>
      </c>
      <c r="B62" s="118" t="str">
        <f>"Хугацаа хэтэрсэн авлага /Хамгийн өндөр дүнтэйгээс эхлэн бичих/  "</f>
        <v xml:space="preserve">Хугацаа хэтэрсэн авлага /Хамгийн өндөр дүнтэйгээс эхлэн бичих/  </v>
      </c>
      <c r="C62" s="119">
        <f>C63+C64+C65+C66+C67+C68</f>
        <v>0</v>
      </c>
      <c r="D62" s="114">
        <f>D63+D64+D65+D66+D67+D68</f>
        <v>0</v>
      </c>
      <c r="E62" s="106">
        <f t="shared" si="1"/>
        <v>0</v>
      </c>
    </row>
    <row r="63" spans="1:5">
      <c r="A63" s="69" t="s">
        <v>772</v>
      </c>
      <c r="B63" s="71"/>
      <c r="C63" s="72"/>
      <c r="D63" s="881">
        <f>IF(C63&lt;=0.15*(i.04101!$E$47-i.04101!$E$40-i.04101!$E$41),i.04144a!C63,0.15*(i.04101!$E$47-i.04101!$E$40-i.04101!$E$41))</f>
        <v>0</v>
      </c>
      <c r="E63" s="880">
        <f t="shared" si="1"/>
        <v>0</v>
      </c>
    </row>
    <row r="64" spans="1:5">
      <c r="A64" s="69" t="s">
        <v>773</v>
      </c>
      <c r="B64" s="71"/>
      <c r="C64" s="72"/>
      <c r="D64" s="881">
        <f>IF(C64&lt;=0.15*(i.04101!$E$47-i.04101!$E$40-i.04101!$E$41),i.04144a!C64,0.15*(i.04101!$E$47-i.04101!$E$40-i.04101!$E$41))</f>
        <v>0</v>
      </c>
      <c r="E64" s="880">
        <f t="shared" si="1"/>
        <v>0</v>
      </c>
    </row>
    <row r="65" spans="1:5">
      <c r="A65" s="69" t="s">
        <v>774</v>
      </c>
      <c r="B65" s="71"/>
      <c r="C65" s="72"/>
      <c r="D65" s="881">
        <f>IF(C65&lt;=0.15*(i.04101!$E$47-i.04101!$E$40-i.04101!$E$41),i.04144a!C65,0.15*(i.04101!$E$47-i.04101!$E$40-i.04101!$E$41))</f>
        <v>0</v>
      </c>
      <c r="E65" s="880">
        <f t="shared" si="1"/>
        <v>0</v>
      </c>
    </row>
    <row r="66" spans="1:5">
      <c r="A66" s="69" t="s">
        <v>775</v>
      </c>
      <c r="B66" s="71"/>
      <c r="C66" s="72"/>
      <c r="D66" s="881">
        <f>IF(C66&lt;=0.15*(i.04101!$E$47-i.04101!$E$40-i.04101!$E$41),i.04144a!C66,0.15*(i.04101!$E$47-i.04101!$E$40-i.04101!$E$41))</f>
        <v>0</v>
      </c>
      <c r="E66" s="880">
        <f t="shared" si="1"/>
        <v>0</v>
      </c>
    </row>
    <row r="67" spans="1:5">
      <c r="A67" s="69" t="s">
        <v>776</v>
      </c>
      <c r="B67" s="71"/>
      <c r="C67" s="72"/>
      <c r="D67" s="881">
        <f>IF(C67&lt;=0.15*(i.04101!$E$47-i.04101!$E$40-i.04101!$E$41),i.04144a!C67,0.15*(i.04101!$E$47-i.04101!$E$40-i.04101!$E$41))</f>
        <v>0</v>
      </c>
      <c r="E67" s="880">
        <f t="shared" si="1"/>
        <v>0</v>
      </c>
    </row>
    <row r="68" spans="1:5">
      <c r="A68" s="69" t="s">
        <v>777</v>
      </c>
      <c r="B68" s="69" t="str">
        <f>"Бусад  "</f>
        <v xml:space="preserve">Бусад  </v>
      </c>
      <c r="C68" s="72"/>
      <c r="D68" s="881">
        <f>IF(C68&lt;=0.15*(i.04101!$E$47-i.04101!$E$40-i.04101!$E$41),i.04144a!C68,0.15*(i.04101!$E$47-i.04101!$E$40-i.04101!$E$41))</f>
        <v>0</v>
      </c>
      <c r="E68" s="880">
        <f t="shared" si="1"/>
        <v>0</v>
      </c>
    </row>
    <row r="69" spans="1:5" s="28" customFormat="1" ht="26">
      <c r="A69" s="118">
        <v>5.3</v>
      </c>
      <c r="B69" s="118" t="str">
        <f>"Хэвийн бус авлага /Хамгийн өндөр дүнтэйгээс эхлэн бичих/  "</f>
        <v xml:space="preserve">Хэвийн бус авлага /Хамгийн өндөр дүнтэйгээс эхлэн бичих/  </v>
      </c>
      <c r="C69" s="119">
        <f>C70+C71+C72+C73+C74+C75</f>
        <v>0</v>
      </c>
      <c r="D69" s="114">
        <f>D70+D71+D72+D73+D74+D75</f>
        <v>0</v>
      </c>
      <c r="E69" s="106">
        <f t="shared" si="1"/>
        <v>0</v>
      </c>
    </row>
    <row r="70" spans="1:5">
      <c r="A70" s="69" t="s">
        <v>778</v>
      </c>
      <c r="B70" s="71"/>
      <c r="C70" s="72"/>
      <c r="D70" s="881">
        <f>IF(C70&lt;=0.1*(i.04101!$E$47-i.04101!$E$40-i.04101!$E$41),i.04144a!C70,0.1*(i.04101!$E$47-i.04101!$E$40-i.04101!$E$41))</f>
        <v>0</v>
      </c>
      <c r="E70" s="880">
        <f t="shared" si="1"/>
        <v>0</v>
      </c>
    </row>
    <row r="71" spans="1:5">
      <c r="A71" s="69" t="s">
        <v>779</v>
      </c>
      <c r="B71" s="71"/>
      <c r="C71" s="72"/>
      <c r="D71" s="881">
        <f>IF(C71&lt;=0.1*(i.04101!$E$47-i.04101!$E$40-i.04101!$E$41),i.04144a!C71,0.1*(i.04101!$E$47-i.04101!$E$40-i.04101!$E$41))</f>
        <v>0</v>
      </c>
      <c r="E71" s="880">
        <f t="shared" si="1"/>
        <v>0</v>
      </c>
    </row>
    <row r="72" spans="1:5">
      <c r="A72" s="69" t="s">
        <v>780</v>
      </c>
      <c r="B72" s="71"/>
      <c r="C72" s="72"/>
      <c r="D72" s="881">
        <f>IF(C72&lt;=0.1*(i.04101!$E$47-i.04101!$E$40-i.04101!$E$41),i.04144a!C72,0.1*(i.04101!$E$47-i.04101!$E$40-i.04101!$E$41))</f>
        <v>0</v>
      </c>
      <c r="E72" s="880">
        <f t="shared" si="1"/>
        <v>0</v>
      </c>
    </row>
    <row r="73" spans="1:5">
      <c r="A73" s="69" t="s">
        <v>781</v>
      </c>
      <c r="B73" s="71"/>
      <c r="C73" s="72"/>
      <c r="D73" s="881">
        <f>IF(C73&lt;=0.1*(i.04101!$E$47-i.04101!$E$40-i.04101!$E$41),i.04144a!C73,0.1*(i.04101!$E$47-i.04101!$E$40-i.04101!$E$41))</f>
        <v>0</v>
      </c>
      <c r="E73" s="880">
        <f t="shared" si="1"/>
        <v>0</v>
      </c>
    </row>
    <row r="74" spans="1:5">
      <c r="A74" s="69" t="s">
        <v>782</v>
      </c>
      <c r="B74" s="71"/>
      <c r="C74" s="72"/>
      <c r="D74" s="881">
        <f>IF(C74&lt;=0.1*(i.04101!$E$47-i.04101!$E$40-i.04101!$E$41),i.04144a!C74,0.1*(i.04101!$E$47-i.04101!$E$40-i.04101!$E$41))</f>
        <v>0</v>
      </c>
      <c r="E74" s="880">
        <f t="shared" si="1"/>
        <v>0</v>
      </c>
    </row>
    <row r="75" spans="1:5">
      <c r="A75" s="69" t="s">
        <v>783</v>
      </c>
      <c r="B75" s="69" t="str">
        <f>"Бусад  "</f>
        <v xml:space="preserve">Бусад  </v>
      </c>
      <c r="C75" s="72"/>
      <c r="D75" s="881">
        <f>IF(C75&lt;=0.1*(i.04101!$E$47-i.04101!$E$40-i.04101!$E$41),i.04144a!C75,0.1*(i.04101!$E$47-i.04101!$E$40-i.04101!$E$41))</f>
        <v>0</v>
      </c>
      <c r="E75" s="880">
        <f t="shared" si="1"/>
        <v>0</v>
      </c>
    </row>
    <row r="76" spans="1:5" s="28" customFormat="1" ht="26">
      <c r="A76" s="118">
        <v>5.4</v>
      </c>
      <c r="B76" s="118" t="str">
        <f>"Эргэлзээтэй авлага /Хамгийн өндөр дүнтэйгээс эхлэн бичих/  "</f>
        <v xml:space="preserve">Эргэлзээтэй авлага /Хамгийн өндөр дүнтэйгээс эхлэн бичих/  </v>
      </c>
      <c r="C76" s="119">
        <f>C77+C78+C79+C80+C81+C82</f>
        <v>0</v>
      </c>
      <c r="D76" s="114">
        <f>D77+D78+D79+D80+D81+D82</f>
        <v>0</v>
      </c>
      <c r="E76" s="106">
        <f t="shared" si="1"/>
        <v>0</v>
      </c>
    </row>
    <row r="77" spans="1:5">
      <c r="A77" s="69" t="s">
        <v>784</v>
      </c>
      <c r="B77" s="71"/>
      <c r="C77" s="72"/>
      <c r="D77" s="881">
        <f>IF(C77&lt;=0*(i.04101!$E$47-i.04101!$E$40-i.04101!$E$41),i.04144a!C77,0*(i.04101!$E$47-i.04101!$E$40-i.04101!$E$41))</f>
        <v>0</v>
      </c>
      <c r="E77" s="880">
        <f t="shared" ref="E77:E140" si="2">C77-D77</f>
        <v>0</v>
      </c>
    </row>
    <row r="78" spans="1:5">
      <c r="A78" s="69" t="s">
        <v>785</v>
      </c>
      <c r="B78" s="71"/>
      <c r="C78" s="72"/>
      <c r="D78" s="881">
        <f>IF(C78&lt;=0*(i.04101!$E$47-i.04101!$E$40-i.04101!$E$41),i.04144a!C78,0*(i.04101!$E$47-i.04101!$E$40-i.04101!$E$41))</f>
        <v>0</v>
      </c>
      <c r="E78" s="880">
        <f t="shared" si="2"/>
        <v>0</v>
      </c>
    </row>
    <row r="79" spans="1:5">
      <c r="A79" s="69" t="s">
        <v>786</v>
      </c>
      <c r="B79" s="71"/>
      <c r="C79" s="72"/>
      <c r="D79" s="881">
        <f>IF(C79&lt;=0*(i.04101!$E$47-i.04101!$E$40-i.04101!$E$41),i.04144a!C79,0*(i.04101!$E$47-i.04101!$E$40-i.04101!$E$41))</f>
        <v>0</v>
      </c>
      <c r="E79" s="880">
        <f t="shared" si="2"/>
        <v>0</v>
      </c>
    </row>
    <row r="80" spans="1:5">
      <c r="A80" s="69" t="s">
        <v>787</v>
      </c>
      <c r="B80" s="71"/>
      <c r="C80" s="72"/>
      <c r="D80" s="881">
        <f>IF(C80&lt;=0*(i.04101!$E$47-i.04101!$E$40-i.04101!$E$41),i.04144a!C80,0*(i.04101!$E$47-i.04101!$E$40-i.04101!$E$41))</f>
        <v>0</v>
      </c>
      <c r="E80" s="880">
        <f t="shared" si="2"/>
        <v>0</v>
      </c>
    </row>
    <row r="81" spans="1:5">
      <c r="A81" s="69" t="s">
        <v>788</v>
      </c>
      <c r="B81" s="71"/>
      <c r="C81" s="72"/>
      <c r="D81" s="881">
        <f>IF(C81&lt;=0*(i.04101!$E$47-i.04101!$E$40-i.04101!$E$41),i.04144a!C81,0*(i.04101!$E$47-i.04101!$E$40-i.04101!$E$41))</f>
        <v>0</v>
      </c>
      <c r="E81" s="880">
        <f t="shared" si="2"/>
        <v>0</v>
      </c>
    </row>
    <row r="82" spans="1:5">
      <c r="A82" s="69" t="s">
        <v>789</v>
      </c>
      <c r="B82" s="69" t="str">
        <f>"Бусад  "</f>
        <v xml:space="preserve">Бусад  </v>
      </c>
      <c r="C82" s="72"/>
      <c r="D82" s="881">
        <f>IF(C82&lt;=0*(i.04101!$E$47-i.04101!$E$40-i.04101!$E$41),i.04144a!C82,0*(i.04101!$E$47-i.04101!$E$40-i.04101!$E$41))</f>
        <v>0</v>
      </c>
      <c r="E82" s="880">
        <f t="shared" si="2"/>
        <v>0</v>
      </c>
    </row>
    <row r="83" spans="1:5" s="28" customFormat="1" ht="26">
      <c r="A83" s="118">
        <v>5.5</v>
      </c>
      <c r="B83" s="118" t="str">
        <f>"Муу авлага /Хамгийн өндөр дүнтэйгээс эхлэн бичих/  "</f>
        <v xml:space="preserve">Муу авлага /Хамгийн өндөр дүнтэйгээс эхлэн бичих/  </v>
      </c>
      <c r="C83" s="119">
        <f>C84+C85+C86+C87+C88+C89</f>
        <v>0</v>
      </c>
      <c r="D83" s="114">
        <f>D84+D85+D86+D87+D88+D89</f>
        <v>0</v>
      </c>
      <c r="E83" s="106">
        <f t="shared" si="2"/>
        <v>0</v>
      </c>
    </row>
    <row r="84" spans="1:5">
      <c r="A84" s="69" t="s">
        <v>790</v>
      </c>
      <c r="B84" s="71"/>
      <c r="C84" s="72"/>
      <c r="D84" s="881">
        <f>IF(C84&lt;=0*(i.04101!$E$47-i.04101!$E$40-i.04101!$E$41),i.04144a!C84,0*(i.04101!$E$47-i.04101!$E$40-i.04101!$E$41))</f>
        <v>0</v>
      </c>
      <c r="E84" s="880">
        <f t="shared" si="2"/>
        <v>0</v>
      </c>
    </row>
    <row r="85" spans="1:5">
      <c r="A85" s="69" t="s">
        <v>791</v>
      </c>
      <c r="B85" s="71"/>
      <c r="C85" s="72"/>
      <c r="D85" s="881">
        <f>IF(C85&lt;=0*(i.04101!$E$47-i.04101!$E$40-i.04101!$E$41),i.04144a!C85,0*(i.04101!$E$47-i.04101!$E$40-i.04101!$E$41))</f>
        <v>0</v>
      </c>
      <c r="E85" s="880">
        <f t="shared" si="2"/>
        <v>0</v>
      </c>
    </row>
    <row r="86" spans="1:5">
      <c r="A86" s="69" t="s">
        <v>792</v>
      </c>
      <c r="B86" s="71"/>
      <c r="C86" s="72"/>
      <c r="D86" s="881">
        <f>IF(C86&lt;=0*(i.04101!$E$47-i.04101!$E$40-i.04101!$E$41),i.04144a!C86,0*(i.04101!$E$47-i.04101!$E$40-i.04101!$E$41))</f>
        <v>0</v>
      </c>
      <c r="E86" s="880">
        <f t="shared" si="2"/>
        <v>0</v>
      </c>
    </row>
    <row r="87" spans="1:5">
      <c r="A87" s="69" t="s">
        <v>793</v>
      </c>
      <c r="B87" s="71"/>
      <c r="C87" s="72"/>
      <c r="D87" s="881">
        <f>IF(C87&lt;=0*(i.04101!$E$47-i.04101!$E$40-i.04101!$E$41),i.04144a!C87,0*(i.04101!$E$47-i.04101!$E$40-i.04101!$E$41))</f>
        <v>0</v>
      </c>
      <c r="E87" s="880">
        <f t="shared" si="2"/>
        <v>0</v>
      </c>
    </row>
    <row r="88" spans="1:5">
      <c r="A88" s="69" t="s">
        <v>794</v>
      </c>
      <c r="B88" s="71"/>
      <c r="C88" s="72"/>
      <c r="D88" s="881">
        <f>IF(C88&lt;=0*(i.04101!$E$47-i.04101!$E$40-i.04101!$E$41),i.04144a!C88,0*(i.04101!$E$47-i.04101!$E$40-i.04101!$E$41))</f>
        <v>0</v>
      </c>
      <c r="E88" s="880">
        <f t="shared" si="2"/>
        <v>0</v>
      </c>
    </row>
    <row r="89" spans="1:5">
      <c r="A89" s="69" t="s">
        <v>795</v>
      </c>
      <c r="B89" s="69" t="str">
        <f>"Бусад  "</f>
        <v xml:space="preserve">Бусад  </v>
      </c>
      <c r="C89" s="72"/>
      <c r="D89" s="881">
        <f>IF(C89&lt;=0*(i.04101!$E$47-i.04101!$E$40-i.04101!$E$41),i.04144a!C89,0*(i.04101!$E$47-i.04101!$E$40-i.04101!$E$41))</f>
        <v>0</v>
      </c>
      <c r="E89" s="880">
        <f t="shared" si="2"/>
        <v>0</v>
      </c>
    </row>
    <row r="90" spans="1:5" s="28" customFormat="1" ht="29.25" customHeight="1">
      <c r="A90" s="111" t="s">
        <v>871</v>
      </c>
      <c r="B90" s="112" t="str">
        <f>"Банкны хадгаламжийн сертификат  /Хамгийн өндөр дүнтэйгээс эхлэн бичих/  "</f>
        <v xml:space="preserve">Банкны хадгаламжийн сертификат  /Хамгийн өндөр дүнтэйгээс эхлэн бичих/  </v>
      </c>
      <c r="C90" s="113">
        <f>C91+C92+C93+C94+C95+C96+C97+C98+C99+C100+C101</f>
        <v>0</v>
      </c>
      <c r="D90" s="114">
        <f>D91+D92+D93+D94+D95+D96+D97+D98+D99+D100+D101</f>
        <v>0</v>
      </c>
      <c r="E90" s="106">
        <f t="shared" si="2"/>
        <v>0</v>
      </c>
    </row>
    <row r="91" spans="1:5">
      <c r="A91" s="70">
        <v>6.1</v>
      </c>
      <c r="B91" s="81"/>
      <c r="C91" s="82"/>
      <c r="D91" s="881">
        <f>IF(C91&lt;=0.2*(i.04101!$E$47-i.04101!$E$40-i.04101!$E$41),i.04144a!C91,0.02*(i.04101!$E$47-i.04101!$E$40-i.04101!$E$41))</f>
        <v>0</v>
      </c>
      <c r="E91" s="880">
        <f t="shared" si="2"/>
        <v>0</v>
      </c>
    </row>
    <row r="92" spans="1:5">
      <c r="A92" s="70">
        <v>6.2</v>
      </c>
      <c r="B92" s="81"/>
      <c r="C92" s="82"/>
      <c r="D92" s="881">
        <f>IF(C92&lt;=0.2*(i.04101!$E$47-i.04101!$E$40-i.04101!$E$41),i.04144a!C92,0.02*(i.04101!$E$47-i.04101!$E$40-i.04101!$E$41))</f>
        <v>0</v>
      </c>
      <c r="E92" s="880">
        <f t="shared" si="2"/>
        <v>0</v>
      </c>
    </row>
    <row r="93" spans="1:5">
      <c r="A93" s="70">
        <v>6.3</v>
      </c>
      <c r="B93" s="81"/>
      <c r="C93" s="82"/>
      <c r="D93" s="881">
        <f>IF(C93&lt;=0.2*(i.04101!$E$47-i.04101!$E$40-i.04101!$E$41),i.04144a!C93,0.02*(i.04101!$E$47-i.04101!$E$40-i.04101!$E$41))</f>
        <v>0</v>
      </c>
      <c r="E93" s="880">
        <f t="shared" si="2"/>
        <v>0</v>
      </c>
    </row>
    <row r="94" spans="1:5">
      <c r="A94" s="70">
        <v>6.4</v>
      </c>
      <c r="B94" s="81"/>
      <c r="C94" s="82"/>
      <c r="D94" s="881">
        <f>IF(C94&lt;=0.2*(i.04101!$E$47-i.04101!$E$40-i.04101!$E$41),i.04144a!C94,0.02*(i.04101!$E$47-i.04101!$E$40-i.04101!$E$41))</f>
        <v>0</v>
      </c>
      <c r="E94" s="880">
        <f t="shared" si="2"/>
        <v>0</v>
      </c>
    </row>
    <row r="95" spans="1:5">
      <c r="A95" s="70">
        <v>6.5</v>
      </c>
      <c r="B95" s="81"/>
      <c r="C95" s="82"/>
      <c r="D95" s="881">
        <f>IF(C95&lt;=0.2*(i.04101!$E$47-i.04101!$E$40-i.04101!$E$41),i.04144a!C95,0.02*(i.04101!$E$47-i.04101!$E$40-i.04101!$E$41))</f>
        <v>0</v>
      </c>
      <c r="E95" s="880">
        <f t="shared" si="2"/>
        <v>0</v>
      </c>
    </row>
    <row r="96" spans="1:5">
      <c r="A96" s="70">
        <v>6.6</v>
      </c>
      <c r="B96" s="81"/>
      <c r="C96" s="82"/>
      <c r="D96" s="881">
        <f>IF(C96&lt;=0.2*(i.04101!$E$47-i.04101!$E$40-i.04101!$E$41),i.04144a!C96,0.02*(i.04101!$E$47-i.04101!$E$40-i.04101!$E$41))</f>
        <v>0</v>
      </c>
      <c r="E96" s="880">
        <f t="shared" si="2"/>
        <v>0</v>
      </c>
    </row>
    <row r="97" spans="1:5">
      <c r="A97" s="70">
        <v>6.7</v>
      </c>
      <c r="B97" s="81"/>
      <c r="C97" s="82"/>
      <c r="D97" s="881">
        <f>IF(C97&lt;=0.2*(i.04101!$E$47-i.04101!$E$40-i.04101!$E$41),i.04144a!C97,0.02*(i.04101!$E$47-i.04101!$E$40-i.04101!$E$41))</f>
        <v>0</v>
      </c>
      <c r="E97" s="880">
        <f t="shared" si="2"/>
        <v>0</v>
      </c>
    </row>
    <row r="98" spans="1:5">
      <c r="A98" s="70">
        <v>6.8</v>
      </c>
      <c r="B98" s="81"/>
      <c r="C98" s="82"/>
      <c r="D98" s="881">
        <f>IF(C98&lt;=0.2*(i.04101!$E$47-i.04101!$E$40-i.04101!$E$41),i.04144a!C98,0.02*(i.04101!$E$47-i.04101!$E$40-i.04101!$E$41))</f>
        <v>0</v>
      </c>
      <c r="E98" s="880">
        <f t="shared" si="2"/>
        <v>0</v>
      </c>
    </row>
    <row r="99" spans="1:5">
      <c r="A99" s="70">
        <v>6.9</v>
      </c>
      <c r="B99" s="81"/>
      <c r="C99" s="82"/>
      <c r="D99" s="881">
        <f>IF(C99&lt;=0.2*(i.04101!$E$47-i.04101!$E$40-i.04101!$E$41),i.04144a!C99,0.02*(i.04101!$E$47-i.04101!$E$40-i.04101!$E$41))</f>
        <v>0</v>
      </c>
      <c r="E99" s="880">
        <f t="shared" si="2"/>
        <v>0</v>
      </c>
    </row>
    <row r="100" spans="1:5">
      <c r="A100" s="79">
        <v>6.1</v>
      </c>
      <c r="B100" s="81"/>
      <c r="C100" s="82"/>
      <c r="D100" s="881">
        <f>IF(C100&lt;=0.2*(i.04101!$E$47-i.04101!$E$40-i.04101!$E$41),i.04144a!C100,0.02*(i.04101!$E$47-i.04101!$E$40-i.04101!$E$41))</f>
        <v>0</v>
      </c>
      <c r="E100" s="880">
        <f t="shared" si="2"/>
        <v>0</v>
      </c>
    </row>
    <row r="101" spans="1:5">
      <c r="A101" s="70">
        <v>6.11</v>
      </c>
      <c r="B101" s="77" t="str">
        <f>"Бусад  "</f>
        <v xml:space="preserve">Бусад  </v>
      </c>
      <c r="C101" s="82"/>
      <c r="D101" s="881">
        <f>IF(C101&lt;=0.2*(i.04101!$E$47-i.04101!$E$40-i.04101!$E$41),i.04144a!C101,0.02*(i.04101!$E$47-i.04101!$E$40-i.04101!$E$41))</f>
        <v>0</v>
      </c>
      <c r="E101" s="880">
        <f t="shared" si="2"/>
        <v>0</v>
      </c>
    </row>
    <row r="102" spans="1:5" s="28" customFormat="1" ht="15.75" customHeight="1">
      <c r="A102" s="117" t="s">
        <v>872</v>
      </c>
      <c r="B102" s="117" t="str">
        <f>"Засгийн газраас гаргасан өрийн хэрэгсэл  "</f>
        <v xml:space="preserve">Засгийн газраас гаргасан өрийн хэрэгсэл  </v>
      </c>
      <c r="C102" s="882"/>
      <c r="D102" s="114">
        <f>C102</f>
        <v>0</v>
      </c>
      <c r="E102" s="106">
        <f t="shared" si="2"/>
        <v>0</v>
      </c>
    </row>
    <row r="103" spans="1:5" s="28" customFormat="1" ht="15.75" customHeight="1">
      <c r="A103" s="117" t="s">
        <v>873</v>
      </c>
      <c r="B103" s="117" t="str">
        <f>"Төв банкны үнэт цаас  "</f>
        <v xml:space="preserve">Төв банкны үнэт цаас  </v>
      </c>
      <c r="C103" s="882"/>
      <c r="D103" s="114">
        <f>IF(C103&lt;=0.6*(i.04101!$E$47-i.04101!$E$40-i.04101!$E$41),i.04144a!C103,0.6*(i.04101!$E$47-i.04101!$E$40-i.04101!$E$41))</f>
        <v>0</v>
      </c>
      <c r="E103" s="106">
        <f t="shared" si="2"/>
        <v>0</v>
      </c>
    </row>
    <row r="104" spans="1:5" s="28" customFormat="1" ht="23.25" customHeight="1">
      <c r="A104" s="117" t="s">
        <v>874</v>
      </c>
      <c r="B104" s="117" t="str">
        <f>"Хөрөнгөөр баталгаажсан үнэт цаас /Хамгийн өндөр дүнтэйгээс эхлэн бичих/  "</f>
        <v xml:space="preserve">Хөрөнгөөр баталгаажсан үнэт цаас /Хамгийн өндөр дүнтэйгээс эхлэн бичих/  </v>
      </c>
      <c r="C104" s="120">
        <f>SUM(C105:C110)</f>
        <v>0</v>
      </c>
      <c r="D104" s="114">
        <f>D105+D106+D107+D108+D109+D110</f>
        <v>0</v>
      </c>
      <c r="E104" s="106">
        <f t="shared" si="2"/>
        <v>0</v>
      </c>
    </row>
    <row r="105" spans="1:5">
      <c r="A105" s="86">
        <v>9.1</v>
      </c>
      <c r="B105" s="87"/>
      <c r="C105" s="287"/>
      <c r="D105" s="881">
        <f>IF(C105&lt;=0.2*(i.04101!$E$47-i.04101!$E$40-i.04101!$E$41),i.04144a!C105,0.2*(i.04101!$E$47-i.04101!$E$40-i.04101!$E$41))</f>
        <v>0</v>
      </c>
      <c r="E105" s="880">
        <f t="shared" si="2"/>
        <v>0</v>
      </c>
    </row>
    <row r="106" spans="1:5">
      <c r="A106" s="86">
        <v>9.1999999999999993</v>
      </c>
      <c r="B106" s="87"/>
      <c r="C106" s="287"/>
      <c r="D106" s="881">
        <f>IF(C106&lt;=0.2*(i.04101!$E$47-i.04101!$E$40-i.04101!$E$41),i.04144a!C106,0.2*(i.04101!$E$47-i.04101!$E$40-i.04101!$E$41))</f>
        <v>0</v>
      </c>
      <c r="E106" s="880">
        <f t="shared" si="2"/>
        <v>0</v>
      </c>
    </row>
    <row r="107" spans="1:5">
      <c r="A107" s="86">
        <v>9.3000000000000007</v>
      </c>
      <c r="B107" s="87"/>
      <c r="C107" s="287"/>
      <c r="D107" s="881">
        <f>IF(C107&lt;=0.2*(i.04101!$E$47-i.04101!$E$40-i.04101!$E$41),i.04144a!C107,0.2*(i.04101!$E$47-i.04101!$E$40-i.04101!$E$41))</f>
        <v>0</v>
      </c>
      <c r="E107" s="880">
        <f t="shared" si="2"/>
        <v>0</v>
      </c>
    </row>
    <row r="108" spans="1:5">
      <c r="A108" s="86">
        <v>9.4</v>
      </c>
      <c r="B108" s="87"/>
      <c r="C108" s="287"/>
      <c r="D108" s="881">
        <f>IF(C108&lt;=0.2*(i.04101!$E$47-i.04101!$E$40-i.04101!$E$41),i.04144a!C108,0.2*(i.04101!$E$47-i.04101!$E$40-i.04101!$E$41))</f>
        <v>0</v>
      </c>
      <c r="E108" s="880">
        <f t="shared" si="2"/>
        <v>0</v>
      </c>
    </row>
    <row r="109" spans="1:5">
      <c r="A109" s="86">
        <v>9.5</v>
      </c>
      <c r="B109" s="87"/>
      <c r="C109" s="287"/>
      <c r="D109" s="881">
        <f>IF(C109&lt;=0.2*(i.04101!$E$47-i.04101!$E$40-i.04101!$E$41),i.04144a!C109,0.2*(i.04101!$E$47-i.04101!$E$40-i.04101!$E$41))</f>
        <v>0</v>
      </c>
      <c r="E109" s="880">
        <f t="shared" si="2"/>
        <v>0</v>
      </c>
    </row>
    <row r="110" spans="1:5">
      <c r="A110" s="86">
        <v>9.6</v>
      </c>
      <c r="B110" s="86" t="str">
        <f>"Бусад  "</f>
        <v xml:space="preserve">Бусад  </v>
      </c>
      <c r="C110" s="287"/>
      <c r="D110" s="881">
        <f>IF(C110&lt;=0.2*(i.04101!$E$47-i.04101!$E$40-i.04101!$E$41),i.04144a!C110,0.2*(i.04101!$E$47-i.04101!$E$40-i.04101!$E$41))</f>
        <v>0</v>
      </c>
      <c r="E110" s="880">
        <f t="shared" si="2"/>
        <v>0</v>
      </c>
    </row>
    <row r="111" spans="1:5" s="28" customFormat="1" ht="39">
      <c r="A111" s="118" t="s">
        <v>875</v>
      </c>
      <c r="B111" s="118" t="str">
        <f>"Аймаг нийслэлийн гаргасан өрийн хэрэгсэл/Хамгийн өндөр дүнтэйгээс эхлэн бичих/   "</f>
        <v xml:space="preserve">Аймаг нийслэлийн гаргасан өрийн хэрэгсэл/Хамгийн өндөр дүнтэйгээс эхлэн бичих/   </v>
      </c>
      <c r="C111" s="120">
        <f>C112+C113+C114+C115+C116+C117+C118+C119+C120+C121+C122</f>
        <v>0</v>
      </c>
      <c r="D111" s="114">
        <f>D112+D113+D114+D115+D116+D117+D118+D119+D120+D121+D122</f>
        <v>0</v>
      </c>
      <c r="E111" s="106">
        <f t="shared" si="2"/>
        <v>0</v>
      </c>
    </row>
    <row r="112" spans="1:5">
      <c r="A112" s="69">
        <v>10.1</v>
      </c>
      <c r="B112" s="71"/>
      <c r="C112" s="88"/>
      <c r="D112" s="881">
        <f>IF(C112&lt;=0.2*(i.04101!$E$47-i.04101!$E$40-i.04101!$E$41),i.04144a!C112,0.2*(i.04101!$E$47-i.04101!$E$40-i.04101!$E$41))</f>
        <v>0</v>
      </c>
      <c r="E112" s="880">
        <f t="shared" si="2"/>
        <v>0</v>
      </c>
    </row>
    <row r="113" spans="1:5">
      <c r="A113" s="69">
        <v>10.199999999999999</v>
      </c>
      <c r="B113" s="71"/>
      <c r="C113" s="88"/>
      <c r="D113" s="881">
        <f>IF(C113&lt;=0.2*(i.04101!$E$47-i.04101!$E$40-i.04101!$E$41),i.04144a!C113,0.2*(i.04101!$E$47-i.04101!$E$40-i.04101!$E$41))</f>
        <v>0</v>
      </c>
      <c r="E113" s="880">
        <f t="shared" si="2"/>
        <v>0</v>
      </c>
    </row>
    <row r="114" spans="1:5">
      <c r="A114" s="69">
        <v>10.3</v>
      </c>
      <c r="B114" s="71"/>
      <c r="C114" s="88"/>
      <c r="D114" s="881">
        <f>IF(C114&lt;=0.2*(i.04101!$E$47-i.04101!$E$40-i.04101!$E$41),i.04144a!C114,0.2*(i.04101!$E$47-i.04101!$E$40-i.04101!$E$41))</f>
        <v>0</v>
      </c>
      <c r="E114" s="880">
        <f t="shared" si="2"/>
        <v>0</v>
      </c>
    </row>
    <row r="115" spans="1:5">
      <c r="A115" s="69">
        <v>10.4</v>
      </c>
      <c r="B115" s="71"/>
      <c r="C115" s="88"/>
      <c r="D115" s="881">
        <f>IF(C115&lt;=0.2*(i.04101!$E$47-i.04101!$E$40-i.04101!$E$41),i.04144a!C115,0.2*(i.04101!$E$47-i.04101!$E$40-i.04101!$E$41))</f>
        <v>0</v>
      </c>
      <c r="E115" s="880">
        <f t="shared" si="2"/>
        <v>0</v>
      </c>
    </row>
    <row r="116" spans="1:5">
      <c r="A116" s="69">
        <v>10.5</v>
      </c>
      <c r="B116" s="71"/>
      <c r="C116" s="88"/>
      <c r="D116" s="881">
        <f>IF(C116&lt;=0.2*(i.04101!$E$47-i.04101!$E$40-i.04101!$E$41),i.04144a!C116,0.2*(i.04101!$E$47-i.04101!$E$40-i.04101!$E$41))</f>
        <v>0</v>
      </c>
      <c r="E116" s="880">
        <f t="shared" si="2"/>
        <v>0</v>
      </c>
    </row>
    <row r="117" spans="1:5">
      <c r="A117" s="69">
        <v>10.6</v>
      </c>
      <c r="B117" s="71"/>
      <c r="C117" s="88"/>
      <c r="D117" s="881">
        <f>IF(C117&lt;=0.2*(i.04101!$E$47-i.04101!$E$40-i.04101!$E$41),i.04144a!C117,0.2*(i.04101!$E$47-i.04101!$E$40-i.04101!$E$41))</f>
        <v>0</v>
      </c>
      <c r="E117" s="880">
        <f t="shared" si="2"/>
        <v>0</v>
      </c>
    </row>
    <row r="118" spans="1:5">
      <c r="A118" s="69">
        <v>10.7</v>
      </c>
      <c r="B118" s="71"/>
      <c r="C118" s="88"/>
      <c r="D118" s="881">
        <f>IF(C118&lt;=0.2*(i.04101!$E$47-i.04101!$E$40-i.04101!$E$41),i.04144a!C118,0.2*(i.04101!$E$47-i.04101!$E$40-i.04101!$E$41))</f>
        <v>0</v>
      </c>
      <c r="E118" s="880">
        <f t="shared" si="2"/>
        <v>0</v>
      </c>
    </row>
    <row r="119" spans="1:5">
      <c r="A119" s="69">
        <v>10.8</v>
      </c>
      <c r="B119" s="71"/>
      <c r="C119" s="88"/>
      <c r="D119" s="881">
        <f>IF(C119&lt;=0.2*(i.04101!$E$47-i.04101!$E$40-i.04101!$E$41),i.04144a!C119,0.2*(i.04101!$E$47-i.04101!$E$40-i.04101!$E$41))</f>
        <v>0</v>
      </c>
      <c r="E119" s="880">
        <f t="shared" si="2"/>
        <v>0</v>
      </c>
    </row>
    <row r="120" spans="1:5">
      <c r="A120" s="69">
        <v>10.9</v>
      </c>
      <c r="B120" s="71"/>
      <c r="C120" s="88"/>
      <c r="D120" s="881">
        <f>IF(C120&lt;=0.2*(i.04101!$E$47-i.04101!$E$40-i.04101!$E$41),i.04144a!C120,0.2*(i.04101!$E$47-i.04101!$E$40-i.04101!$E$41))</f>
        <v>0</v>
      </c>
      <c r="E120" s="880">
        <f t="shared" si="2"/>
        <v>0</v>
      </c>
    </row>
    <row r="121" spans="1:5">
      <c r="A121" s="89">
        <v>10.1</v>
      </c>
      <c r="B121" s="71"/>
      <c r="C121" s="88"/>
      <c r="D121" s="881">
        <f>IF(C121&lt;=0.2*(i.04101!$E$47-i.04101!$E$40-i.04101!$E$41),i.04144a!C121,0.2*(i.04101!$E$47-i.04101!$E$40-i.04101!$E$41))</f>
        <v>0</v>
      </c>
      <c r="E121" s="880">
        <f t="shared" si="2"/>
        <v>0</v>
      </c>
    </row>
    <row r="122" spans="1:5">
      <c r="A122" s="69">
        <v>10.11</v>
      </c>
      <c r="B122" s="69" t="str">
        <f>"Бусад  "</f>
        <v xml:space="preserve">Бусад  </v>
      </c>
      <c r="C122" s="88"/>
      <c r="D122" s="881">
        <f>IF(C122&lt;=0.2*(i.04101!$E$47-i.04101!$E$40-i.04101!$E$41),i.04144a!C122,0.2*(i.04101!$E$47-i.04101!$E$40-i.04101!$E$41))</f>
        <v>0</v>
      </c>
      <c r="E122" s="880">
        <f t="shared" si="2"/>
        <v>0</v>
      </c>
    </row>
    <row r="123" spans="1:5" s="28" customFormat="1" ht="28.5" customHeight="1">
      <c r="A123" s="118" t="s">
        <v>876</v>
      </c>
      <c r="B123" s="118" t="str">
        <f>"Компанийн өрийн хэрэгсэл /Хамгийн өндөр дүнтэйгээс эхлэн бичих/   "</f>
        <v xml:space="preserve">Компанийн өрийн хэрэгсэл /Хамгийн өндөр дүнтэйгээс эхлэн бичих/   </v>
      </c>
      <c r="C123" s="120">
        <f>C124+C125+C126+C127+C128+C129+C130+C131+C132+C133+C134</f>
        <v>0</v>
      </c>
      <c r="D123" s="114">
        <f>D124+D125+D126+D127+D128+D129+D130+D131+D132+D133+D134</f>
        <v>0</v>
      </c>
      <c r="E123" s="106">
        <f t="shared" si="2"/>
        <v>0</v>
      </c>
    </row>
    <row r="124" spans="1:5">
      <c r="A124" s="69">
        <v>11.1</v>
      </c>
      <c r="B124" s="71"/>
      <c r="C124" s="88"/>
      <c r="D124" s="881">
        <f>IF(C124&lt;=0.1*(i.04101!$E$47-i.04101!$E$40-i.04101!$E$41),i.04144a!C124,0.1*(i.04101!$E$47-i.04101!$E$40-i.04101!$E$41))</f>
        <v>0</v>
      </c>
      <c r="E124" s="880">
        <f t="shared" si="2"/>
        <v>0</v>
      </c>
    </row>
    <row r="125" spans="1:5">
      <c r="A125" s="69">
        <v>11.2</v>
      </c>
      <c r="B125" s="71"/>
      <c r="C125" s="88"/>
      <c r="D125" s="881">
        <f>IF(C125&lt;=0.1*(i.04101!$E$47-i.04101!$E$40-i.04101!$E$41),i.04144a!C125,0.1*(i.04101!$E$47-i.04101!$E$40-i.04101!$E$41))</f>
        <v>0</v>
      </c>
      <c r="E125" s="880">
        <f t="shared" si="2"/>
        <v>0</v>
      </c>
    </row>
    <row r="126" spans="1:5">
      <c r="A126" s="69">
        <v>11.3</v>
      </c>
      <c r="B126" s="71"/>
      <c r="C126" s="88"/>
      <c r="D126" s="881">
        <f>IF(C126&lt;=0.1*(i.04101!$E$47-i.04101!$E$40-i.04101!$E$41),i.04144a!C126,0.1*(i.04101!$E$47-i.04101!$E$40-i.04101!$E$41))</f>
        <v>0</v>
      </c>
      <c r="E126" s="880">
        <f t="shared" si="2"/>
        <v>0</v>
      </c>
    </row>
    <row r="127" spans="1:5">
      <c r="A127" s="69">
        <v>11.4</v>
      </c>
      <c r="B127" s="71"/>
      <c r="C127" s="88"/>
      <c r="D127" s="881">
        <f>IF(C127&lt;=0.1*(i.04101!$E$47-i.04101!$E$40-i.04101!$E$41),i.04144a!C127,0.1*(i.04101!$E$47-i.04101!$E$40-i.04101!$E$41))</f>
        <v>0</v>
      </c>
      <c r="E127" s="880">
        <f t="shared" si="2"/>
        <v>0</v>
      </c>
    </row>
    <row r="128" spans="1:5">
      <c r="A128" s="69">
        <v>11.5</v>
      </c>
      <c r="B128" s="71"/>
      <c r="C128" s="88"/>
      <c r="D128" s="881">
        <f>IF(C128&lt;=0.1*(i.04101!$E$47-i.04101!$E$40-i.04101!$E$41),i.04144a!C128,0.1*(i.04101!$E$47-i.04101!$E$40-i.04101!$E$41))</f>
        <v>0</v>
      </c>
      <c r="E128" s="880">
        <f t="shared" si="2"/>
        <v>0</v>
      </c>
    </row>
    <row r="129" spans="1:5">
      <c r="A129" s="69">
        <v>11.6</v>
      </c>
      <c r="B129" s="71"/>
      <c r="C129" s="88"/>
      <c r="D129" s="881">
        <f>IF(C129&lt;=0.1*(i.04101!$E$47-i.04101!$E$40-i.04101!$E$41),i.04144a!C129,0.1*(i.04101!$E$47-i.04101!$E$40-i.04101!$E$41))</f>
        <v>0</v>
      </c>
      <c r="E129" s="880">
        <f t="shared" si="2"/>
        <v>0</v>
      </c>
    </row>
    <row r="130" spans="1:5">
      <c r="A130" s="69">
        <v>11.7</v>
      </c>
      <c r="B130" s="71"/>
      <c r="C130" s="88"/>
      <c r="D130" s="881">
        <f>IF(C130&lt;=0.1*(i.04101!$E$47-i.04101!$E$40-i.04101!$E$41),i.04144a!C130,0.1*(i.04101!$E$47-i.04101!$E$40-i.04101!$E$41))</f>
        <v>0</v>
      </c>
      <c r="E130" s="880">
        <f t="shared" si="2"/>
        <v>0</v>
      </c>
    </row>
    <row r="131" spans="1:5">
      <c r="A131" s="69">
        <v>11.8</v>
      </c>
      <c r="B131" s="71"/>
      <c r="C131" s="88"/>
      <c r="D131" s="881">
        <f>IF(C131&lt;=0.1*(i.04101!$E$47-i.04101!$E$40-i.04101!$E$41),i.04144a!C131,0.1*(i.04101!$E$47-i.04101!$E$40-i.04101!$E$41))</f>
        <v>0</v>
      </c>
      <c r="E131" s="880">
        <f t="shared" si="2"/>
        <v>0</v>
      </c>
    </row>
    <row r="132" spans="1:5">
      <c r="A132" s="69">
        <v>11.9</v>
      </c>
      <c r="B132" s="71"/>
      <c r="C132" s="88"/>
      <c r="D132" s="881">
        <f>IF(C132&lt;=0.1*(i.04101!$E$47-i.04101!$E$40-i.04101!$E$41),i.04144a!C132,0.1*(i.04101!$E$47-i.04101!$E$40-i.04101!$E$41))</f>
        <v>0</v>
      </c>
      <c r="E132" s="880">
        <f t="shared" si="2"/>
        <v>0</v>
      </c>
    </row>
    <row r="133" spans="1:5">
      <c r="A133" s="89">
        <v>11.1</v>
      </c>
      <c r="B133" s="71"/>
      <c r="C133" s="88"/>
      <c r="D133" s="881">
        <f>IF(C133&lt;=0.1*(i.04101!$E$47-i.04101!$E$40-i.04101!$E$41),i.04144a!C133,0.1*(i.04101!$E$47-i.04101!$E$40-i.04101!$E$41))</f>
        <v>0</v>
      </c>
      <c r="E133" s="880">
        <f t="shared" si="2"/>
        <v>0</v>
      </c>
    </row>
    <row r="134" spans="1:5">
      <c r="A134" s="69">
        <v>11.11</v>
      </c>
      <c r="B134" s="69" t="str">
        <f>"Бусад  "</f>
        <v xml:space="preserve">Бусад  </v>
      </c>
      <c r="C134" s="88"/>
      <c r="D134" s="881">
        <f>IF(C134&lt;=0.1*(i.04101!$E$47-i.04101!$E$40-i.04101!$E$41),i.04144a!C134,0.1*(i.04101!$E$47-i.04101!$E$40-i.04101!$E$41))</f>
        <v>0</v>
      </c>
      <c r="E134" s="880">
        <f t="shared" si="2"/>
        <v>0</v>
      </c>
    </row>
    <row r="135" spans="1:5" s="28" customFormat="1" ht="39">
      <c r="A135" s="111" t="s">
        <v>877</v>
      </c>
      <c r="B135" s="112" t="str">
        <f>"Монголын хөрөнгийн биржийн хувьцаат компанийн хувьцаа – 1 ангилал /Хамгийн өндөр дүнтэйгээс эхлэн бичих/  "</f>
        <v xml:space="preserve">Монголын хөрөнгийн биржийн хувьцаат компанийн хувьцаа – 1 ангилал /Хамгийн өндөр дүнтэйгээс эхлэн бичих/  </v>
      </c>
      <c r="C135" s="113">
        <f>C136+C137+C138+C139+C140+C141+C142+C143+C144+C145+C146</f>
        <v>0</v>
      </c>
      <c r="D135" s="114">
        <f>D136+D137+D138+D139+D140+D141+D142+D143+D144+D145+D146</f>
        <v>0</v>
      </c>
      <c r="E135" s="106">
        <f t="shared" si="2"/>
        <v>0</v>
      </c>
    </row>
    <row r="136" spans="1:5">
      <c r="A136" s="70">
        <v>12.1</v>
      </c>
      <c r="B136" s="81"/>
      <c r="C136" s="82"/>
      <c r="D136" s="881">
        <f>IF(C136&lt;=0.05*(i.04101!$E$47-i.04101!$E$40-i.04101!$E$41),i.04144a!C136,0.05*(i.04101!$E$47-i.04101!$E$40-i.04101!$E$41))</f>
        <v>0</v>
      </c>
      <c r="E136" s="880">
        <f t="shared" si="2"/>
        <v>0</v>
      </c>
    </row>
    <row r="137" spans="1:5">
      <c r="A137" s="70">
        <v>12.2</v>
      </c>
      <c r="B137" s="81"/>
      <c r="C137" s="82"/>
      <c r="D137" s="881">
        <f>IF(C137&lt;=0.05*(i.04101!$E$47-i.04101!$E$40-i.04101!$E$41),i.04144a!C137,0.05*(i.04101!$E$47-i.04101!$E$40-i.04101!$E$41))</f>
        <v>0</v>
      </c>
      <c r="E137" s="880">
        <f t="shared" si="2"/>
        <v>0</v>
      </c>
    </row>
    <row r="138" spans="1:5">
      <c r="A138" s="70">
        <v>12.3</v>
      </c>
      <c r="B138" s="81"/>
      <c r="C138" s="82"/>
      <c r="D138" s="881">
        <f>IF(C138&lt;=0.05*(i.04101!$E$47-i.04101!$E$40-i.04101!$E$41),i.04144a!C138,0.05*(i.04101!$E$47-i.04101!$E$40-i.04101!$E$41))</f>
        <v>0</v>
      </c>
      <c r="E138" s="880">
        <f t="shared" si="2"/>
        <v>0</v>
      </c>
    </row>
    <row r="139" spans="1:5">
      <c r="A139" s="70">
        <v>12.4</v>
      </c>
      <c r="B139" s="81"/>
      <c r="C139" s="82"/>
      <c r="D139" s="881">
        <f>IF(C139&lt;=0.05*(i.04101!$E$47-i.04101!$E$40-i.04101!$E$41),i.04144a!C139,0.05*(i.04101!$E$47-i.04101!$E$40-i.04101!$E$41))</f>
        <v>0</v>
      </c>
      <c r="E139" s="880">
        <f t="shared" si="2"/>
        <v>0</v>
      </c>
    </row>
    <row r="140" spans="1:5">
      <c r="A140" s="70">
        <v>12.5</v>
      </c>
      <c r="B140" s="81"/>
      <c r="C140" s="82"/>
      <c r="D140" s="881">
        <f>IF(C140&lt;=0.05*(i.04101!$E$47-i.04101!$E$40-i.04101!$E$41),i.04144a!C140,0.05*(i.04101!$E$47-i.04101!$E$40-i.04101!$E$41))</f>
        <v>0</v>
      </c>
      <c r="E140" s="880">
        <f t="shared" si="2"/>
        <v>0</v>
      </c>
    </row>
    <row r="141" spans="1:5">
      <c r="A141" s="70">
        <v>12.6</v>
      </c>
      <c r="B141" s="81"/>
      <c r="C141" s="82"/>
      <c r="D141" s="881">
        <f>IF(C141&lt;=0.05*(i.04101!$E$47-i.04101!$E$40-i.04101!$E$41),i.04144a!C141,0.05*(i.04101!$E$47-i.04101!$E$40-i.04101!$E$41))</f>
        <v>0</v>
      </c>
      <c r="E141" s="880">
        <f t="shared" ref="E141:E204" si="3">C141-D141</f>
        <v>0</v>
      </c>
    </row>
    <row r="142" spans="1:5">
      <c r="A142" s="70">
        <v>12.7</v>
      </c>
      <c r="B142" s="81"/>
      <c r="C142" s="82"/>
      <c r="D142" s="881">
        <f>IF(C142&lt;=0.05*(i.04101!$E$47-i.04101!$E$40-i.04101!$E$41),i.04144a!C142,0.05*(i.04101!$E$47-i.04101!$E$40-i.04101!$E$41))</f>
        <v>0</v>
      </c>
      <c r="E142" s="880">
        <f t="shared" si="3"/>
        <v>0</v>
      </c>
    </row>
    <row r="143" spans="1:5">
      <c r="A143" s="70">
        <v>12.8</v>
      </c>
      <c r="B143" s="81"/>
      <c r="C143" s="82"/>
      <c r="D143" s="881">
        <f>IF(C143&lt;=0.05*(i.04101!$E$47-i.04101!$E$40-i.04101!$E$41),i.04144a!C143,0.05*(i.04101!$E$47-i.04101!$E$40-i.04101!$E$41))</f>
        <v>0</v>
      </c>
      <c r="E143" s="880">
        <f t="shared" si="3"/>
        <v>0</v>
      </c>
    </row>
    <row r="144" spans="1:5">
      <c r="A144" s="70">
        <v>12.9</v>
      </c>
      <c r="B144" s="81"/>
      <c r="C144" s="82"/>
      <c r="D144" s="881">
        <f>IF(C144&lt;=0.05*(i.04101!$E$47-i.04101!$E$40-i.04101!$E$41),i.04144a!C144,0.05*(i.04101!$E$47-i.04101!$E$40-i.04101!$E$41))</f>
        <v>0</v>
      </c>
      <c r="E144" s="880">
        <f t="shared" si="3"/>
        <v>0</v>
      </c>
    </row>
    <row r="145" spans="1:5">
      <c r="A145" s="79">
        <v>12.1</v>
      </c>
      <c r="B145" s="81"/>
      <c r="C145" s="82"/>
      <c r="D145" s="881">
        <f>IF(C145&lt;=0.05*(i.04101!$E$47-i.04101!$E$40-i.04101!$E$41),i.04144a!C145,0.05*(i.04101!$E$47-i.04101!$E$40-i.04101!$E$41))</f>
        <v>0</v>
      </c>
      <c r="E145" s="880">
        <f t="shared" si="3"/>
        <v>0</v>
      </c>
    </row>
    <row r="146" spans="1:5">
      <c r="A146" s="70">
        <v>12.11</v>
      </c>
      <c r="B146" s="77" t="str">
        <f>"Бусад  "</f>
        <v xml:space="preserve">Бусад  </v>
      </c>
      <c r="C146" s="82"/>
      <c r="D146" s="881">
        <f>IF(C146&lt;=0.05*(i.04101!$E$47-i.04101!$E$40-i.04101!$E$41),i.04144a!C146,0.05*(i.04101!$E$47-i.04101!$E$40-i.04101!$E$41))</f>
        <v>0</v>
      </c>
      <c r="E146" s="880">
        <f t="shared" si="3"/>
        <v>0</v>
      </c>
    </row>
    <row r="147" spans="1:5" s="28" customFormat="1" ht="39">
      <c r="A147" s="111" t="s">
        <v>878</v>
      </c>
      <c r="B147" s="112" t="str">
        <f>"Монголын хөрөнгийн биржийн хувьцаат компанийн хувьцаа – 2 ангилал /Хамгийн өндөр дүнтэйгээс эхлэн бичих/   "</f>
        <v xml:space="preserve">Монголын хөрөнгийн биржийн хувьцаат компанийн хувьцаа – 2 ангилал /Хамгийн өндөр дүнтэйгээс эхлэн бичих/   </v>
      </c>
      <c r="C147" s="113">
        <f>C148+C149+C150+C151+C152+C153+C154+C155+C156+C157+C158</f>
        <v>0</v>
      </c>
      <c r="D147" s="114">
        <f>D148+D149+D150+D151+D152+D153+D154+D155+D156+D157+D158</f>
        <v>0</v>
      </c>
      <c r="E147" s="106">
        <f t="shared" si="3"/>
        <v>0</v>
      </c>
    </row>
    <row r="148" spans="1:5">
      <c r="A148" s="70">
        <v>13.1</v>
      </c>
      <c r="B148" s="81"/>
      <c r="C148" s="82"/>
      <c r="D148" s="881">
        <f>IF(C148&lt;=0.05*(i.04101!$E$47-i.04101!$E$40-i.04101!$E$41),i.04144a!C148,0.05*(i.04101!$E$47-i.04101!$E$40-i.04101!$E$41))</f>
        <v>0</v>
      </c>
      <c r="E148" s="880">
        <f t="shared" si="3"/>
        <v>0</v>
      </c>
    </row>
    <row r="149" spans="1:5">
      <c r="A149" s="70">
        <v>13.2</v>
      </c>
      <c r="B149" s="81"/>
      <c r="C149" s="82"/>
      <c r="D149" s="881">
        <f>IF(C149&lt;=0.05*(i.04101!$E$47-i.04101!$E$40-i.04101!$E$41),i.04144a!C149,0.05*(i.04101!$E$47-i.04101!$E$40-i.04101!$E$41))</f>
        <v>0</v>
      </c>
      <c r="E149" s="880">
        <f t="shared" si="3"/>
        <v>0</v>
      </c>
    </row>
    <row r="150" spans="1:5">
      <c r="A150" s="70">
        <v>13.3</v>
      </c>
      <c r="B150" s="81"/>
      <c r="C150" s="82"/>
      <c r="D150" s="881">
        <f>IF(C150&lt;=0.05*(i.04101!$E$47-i.04101!$E$40-i.04101!$E$41),i.04144a!C150,0.05*(i.04101!$E$47-i.04101!$E$40-i.04101!$E$41))</f>
        <v>0</v>
      </c>
      <c r="E150" s="880">
        <f t="shared" si="3"/>
        <v>0</v>
      </c>
    </row>
    <row r="151" spans="1:5">
      <c r="A151" s="70">
        <v>13.4</v>
      </c>
      <c r="B151" s="81"/>
      <c r="C151" s="82"/>
      <c r="D151" s="881">
        <f>IF(C151&lt;=0.05*(i.04101!$E$47-i.04101!$E$40-i.04101!$E$41),i.04144a!C151,0.05*(i.04101!$E$47-i.04101!$E$40-i.04101!$E$41))</f>
        <v>0</v>
      </c>
      <c r="E151" s="880">
        <f t="shared" si="3"/>
        <v>0</v>
      </c>
    </row>
    <row r="152" spans="1:5">
      <c r="A152" s="70">
        <v>13.5</v>
      </c>
      <c r="B152" s="81"/>
      <c r="C152" s="82"/>
      <c r="D152" s="881">
        <f>IF(C152&lt;=0.05*(i.04101!$E$47-i.04101!$E$40-i.04101!$E$41),i.04144a!C152,0.05*(i.04101!$E$47-i.04101!$E$40-i.04101!$E$41))</f>
        <v>0</v>
      </c>
      <c r="E152" s="880">
        <f t="shared" si="3"/>
        <v>0</v>
      </c>
    </row>
    <row r="153" spans="1:5">
      <c r="A153" s="70">
        <v>13.6</v>
      </c>
      <c r="B153" s="81"/>
      <c r="C153" s="82"/>
      <c r="D153" s="881">
        <f>IF(C153&lt;=0.05*(i.04101!$E$47-i.04101!$E$40-i.04101!$E$41),i.04144a!C153,0.05*(i.04101!$E$47-i.04101!$E$40-i.04101!$E$41))</f>
        <v>0</v>
      </c>
      <c r="E153" s="880">
        <f t="shared" si="3"/>
        <v>0</v>
      </c>
    </row>
    <row r="154" spans="1:5">
      <c r="A154" s="70">
        <v>13.7</v>
      </c>
      <c r="B154" s="81"/>
      <c r="C154" s="82"/>
      <c r="D154" s="881">
        <f>IF(C154&lt;=0.05*(i.04101!$E$47-i.04101!$E$40-i.04101!$E$41),i.04144a!C154,0.05*(i.04101!$E$47-i.04101!$E$40-i.04101!$E$41))</f>
        <v>0</v>
      </c>
      <c r="E154" s="880">
        <f t="shared" si="3"/>
        <v>0</v>
      </c>
    </row>
    <row r="155" spans="1:5">
      <c r="A155" s="70">
        <v>13.8</v>
      </c>
      <c r="B155" s="81"/>
      <c r="C155" s="82"/>
      <c r="D155" s="881">
        <f>IF(C155&lt;=0.05*(i.04101!$E$47-i.04101!$E$40-i.04101!$E$41),i.04144a!C155,0.05*(i.04101!$E$47-i.04101!$E$40-i.04101!$E$41))</f>
        <v>0</v>
      </c>
      <c r="E155" s="880">
        <f t="shared" si="3"/>
        <v>0</v>
      </c>
    </row>
    <row r="156" spans="1:5">
      <c r="A156" s="70">
        <v>13.9</v>
      </c>
      <c r="B156" s="81"/>
      <c r="C156" s="82"/>
      <c r="D156" s="881">
        <f>IF(C156&lt;=0.05*(i.04101!$E$47-i.04101!$E$40-i.04101!$E$41),i.04144a!C156,0.05*(i.04101!$E$47-i.04101!$E$40-i.04101!$E$41))</f>
        <v>0</v>
      </c>
      <c r="E156" s="880">
        <f t="shared" si="3"/>
        <v>0</v>
      </c>
    </row>
    <row r="157" spans="1:5">
      <c r="A157" s="79">
        <v>13.1</v>
      </c>
      <c r="B157" s="81"/>
      <c r="C157" s="82"/>
      <c r="D157" s="881">
        <f>IF(C157&lt;=0.05*(i.04101!$E$47-i.04101!$E$40-i.04101!$E$41),i.04144a!C157,0.05*(i.04101!$E$47-i.04101!$E$40-i.04101!$E$41))</f>
        <v>0</v>
      </c>
      <c r="E157" s="880">
        <f t="shared" si="3"/>
        <v>0</v>
      </c>
    </row>
    <row r="158" spans="1:5">
      <c r="A158" s="70">
        <v>13.11</v>
      </c>
      <c r="B158" s="77" t="str">
        <f>"Бусад  "</f>
        <v xml:space="preserve">Бусад  </v>
      </c>
      <c r="C158" s="82"/>
      <c r="D158" s="881">
        <f>IF(C158&lt;=0.05*(i.04101!$E$47-i.04101!$E$40-i.04101!$E$41),i.04144a!C158,0.05*(i.04101!$E$47-i.04101!$E$40-i.04101!$E$41))</f>
        <v>0</v>
      </c>
      <c r="E158" s="880">
        <f t="shared" si="3"/>
        <v>0</v>
      </c>
    </row>
    <row r="159" spans="1:5" s="28" customFormat="1" ht="25.5" customHeight="1">
      <c r="A159" s="111" t="s">
        <v>879</v>
      </c>
      <c r="B159" s="112" t="str">
        <f>"Хөрөнгө оруулалтын нээлттэй сан /Хамгийн өндөр дүнтэйгээс эхлэн бичих/   "</f>
        <v xml:space="preserve">Хөрөнгө оруулалтын нээлттэй сан /Хамгийн өндөр дүнтэйгээс эхлэн бичих/   </v>
      </c>
      <c r="C159" s="113">
        <f>C160+C161+C162+C163+C164+C165+C166+C167+C168+C169+C170</f>
        <v>0</v>
      </c>
      <c r="D159" s="114">
        <f>D160+D161+D162+D163+D164+D165+D166+D167+D168+D169+D170</f>
        <v>0</v>
      </c>
      <c r="E159" s="106">
        <f t="shared" si="3"/>
        <v>0</v>
      </c>
    </row>
    <row r="160" spans="1:5">
      <c r="A160" s="70">
        <v>14.1</v>
      </c>
      <c r="B160" s="81"/>
      <c r="C160" s="82"/>
      <c r="D160" s="881">
        <f>IF(C160&lt;=0.1*(i.04101!$E$47-i.04101!$E$40-i.04101!$E$41),i.04144a!C160,0.1*(i.04101!$E$47-i.04101!$E$40-i.04101!$E$41))</f>
        <v>0</v>
      </c>
      <c r="E160" s="880">
        <f t="shared" si="3"/>
        <v>0</v>
      </c>
    </row>
    <row r="161" spans="1:5">
      <c r="A161" s="70">
        <v>14.2</v>
      </c>
      <c r="B161" s="81"/>
      <c r="C161" s="82"/>
      <c r="D161" s="881">
        <f>IF(C161&lt;=0.1*(i.04101!$E$47-i.04101!$E$40-i.04101!$E$41),i.04144a!C161,0.1*(i.04101!$E$47-i.04101!$E$40-i.04101!$E$41))</f>
        <v>0</v>
      </c>
      <c r="E161" s="880">
        <f t="shared" si="3"/>
        <v>0</v>
      </c>
    </row>
    <row r="162" spans="1:5">
      <c r="A162" s="70">
        <v>14.3</v>
      </c>
      <c r="B162" s="81"/>
      <c r="C162" s="82"/>
      <c r="D162" s="881">
        <f>IF(C162&lt;=0.1*(i.04101!$E$47-i.04101!$E$40-i.04101!$E$41),i.04144a!C162,0.1*(i.04101!$E$47-i.04101!$E$40-i.04101!$E$41))</f>
        <v>0</v>
      </c>
      <c r="E162" s="880">
        <f t="shared" si="3"/>
        <v>0</v>
      </c>
    </row>
    <row r="163" spans="1:5">
      <c r="A163" s="70">
        <v>14.4</v>
      </c>
      <c r="B163" s="81"/>
      <c r="C163" s="82"/>
      <c r="D163" s="881">
        <f>IF(C163&lt;=0.1*(i.04101!$E$47-i.04101!$E$40-i.04101!$E$41),i.04144a!C163,0.1*(i.04101!$E$47-i.04101!$E$40-i.04101!$E$41))</f>
        <v>0</v>
      </c>
      <c r="E163" s="880">
        <f t="shared" si="3"/>
        <v>0</v>
      </c>
    </row>
    <row r="164" spans="1:5">
      <c r="A164" s="70">
        <v>14.5</v>
      </c>
      <c r="B164" s="81"/>
      <c r="C164" s="82"/>
      <c r="D164" s="881">
        <f>IF(C164&lt;=0.1*(i.04101!$E$47-i.04101!$E$40-i.04101!$E$41),i.04144a!C164,0.1*(i.04101!$E$47-i.04101!$E$40-i.04101!$E$41))</f>
        <v>0</v>
      </c>
      <c r="E164" s="880">
        <f t="shared" si="3"/>
        <v>0</v>
      </c>
    </row>
    <row r="165" spans="1:5">
      <c r="A165" s="70">
        <v>14.6</v>
      </c>
      <c r="B165" s="81"/>
      <c r="C165" s="82"/>
      <c r="D165" s="881">
        <f>IF(C165&lt;=0.1*(i.04101!$E$47-i.04101!$E$40-i.04101!$E$41),i.04144a!C165,0.1*(i.04101!$E$47-i.04101!$E$40-i.04101!$E$41))</f>
        <v>0</v>
      </c>
      <c r="E165" s="880">
        <f t="shared" si="3"/>
        <v>0</v>
      </c>
    </row>
    <row r="166" spans="1:5">
      <c r="A166" s="70">
        <v>14.7</v>
      </c>
      <c r="B166" s="81"/>
      <c r="C166" s="82"/>
      <c r="D166" s="881">
        <f>IF(C166&lt;=0.1*(i.04101!$E$47-i.04101!$E$40-i.04101!$E$41),i.04144a!C166,0.1*(i.04101!$E$47-i.04101!$E$40-i.04101!$E$41))</f>
        <v>0</v>
      </c>
      <c r="E166" s="880">
        <f t="shared" si="3"/>
        <v>0</v>
      </c>
    </row>
    <row r="167" spans="1:5">
      <c r="A167" s="70">
        <v>14.8</v>
      </c>
      <c r="B167" s="81"/>
      <c r="C167" s="82"/>
      <c r="D167" s="881">
        <f>IF(C167&lt;=0.1*(i.04101!$E$47-i.04101!$E$40-i.04101!$E$41),i.04144a!C167,0.1*(i.04101!$E$47-i.04101!$E$40-i.04101!$E$41))</f>
        <v>0</v>
      </c>
      <c r="E167" s="880">
        <f t="shared" si="3"/>
        <v>0</v>
      </c>
    </row>
    <row r="168" spans="1:5">
      <c r="A168" s="70">
        <v>14.9</v>
      </c>
      <c r="B168" s="81"/>
      <c r="C168" s="82"/>
      <c r="D168" s="881">
        <f>IF(C168&lt;=0.1*(i.04101!$E$47-i.04101!$E$40-i.04101!$E$41),i.04144a!C168,0.1*(i.04101!$E$47-i.04101!$E$40-i.04101!$E$41))</f>
        <v>0</v>
      </c>
      <c r="E168" s="880">
        <f t="shared" si="3"/>
        <v>0</v>
      </c>
    </row>
    <row r="169" spans="1:5">
      <c r="A169" s="79">
        <v>14.1</v>
      </c>
      <c r="B169" s="81"/>
      <c r="C169" s="82"/>
      <c r="D169" s="881">
        <f>IF(C169&lt;=0.1*(i.04101!$E$47-i.04101!$E$40-i.04101!$E$41),i.04144a!C169,0.1*(i.04101!$E$47-i.04101!$E$40-i.04101!$E$41))</f>
        <v>0</v>
      </c>
      <c r="E169" s="880">
        <f t="shared" si="3"/>
        <v>0</v>
      </c>
    </row>
    <row r="170" spans="1:5">
      <c r="A170" s="70">
        <v>14.11</v>
      </c>
      <c r="B170" s="77" t="str">
        <f>"Бусад  "</f>
        <v xml:space="preserve">Бусад  </v>
      </c>
      <c r="C170" s="82"/>
      <c r="D170" s="881">
        <f>IF(C170&lt;=0.1*(i.04101!$E$47-i.04101!$E$40-i.04101!$E$41),i.04144a!C170,0.1*(i.04101!$E$47-i.04101!$E$40-i.04101!$E$41))</f>
        <v>0</v>
      </c>
      <c r="E170" s="880">
        <f t="shared" si="3"/>
        <v>0</v>
      </c>
    </row>
    <row r="171" spans="1:5" s="28" customFormat="1" ht="27" customHeight="1">
      <c r="A171" s="111" t="s">
        <v>880</v>
      </c>
      <c r="B171" s="112" t="str">
        <f>"Хөрөнгө оруулалтын хаалттай сан /Хамгийн өндөр дүнтэйгээс эхлэн бичих/   "</f>
        <v xml:space="preserve">Хөрөнгө оруулалтын хаалттай сан /Хамгийн өндөр дүнтэйгээс эхлэн бичих/   </v>
      </c>
      <c r="C171" s="113">
        <f>C172+C173+C174+C175+C176+C177+C178+C179+C180+C181+C182</f>
        <v>0</v>
      </c>
      <c r="D171" s="114">
        <f>D172+D173+D174+D175+D176+D177+D178+D179+D180+D181+D182</f>
        <v>0</v>
      </c>
      <c r="E171" s="106">
        <f t="shared" si="3"/>
        <v>0</v>
      </c>
    </row>
    <row r="172" spans="1:5">
      <c r="A172" s="70">
        <v>15.1</v>
      </c>
      <c r="B172" s="81"/>
      <c r="C172" s="82"/>
      <c r="D172" s="881">
        <f>IF(C172&lt;=0.1*(i.04101!$E$47-i.04101!$E$40-i.04101!$E$41),i.04144a!C172,0.1*(i.04101!$E$47-i.04101!$E$40-i.04101!$E$41))</f>
        <v>0</v>
      </c>
      <c r="E172" s="880">
        <f t="shared" si="3"/>
        <v>0</v>
      </c>
    </row>
    <row r="173" spans="1:5">
      <c r="A173" s="70">
        <v>15.2</v>
      </c>
      <c r="B173" s="81"/>
      <c r="C173" s="82"/>
      <c r="D173" s="881">
        <f>IF(C173&lt;=0.1*(i.04101!$E$47-i.04101!$E$40-i.04101!$E$41),i.04144a!C173,0.1*(i.04101!$E$47-i.04101!$E$40-i.04101!$E$41))</f>
        <v>0</v>
      </c>
      <c r="E173" s="880">
        <f t="shared" si="3"/>
        <v>0</v>
      </c>
    </row>
    <row r="174" spans="1:5">
      <c r="A174" s="70">
        <v>15.3</v>
      </c>
      <c r="B174" s="81"/>
      <c r="C174" s="82"/>
      <c r="D174" s="881">
        <f>IF(C174&lt;=0.1*(i.04101!$E$47-i.04101!$E$40-i.04101!$E$41),i.04144a!C174,0.1*(i.04101!$E$47-i.04101!$E$40-i.04101!$E$41))</f>
        <v>0</v>
      </c>
      <c r="E174" s="880">
        <f t="shared" si="3"/>
        <v>0</v>
      </c>
    </row>
    <row r="175" spans="1:5">
      <c r="A175" s="70">
        <v>15.4</v>
      </c>
      <c r="B175" s="81"/>
      <c r="C175" s="82"/>
      <c r="D175" s="881">
        <f>IF(C175&lt;=0.1*(i.04101!$E$47-i.04101!$E$40-i.04101!$E$41),i.04144a!C175,0.1*(i.04101!$E$47-i.04101!$E$40-i.04101!$E$41))</f>
        <v>0</v>
      </c>
      <c r="E175" s="880">
        <f t="shared" si="3"/>
        <v>0</v>
      </c>
    </row>
    <row r="176" spans="1:5">
      <c r="A176" s="70">
        <v>15.5</v>
      </c>
      <c r="B176" s="81"/>
      <c r="C176" s="82"/>
      <c r="D176" s="881">
        <f>IF(C176&lt;=0.1*(i.04101!$E$47-i.04101!$E$40-i.04101!$E$41),i.04144a!C176,0.1*(i.04101!$E$47-i.04101!$E$40-i.04101!$E$41))</f>
        <v>0</v>
      </c>
      <c r="E176" s="880">
        <f t="shared" si="3"/>
        <v>0</v>
      </c>
    </row>
    <row r="177" spans="1:5">
      <c r="A177" s="70">
        <v>15.6</v>
      </c>
      <c r="B177" s="81"/>
      <c r="C177" s="82"/>
      <c r="D177" s="881">
        <f>IF(C177&lt;=0.1*(i.04101!$E$47-i.04101!$E$40-i.04101!$E$41),i.04144a!C177,0.1*(i.04101!$E$47-i.04101!$E$40-i.04101!$E$41))</f>
        <v>0</v>
      </c>
      <c r="E177" s="880">
        <f t="shared" si="3"/>
        <v>0</v>
      </c>
    </row>
    <row r="178" spans="1:5">
      <c r="A178" s="70">
        <v>15.7</v>
      </c>
      <c r="B178" s="81"/>
      <c r="C178" s="82"/>
      <c r="D178" s="881">
        <f>IF(C178&lt;=0.1*(i.04101!$E$47-i.04101!$E$40-i.04101!$E$41),i.04144a!C178,0.1*(i.04101!$E$47-i.04101!$E$40-i.04101!$E$41))</f>
        <v>0</v>
      </c>
      <c r="E178" s="880">
        <f t="shared" si="3"/>
        <v>0</v>
      </c>
    </row>
    <row r="179" spans="1:5">
      <c r="A179" s="70">
        <v>15.8</v>
      </c>
      <c r="B179" s="81"/>
      <c r="C179" s="82"/>
      <c r="D179" s="881">
        <f>IF(C179&lt;=0.1*(i.04101!$E$47-i.04101!$E$40-i.04101!$E$41),i.04144a!C179,0.1*(i.04101!$E$47-i.04101!$E$40-i.04101!$E$41))</f>
        <v>0</v>
      </c>
      <c r="E179" s="880">
        <f t="shared" si="3"/>
        <v>0</v>
      </c>
    </row>
    <row r="180" spans="1:5">
      <c r="A180" s="70">
        <v>15.9</v>
      </c>
      <c r="B180" s="81"/>
      <c r="C180" s="82"/>
      <c r="D180" s="881">
        <f>IF(C180&lt;=0.1*(i.04101!$E$47-i.04101!$E$40-i.04101!$E$41),i.04144a!C180,0.1*(i.04101!$E$47-i.04101!$E$40-i.04101!$E$41))</f>
        <v>0</v>
      </c>
      <c r="E180" s="880">
        <f t="shared" si="3"/>
        <v>0</v>
      </c>
    </row>
    <row r="181" spans="1:5">
      <c r="A181" s="79">
        <v>15.1</v>
      </c>
      <c r="B181" s="81"/>
      <c r="C181" s="82"/>
      <c r="D181" s="881">
        <f>IF(C181&lt;=0.1*(i.04101!$E$47-i.04101!$E$40-i.04101!$E$41),i.04144a!C181,0.1*(i.04101!$E$47-i.04101!$E$40-i.04101!$E$41))</f>
        <v>0</v>
      </c>
      <c r="E181" s="880">
        <f t="shared" si="3"/>
        <v>0</v>
      </c>
    </row>
    <row r="182" spans="1:5">
      <c r="A182" s="70">
        <v>15.11</v>
      </c>
      <c r="B182" s="77" t="str">
        <f>"Бусад  "</f>
        <v xml:space="preserve">Бусад  </v>
      </c>
      <c r="C182" s="82"/>
      <c r="D182" s="881">
        <f>IF(C182&lt;=0.1*(i.04101!$E$47-i.04101!$E$40-i.04101!$E$41),i.04144a!C182,0.1*(i.04101!$E$47-i.04101!$E$40-i.04101!$E$41))</f>
        <v>0</v>
      </c>
      <c r="E182" s="880">
        <f t="shared" si="3"/>
        <v>0</v>
      </c>
    </row>
    <row r="183" spans="1:5" s="28" customFormat="1" ht="39">
      <c r="A183" s="111" t="s">
        <v>881</v>
      </c>
      <c r="B183" s="112" t="str">
        <f>"Гадаадын Засгийн газраас гаргасан өрийн хэрэгсэл /Хамгийн өндөр дүнтэйгээс эхлэн бичих/   "</f>
        <v xml:space="preserve">Гадаадын Засгийн газраас гаргасан өрийн хэрэгсэл /Хамгийн өндөр дүнтэйгээс эхлэн бичих/   </v>
      </c>
      <c r="C183" s="113">
        <f>C184+C185+C186+C187+C188+C189+C190+C191+C192+C193+C194</f>
        <v>0</v>
      </c>
      <c r="D183" s="114">
        <f>D184+D185+D186+D187+D188+D189+D190+D191+D192+D193+D194</f>
        <v>0</v>
      </c>
      <c r="E183" s="106">
        <f t="shared" si="3"/>
        <v>0</v>
      </c>
    </row>
    <row r="184" spans="1:5">
      <c r="A184" s="70">
        <v>16.100000000000001</v>
      </c>
      <c r="B184" s="81"/>
      <c r="C184" s="82"/>
      <c r="D184" s="881">
        <f>IF(C184&lt;=0.01*(i.04101!$E$47-i.04101!$E$40-i.04101!$E$41),i.04144a!C184,0.01*(i.04101!$E$47-i.04101!$E$40-i.04101!$E$41))</f>
        <v>0</v>
      </c>
      <c r="E184" s="880">
        <f t="shared" si="3"/>
        <v>0</v>
      </c>
    </row>
    <row r="185" spans="1:5">
      <c r="A185" s="70">
        <v>16.2</v>
      </c>
      <c r="B185" s="81"/>
      <c r="C185" s="82"/>
      <c r="D185" s="881">
        <f>IF(C185&lt;=0.01*(i.04101!$E$47-i.04101!$E$40-i.04101!$E$41),i.04144a!C185,0.01*(i.04101!$E$47-i.04101!$E$40-i.04101!$E$41))</f>
        <v>0</v>
      </c>
      <c r="E185" s="880">
        <f t="shared" si="3"/>
        <v>0</v>
      </c>
    </row>
    <row r="186" spans="1:5">
      <c r="A186" s="70">
        <v>16.3</v>
      </c>
      <c r="B186" s="81"/>
      <c r="C186" s="82"/>
      <c r="D186" s="881">
        <f>IF(C186&lt;=0.01*(i.04101!$E$47-i.04101!$E$40-i.04101!$E$41),i.04144a!C186,0.01*(i.04101!$E$47-i.04101!$E$40-i.04101!$E$41))</f>
        <v>0</v>
      </c>
      <c r="E186" s="880">
        <f t="shared" si="3"/>
        <v>0</v>
      </c>
    </row>
    <row r="187" spans="1:5">
      <c r="A187" s="70">
        <v>16.399999999999999</v>
      </c>
      <c r="B187" s="81"/>
      <c r="C187" s="82"/>
      <c r="D187" s="881">
        <f>IF(C187&lt;=0.01*(i.04101!$E$47-i.04101!$E$40-i.04101!$E$41),i.04144a!C187,0.01*(i.04101!$E$47-i.04101!$E$40-i.04101!$E$41))</f>
        <v>0</v>
      </c>
      <c r="E187" s="880">
        <f t="shared" si="3"/>
        <v>0</v>
      </c>
    </row>
    <row r="188" spans="1:5">
      <c r="A188" s="70">
        <v>16.5</v>
      </c>
      <c r="B188" s="81"/>
      <c r="C188" s="82"/>
      <c r="D188" s="881">
        <f>IF(C188&lt;=0.01*(i.04101!$E$47-i.04101!$E$40-i.04101!$E$41),i.04144a!C188,0.01*(i.04101!$E$47-i.04101!$E$40-i.04101!$E$41))</f>
        <v>0</v>
      </c>
      <c r="E188" s="880">
        <f t="shared" si="3"/>
        <v>0</v>
      </c>
    </row>
    <row r="189" spans="1:5">
      <c r="A189" s="70">
        <v>16.600000000000001</v>
      </c>
      <c r="B189" s="81"/>
      <c r="C189" s="82"/>
      <c r="D189" s="881">
        <f>IF(C189&lt;=0.01*(i.04101!$E$47-i.04101!$E$40-i.04101!$E$41),i.04144a!C189,0.01*(i.04101!$E$47-i.04101!$E$40-i.04101!$E$41))</f>
        <v>0</v>
      </c>
      <c r="E189" s="880">
        <f t="shared" si="3"/>
        <v>0</v>
      </c>
    </row>
    <row r="190" spans="1:5">
      <c r="A190" s="70">
        <v>16.7</v>
      </c>
      <c r="B190" s="81"/>
      <c r="C190" s="82"/>
      <c r="D190" s="881">
        <f>IF(C190&lt;=0.01*(i.04101!$E$47-i.04101!$E$40-i.04101!$E$41),i.04144a!C190,0.01*(i.04101!$E$47-i.04101!$E$40-i.04101!$E$41))</f>
        <v>0</v>
      </c>
      <c r="E190" s="880">
        <f t="shared" si="3"/>
        <v>0</v>
      </c>
    </row>
    <row r="191" spans="1:5">
      <c r="A191" s="70">
        <v>16.8</v>
      </c>
      <c r="B191" s="81"/>
      <c r="C191" s="82"/>
      <c r="D191" s="881">
        <f>IF(C191&lt;=0.01*(i.04101!$E$47-i.04101!$E$40-i.04101!$E$41),i.04144a!C191,0.01*(i.04101!$E$47-i.04101!$E$40-i.04101!$E$41))</f>
        <v>0</v>
      </c>
      <c r="E191" s="880">
        <f t="shared" si="3"/>
        <v>0</v>
      </c>
    </row>
    <row r="192" spans="1:5">
      <c r="A192" s="70">
        <v>16.899999999999999</v>
      </c>
      <c r="B192" s="81"/>
      <c r="C192" s="82"/>
      <c r="D192" s="881">
        <f>IF(C192&lt;=0.01*(i.04101!$E$47-i.04101!$E$40-i.04101!$E$41),i.04144a!C192,0.01*(i.04101!$E$47-i.04101!$E$40-i.04101!$E$41))</f>
        <v>0</v>
      </c>
      <c r="E192" s="880">
        <f t="shared" si="3"/>
        <v>0</v>
      </c>
    </row>
    <row r="193" spans="1:5">
      <c r="A193" s="79">
        <v>16.100000000000001</v>
      </c>
      <c r="B193" s="81"/>
      <c r="C193" s="82"/>
      <c r="D193" s="881">
        <f>IF(C193&lt;=0.01*(i.04101!$E$47-i.04101!$E$40-i.04101!$E$41),i.04144a!C193,0.01*(i.04101!$E$47-i.04101!$E$40-i.04101!$E$41))</f>
        <v>0</v>
      </c>
      <c r="E193" s="880">
        <f t="shared" si="3"/>
        <v>0</v>
      </c>
    </row>
    <row r="194" spans="1:5">
      <c r="A194" s="70">
        <v>16.11</v>
      </c>
      <c r="B194" s="77" t="str">
        <f>"Бусад  "</f>
        <v xml:space="preserve">Бусад  </v>
      </c>
      <c r="C194" s="82"/>
      <c r="D194" s="881">
        <f>IF(C194&lt;=0.01*(i.04101!$E$47-i.04101!$E$40-i.04101!$E$41),i.04144a!C194,0.01*(i.04101!$E$47-i.04101!$E$40-i.04101!$E$41))</f>
        <v>0</v>
      </c>
      <c r="E194" s="880">
        <f t="shared" si="3"/>
        <v>0</v>
      </c>
    </row>
    <row r="195" spans="1:5" s="28" customFormat="1" ht="28.5" customHeight="1">
      <c r="A195" s="111" t="s">
        <v>882</v>
      </c>
      <c r="B195" s="121" t="str">
        <f>"Гадаадын Төв банкны үнэт цаас /Хамгийн өндөр дүнтэйгээс эхлэн бичих/   "</f>
        <v xml:space="preserve">Гадаадын Төв банкны үнэт цаас /Хамгийн өндөр дүнтэйгээс эхлэн бичих/   </v>
      </c>
      <c r="C195" s="113">
        <f>C196+C197+C198+C199+C200+C201+C202+C203+C204+C205+C206</f>
        <v>0</v>
      </c>
      <c r="D195" s="114">
        <f>D196+D197+D198+D199+D200+D201+D202+D203+D204+D205+D206</f>
        <v>0</v>
      </c>
      <c r="E195" s="106">
        <f t="shared" si="3"/>
        <v>0</v>
      </c>
    </row>
    <row r="196" spans="1:5">
      <c r="A196" s="70">
        <v>17.100000000000001</v>
      </c>
      <c r="B196" s="81"/>
      <c r="C196" s="82"/>
      <c r="D196" s="881">
        <f>IF(C196&lt;=0.01*(i.04101!$E$47-i.04101!$E$40-i.04101!$E$41),i.04144a!C196,0.01*(i.04101!$E$47-i.04101!$E$40-i.04101!$E$41))</f>
        <v>0</v>
      </c>
      <c r="E196" s="880">
        <f t="shared" si="3"/>
        <v>0</v>
      </c>
    </row>
    <row r="197" spans="1:5">
      <c r="A197" s="70">
        <v>17.2</v>
      </c>
      <c r="B197" s="81"/>
      <c r="C197" s="82"/>
      <c r="D197" s="881">
        <f>IF(C197&lt;=0.01*(i.04101!$E$47-i.04101!$E$40-i.04101!$E$41),i.04144a!C197,0.01*(i.04101!$E$47-i.04101!$E$40-i.04101!$E$41))</f>
        <v>0</v>
      </c>
      <c r="E197" s="880">
        <f t="shared" si="3"/>
        <v>0</v>
      </c>
    </row>
    <row r="198" spans="1:5">
      <c r="A198" s="70">
        <v>17.3</v>
      </c>
      <c r="B198" s="81"/>
      <c r="C198" s="82"/>
      <c r="D198" s="881">
        <f>IF(C198&lt;=0.01*(i.04101!$E$47-i.04101!$E$40-i.04101!$E$41),i.04144a!C198,0.01*(i.04101!$E$47-i.04101!$E$40-i.04101!$E$41))</f>
        <v>0</v>
      </c>
      <c r="E198" s="880">
        <f t="shared" si="3"/>
        <v>0</v>
      </c>
    </row>
    <row r="199" spans="1:5">
      <c r="A199" s="70">
        <v>17.399999999999999</v>
      </c>
      <c r="B199" s="81"/>
      <c r="C199" s="82"/>
      <c r="D199" s="881">
        <f>IF(C199&lt;=0.01*(i.04101!$E$47-i.04101!$E$40-i.04101!$E$41),i.04144a!C199,0.01*(i.04101!$E$47-i.04101!$E$40-i.04101!$E$41))</f>
        <v>0</v>
      </c>
      <c r="E199" s="880">
        <f t="shared" si="3"/>
        <v>0</v>
      </c>
    </row>
    <row r="200" spans="1:5">
      <c r="A200" s="70">
        <v>17.5</v>
      </c>
      <c r="B200" s="81"/>
      <c r="C200" s="82"/>
      <c r="D200" s="881">
        <f>IF(C200&lt;=0.01*(i.04101!$E$47-i.04101!$E$40-i.04101!$E$41),i.04144a!C200,0.01*(i.04101!$E$47-i.04101!$E$40-i.04101!$E$41))</f>
        <v>0</v>
      </c>
      <c r="E200" s="880">
        <f t="shared" si="3"/>
        <v>0</v>
      </c>
    </row>
    <row r="201" spans="1:5">
      <c r="A201" s="70">
        <v>17.600000000000001</v>
      </c>
      <c r="B201" s="81"/>
      <c r="C201" s="82"/>
      <c r="D201" s="881">
        <f>IF(C201&lt;=0.01*(i.04101!$E$47-i.04101!$E$40-i.04101!$E$41),i.04144a!C201,0.01*(i.04101!$E$47-i.04101!$E$40-i.04101!$E$41))</f>
        <v>0</v>
      </c>
      <c r="E201" s="880">
        <f t="shared" si="3"/>
        <v>0</v>
      </c>
    </row>
    <row r="202" spans="1:5">
      <c r="A202" s="70">
        <v>17.7</v>
      </c>
      <c r="B202" s="81"/>
      <c r="C202" s="82"/>
      <c r="D202" s="881">
        <f>IF(C202&lt;=0.01*(i.04101!$E$47-i.04101!$E$40-i.04101!$E$41),i.04144a!C202,0.01*(i.04101!$E$47-i.04101!$E$40-i.04101!$E$41))</f>
        <v>0</v>
      </c>
      <c r="E202" s="880">
        <f t="shared" si="3"/>
        <v>0</v>
      </c>
    </row>
    <row r="203" spans="1:5">
      <c r="A203" s="70">
        <v>17.8</v>
      </c>
      <c r="B203" s="81"/>
      <c r="C203" s="82"/>
      <c r="D203" s="881">
        <f>IF(C203&lt;=0.01*(i.04101!$E$47-i.04101!$E$40-i.04101!$E$41),i.04144a!C203,0.01*(i.04101!$E$47-i.04101!$E$40-i.04101!$E$41))</f>
        <v>0</v>
      </c>
      <c r="E203" s="880">
        <f t="shared" si="3"/>
        <v>0</v>
      </c>
    </row>
    <row r="204" spans="1:5">
      <c r="A204" s="70">
        <v>17.899999999999999</v>
      </c>
      <c r="B204" s="81"/>
      <c r="C204" s="82"/>
      <c r="D204" s="881">
        <f>IF(C204&lt;=0.01*(i.04101!$E$47-i.04101!$E$40-i.04101!$E$41),i.04144a!C204,0.01*(i.04101!$E$47-i.04101!$E$40-i.04101!$E$41))</f>
        <v>0</v>
      </c>
      <c r="E204" s="880">
        <f t="shared" si="3"/>
        <v>0</v>
      </c>
    </row>
    <row r="205" spans="1:5">
      <c r="A205" s="79">
        <v>17.100000000000001</v>
      </c>
      <c r="B205" s="81"/>
      <c r="C205" s="82"/>
      <c r="D205" s="881">
        <f>IF(C205&lt;=0.01*(i.04101!$E$47-i.04101!$E$40-i.04101!$E$41),i.04144a!C205,0.01*(i.04101!$E$47-i.04101!$E$40-i.04101!$E$41))</f>
        <v>0</v>
      </c>
      <c r="E205" s="880">
        <f t="shared" ref="E205:E268" si="4">C205-D205</f>
        <v>0</v>
      </c>
    </row>
    <row r="206" spans="1:5">
      <c r="A206" s="70">
        <v>17.11</v>
      </c>
      <c r="B206" s="77" t="str">
        <f>"Бусад  "</f>
        <v xml:space="preserve">Бусад  </v>
      </c>
      <c r="C206" s="82"/>
      <c r="D206" s="881">
        <f>IF(C206&lt;=0.01*(i.04101!$E$47-i.04101!$E$40-i.04101!$E$41),i.04144a!C206,0.01*(i.04101!$E$47-i.04101!$E$40-i.04101!$E$41))</f>
        <v>0</v>
      </c>
      <c r="E206" s="880">
        <f t="shared" si="4"/>
        <v>0</v>
      </c>
    </row>
    <row r="207" spans="1:5" s="28" customFormat="1" ht="27" customHeight="1">
      <c r="A207" s="111" t="s">
        <v>883</v>
      </c>
      <c r="B207" s="112" t="str">
        <f>"Гадаадын компанийн өрийн хэрэгсэл /Хамгийн өндөр дүнтэйгээс эхлэн бичих/  "</f>
        <v xml:space="preserve">Гадаадын компанийн өрийн хэрэгсэл /Хамгийн өндөр дүнтэйгээс эхлэн бичих/  </v>
      </c>
      <c r="C207" s="113">
        <f>C208+C209+C210+C211+C212+C213+C214+C215+C216+C217+C218</f>
        <v>0</v>
      </c>
      <c r="D207" s="114">
        <f>D208+D209+D210+D211+D212+D213+D214+D215+D216+D217+D218</f>
        <v>0</v>
      </c>
      <c r="E207" s="106">
        <f t="shared" si="4"/>
        <v>0</v>
      </c>
    </row>
    <row r="208" spans="1:5">
      <c r="A208" s="70">
        <v>18.100000000000001</v>
      </c>
      <c r="B208" s="81"/>
      <c r="C208" s="82"/>
      <c r="D208" s="881">
        <f>IF(C208&lt;=0.005*(i.04101!$E$47-i.04101!$E$40-i.04101!$E$41),i.04144a!C208,0.005*(i.04101!$E$47-i.04101!$E$40-i.04101!$E$41))</f>
        <v>0</v>
      </c>
      <c r="E208" s="880">
        <f t="shared" si="4"/>
        <v>0</v>
      </c>
    </row>
    <row r="209" spans="1:5">
      <c r="A209" s="70">
        <v>18.2</v>
      </c>
      <c r="B209" s="81"/>
      <c r="C209" s="82"/>
      <c r="D209" s="881">
        <f>IF(C209&lt;=0.005*(i.04101!$E$47-i.04101!$E$40-i.04101!$E$41),i.04144a!C209,0.005*(i.04101!$E$47-i.04101!$E$40-i.04101!$E$41))</f>
        <v>0</v>
      </c>
      <c r="E209" s="880">
        <f t="shared" si="4"/>
        <v>0</v>
      </c>
    </row>
    <row r="210" spans="1:5">
      <c r="A210" s="70">
        <v>18.3</v>
      </c>
      <c r="B210" s="81"/>
      <c r="C210" s="82"/>
      <c r="D210" s="881">
        <f>IF(C210&lt;=0.005*(i.04101!$E$47-i.04101!$E$40-i.04101!$E$41),i.04144a!C210,0.005*(i.04101!$E$47-i.04101!$E$40-i.04101!$E$41))</f>
        <v>0</v>
      </c>
      <c r="E210" s="880">
        <f t="shared" si="4"/>
        <v>0</v>
      </c>
    </row>
    <row r="211" spans="1:5">
      <c r="A211" s="70">
        <v>18.399999999999999</v>
      </c>
      <c r="B211" s="81"/>
      <c r="C211" s="82"/>
      <c r="D211" s="881">
        <f>IF(C211&lt;=0.005*(i.04101!$E$47-i.04101!$E$40-i.04101!$E$41),i.04144a!C211,0.005*(i.04101!$E$47-i.04101!$E$40-i.04101!$E$41))</f>
        <v>0</v>
      </c>
      <c r="E211" s="880">
        <f t="shared" si="4"/>
        <v>0</v>
      </c>
    </row>
    <row r="212" spans="1:5">
      <c r="A212" s="70">
        <v>18.5</v>
      </c>
      <c r="B212" s="81"/>
      <c r="C212" s="82"/>
      <c r="D212" s="881">
        <f>IF(C212&lt;=0.005*(i.04101!$E$47-i.04101!$E$40-i.04101!$E$41),i.04144a!C212,0.005*(i.04101!$E$47-i.04101!$E$40-i.04101!$E$41))</f>
        <v>0</v>
      </c>
      <c r="E212" s="880">
        <f t="shared" si="4"/>
        <v>0</v>
      </c>
    </row>
    <row r="213" spans="1:5">
      <c r="A213" s="70">
        <v>18.600000000000001</v>
      </c>
      <c r="B213" s="81"/>
      <c r="C213" s="82"/>
      <c r="D213" s="881">
        <f>IF(C213&lt;=0.005*(i.04101!$E$47-i.04101!$E$40-i.04101!$E$41),i.04144a!C213,0.005*(i.04101!$E$47-i.04101!$E$40-i.04101!$E$41))</f>
        <v>0</v>
      </c>
      <c r="E213" s="880">
        <f t="shared" si="4"/>
        <v>0</v>
      </c>
    </row>
    <row r="214" spans="1:5">
      <c r="A214" s="70">
        <v>18.7</v>
      </c>
      <c r="B214" s="81"/>
      <c r="C214" s="82"/>
      <c r="D214" s="881">
        <f>IF(C214&lt;=0.005*(i.04101!$E$47-i.04101!$E$40-i.04101!$E$41),i.04144a!C214,0.005*(i.04101!$E$47-i.04101!$E$40-i.04101!$E$41))</f>
        <v>0</v>
      </c>
      <c r="E214" s="880">
        <f t="shared" si="4"/>
        <v>0</v>
      </c>
    </row>
    <row r="215" spans="1:5">
      <c r="A215" s="70">
        <v>18.8</v>
      </c>
      <c r="B215" s="81"/>
      <c r="C215" s="82"/>
      <c r="D215" s="881">
        <f>IF(C215&lt;=0.005*(i.04101!$E$47-i.04101!$E$40-i.04101!$E$41),i.04144a!C215,0.005*(i.04101!$E$47-i.04101!$E$40-i.04101!$E$41))</f>
        <v>0</v>
      </c>
      <c r="E215" s="880">
        <f t="shared" si="4"/>
        <v>0</v>
      </c>
    </row>
    <row r="216" spans="1:5">
      <c r="A216" s="70">
        <v>18.899999999999999</v>
      </c>
      <c r="B216" s="81"/>
      <c r="C216" s="82"/>
      <c r="D216" s="881">
        <f>IF(C216&lt;=0.005*(i.04101!$E$47-i.04101!$E$40-i.04101!$E$41),i.04144a!C216,0.005*(i.04101!$E$47-i.04101!$E$40-i.04101!$E$41))</f>
        <v>0</v>
      </c>
      <c r="E216" s="880">
        <f t="shared" si="4"/>
        <v>0</v>
      </c>
    </row>
    <row r="217" spans="1:5">
      <c r="A217" s="79">
        <v>18.100000000000001</v>
      </c>
      <c r="B217" s="81"/>
      <c r="C217" s="82"/>
      <c r="D217" s="881">
        <f>IF(C217&lt;=0.005*(i.04101!$E$47-i.04101!$E$40-i.04101!$E$41),i.04144a!C217,0.005*(i.04101!$E$47-i.04101!$E$40-i.04101!$E$41))</f>
        <v>0</v>
      </c>
      <c r="E217" s="880">
        <f t="shared" si="4"/>
        <v>0</v>
      </c>
    </row>
    <row r="218" spans="1:5">
      <c r="A218" s="70">
        <v>18.11</v>
      </c>
      <c r="B218" s="77" t="str">
        <f>"Бусад  "</f>
        <v xml:space="preserve">Бусад  </v>
      </c>
      <c r="C218" s="82"/>
      <c r="D218" s="881">
        <f>IF(C218&lt;=0.005*(i.04101!$E$47-i.04101!$E$40-i.04101!$E$41),i.04144a!C218,0.005*(i.04101!$E$47-i.04101!$E$40-i.04101!$E$41))</f>
        <v>0</v>
      </c>
      <c r="E218" s="880">
        <f t="shared" si="4"/>
        <v>0</v>
      </c>
    </row>
    <row r="219" spans="1:5" s="28" customFormat="1" ht="26.25" customHeight="1">
      <c r="A219" s="111" t="s">
        <v>884</v>
      </c>
      <c r="B219" s="112" t="str">
        <f>"Гадаадын компанийн хувьцаа /Хамгийн өндөр дүнтэйгээс эхлэн бичих/   "</f>
        <v xml:space="preserve">Гадаадын компанийн хувьцаа /Хамгийн өндөр дүнтэйгээс эхлэн бичих/   </v>
      </c>
      <c r="C219" s="122">
        <f>C220+C221+C222+C223+C224+C225+C226+C227+C228+C229+C230</f>
        <v>0</v>
      </c>
      <c r="D219" s="114">
        <f>D220+D221+D222+D223+D224+D225+D226+D227+D228+D229+D230</f>
        <v>0</v>
      </c>
      <c r="E219" s="106">
        <f t="shared" si="4"/>
        <v>0</v>
      </c>
    </row>
    <row r="220" spans="1:5">
      <c r="A220" s="70">
        <v>19.100000000000001</v>
      </c>
      <c r="B220" s="81"/>
      <c r="C220" s="90"/>
      <c r="D220" s="881">
        <f>IF(C220&lt;=0.005*(i.04101!$E$47-i.04101!$E$40-i.04101!$E$41),i.04144a!C220,0.005*(i.04101!$E$47-i.04101!$E$40-i.04101!$E$41))</f>
        <v>0</v>
      </c>
      <c r="E220" s="880">
        <f t="shared" si="4"/>
        <v>0</v>
      </c>
    </row>
    <row r="221" spans="1:5">
      <c r="A221" s="70">
        <v>19.2</v>
      </c>
      <c r="B221" s="81"/>
      <c r="C221" s="90"/>
      <c r="D221" s="881">
        <f>IF(C221&lt;=0.005*(i.04101!$E$47-i.04101!$E$40-i.04101!$E$41),i.04144a!C221,0.005*(i.04101!$E$47-i.04101!$E$40-i.04101!$E$41))</f>
        <v>0</v>
      </c>
      <c r="E221" s="880">
        <f t="shared" si="4"/>
        <v>0</v>
      </c>
    </row>
    <row r="222" spans="1:5">
      <c r="A222" s="70">
        <v>19.3</v>
      </c>
      <c r="B222" s="81"/>
      <c r="C222" s="90"/>
      <c r="D222" s="881">
        <f>IF(C222&lt;=0.005*(i.04101!$E$47-i.04101!$E$40-i.04101!$E$41),i.04144a!C222,0.005*(i.04101!$E$47-i.04101!$E$40-i.04101!$E$41))</f>
        <v>0</v>
      </c>
      <c r="E222" s="880">
        <f t="shared" si="4"/>
        <v>0</v>
      </c>
    </row>
    <row r="223" spans="1:5">
      <c r="A223" s="70">
        <v>19.399999999999999</v>
      </c>
      <c r="B223" s="81"/>
      <c r="C223" s="90"/>
      <c r="D223" s="881">
        <f>IF(C223&lt;=0.005*(i.04101!$E$47-i.04101!$E$40-i.04101!$E$41),i.04144a!C223,0.005*(i.04101!$E$47-i.04101!$E$40-i.04101!$E$41))</f>
        <v>0</v>
      </c>
      <c r="E223" s="880">
        <f t="shared" si="4"/>
        <v>0</v>
      </c>
    </row>
    <row r="224" spans="1:5">
      <c r="A224" s="70">
        <v>19.5</v>
      </c>
      <c r="B224" s="81"/>
      <c r="C224" s="90"/>
      <c r="D224" s="881">
        <f>IF(C224&lt;=0.005*(i.04101!$E$47-i.04101!$E$40-i.04101!$E$41),i.04144a!C224,0.005*(i.04101!$E$47-i.04101!$E$40-i.04101!$E$41))</f>
        <v>0</v>
      </c>
      <c r="E224" s="880">
        <f t="shared" si="4"/>
        <v>0</v>
      </c>
    </row>
    <row r="225" spans="1:5">
      <c r="A225" s="70">
        <v>19.600000000000001</v>
      </c>
      <c r="B225" s="81"/>
      <c r="C225" s="90"/>
      <c r="D225" s="881">
        <f>IF(C225&lt;=0.005*(i.04101!$E$47-i.04101!$E$40-i.04101!$E$41),i.04144a!C225,0.005*(i.04101!$E$47-i.04101!$E$40-i.04101!$E$41))</f>
        <v>0</v>
      </c>
      <c r="E225" s="880">
        <f t="shared" si="4"/>
        <v>0</v>
      </c>
    </row>
    <row r="226" spans="1:5">
      <c r="A226" s="70">
        <v>19.7</v>
      </c>
      <c r="B226" s="81"/>
      <c r="C226" s="90"/>
      <c r="D226" s="881">
        <f>IF(C226&lt;=0.005*(i.04101!$E$47-i.04101!$E$40-i.04101!$E$41),i.04144a!C226,0.005*(i.04101!$E$47-i.04101!$E$40-i.04101!$E$41))</f>
        <v>0</v>
      </c>
      <c r="E226" s="880">
        <f t="shared" si="4"/>
        <v>0</v>
      </c>
    </row>
    <row r="227" spans="1:5">
      <c r="A227" s="70">
        <v>19.8</v>
      </c>
      <c r="B227" s="81"/>
      <c r="C227" s="90"/>
      <c r="D227" s="881">
        <f>IF(C227&lt;=0.005*(i.04101!$E$47-i.04101!$E$40-i.04101!$E$41),i.04144a!C227,0.005*(i.04101!$E$47-i.04101!$E$40-i.04101!$E$41))</f>
        <v>0</v>
      </c>
      <c r="E227" s="880">
        <f t="shared" si="4"/>
        <v>0</v>
      </c>
    </row>
    <row r="228" spans="1:5">
      <c r="A228" s="70">
        <v>19.899999999999999</v>
      </c>
      <c r="B228" s="81"/>
      <c r="C228" s="90"/>
      <c r="D228" s="881">
        <f>IF(C228&lt;=0.005*(i.04101!$E$47-i.04101!$E$40-i.04101!$E$41),i.04144a!C228,0.005*(i.04101!$E$47-i.04101!$E$40-i.04101!$E$41))</f>
        <v>0</v>
      </c>
      <c r="E228" s="880">
        <f t="shared" si="4"/>
        <v>0</v>
      </c>
    </row>
    <row r="229" spans="1:5">
      <c r="A229" s="79">
        <v>19.100000000000001</v>
      </c>
      <c r="B229" s="81"/>
      <c r="C229" s="90"/>
      <c r="D229" s="881">
        <f>IF(C229&lt;=0.005*(i.04101!$E$47-i.04101!$E$40-i.04101!$E$41),i.04144a!C229,0.005*(i.04101!$E$47-i.04101!$E$40-i.04101!$E$41))</f>
        <v>0</v>
      </c>
      <c r="E229" s="880">
        <f t="shared" si="4"/>
        <v>0</v>
      </c>
    </row>
    <row r="230" spans="1:5">
      <c r="A230" s="70">
        <v>19.11</v>
      </c>
      <c r="B230" s="77" t="str">
        <f>"Бусад  "</f>
        <v xml:space="preserve">Бусад  </v>
      </c>
      <c r="C230" s="90"/>
      <c r="D230" s="881">
        <f>IF(C230&lt;=0.005*(i.04101!$E$47-i.04101!$E$40-i.04101!$E$41),i.04144a!C230,0.005*(i.04101!$E$47-i.04101!$E$40-i.04101!$E$41))</f>
        <v>0</v>
      </c>
      <c r="E230" s="880">
        <f t="shared" si="4"/>
        <v>0</v>
      </c>
    </row>
    <row r="231" spans="1:5" s="28" customFormat="1" ht="24" customHeight="1">
      <c r="A231" s="118" t="s">
        <v>885</v>
      </c>
      <c r="B231" s="118" t="str">
        <f>"Давхар даатгалын хойшлогдсон хураамж /Хамгийн өндөр дүнтэйгээс эхлэн бичих/   "</f>
        <v xml:space="preserve">Давхар даатгалын хойшлогдсон хураамж /Хамгийн өндөр дүнтэйгээс эхлэн бичих/   </v>
      </c>
      <c r="C231" s="119">
        <f>C232+C233+C234+C235+C236+C237+C238+C239+C240+C241+C242</f>
        <v>0</v>
      </c>
      <c r="D231" s="114">
        <f>D232+D233+D234+D235+D236+D237+D238+D239+D240+D241+D242</f>
        <v>0</v>
      </c>
      <c r="E231" s="106">
        <f t="shared" si="4"/>
        <v>0</v>
      </c>
    </row>
    <row r="232" spans="1:5">
      <c r="A232" s="70">
        <v>20.100000000000001</v>
      </c>
      <c r="B232" s="81"/>
      <c r="C232" s="72"/>
      <c r="D232" s="881">
        <f t="shared" ref="D232:D242" si="5">C232</f>
        <v>0</v>
      </c>
      <c r="E232" s="880">
        <f t="shared" si="4"/>
        <v>0</v>
      </c>
    </row>
    <row r="233" spans="1:5">
      <c r="A233" s="70">
        <v>20.2</v>
      </c>
      <c r="B233" s="81"/>
      <c r="C233" s="72"/>
      <c r="D233" s="881">
        <f t="shared" si="5"/>
        <v>0</v>
      </c>
      <c r="E233" s="880">
        <f t="shared" si="4"/>
        <v>0</v>
      </c>
    </row>
    <row r="234" spans="1:5">
      <c r="A234" s="70">
        <v>20.3</v>
      </c>
      <c r="B234" s="81"/>
      <c r="C234" s="72"/>
      <c r="D234" s="881">
        <f t="shared" si="5"/>
        <v>0</v>
      </c>
      <c r="E234" s="880">
        <f t="shared" si="4"/>
        <v>0</v>
      </c>
    </row>
    <row r="235" spans="1:5">
      <c r="A235" s="70">
        <v>20.399999999999999</v>
      </c>
      <c r="B235" s="81"/>
      <c r="C235" s="72"/>
      <c r="D235" s="881">
        <f t="shared" si="5"/>
        <v>0</v>
      </c>
      <c r="E235" s="880">
        <f t="shared" si="4"/>
        <v>0</v>
      </c>
    </row>
    <row r="236" spans="1:5">
      <c r="A236" s="70">
        <v>20.5</v>
      </c>
      <c r="B236" s="81"/>
      <c r="C236" s="72"/>
      <c r="D236" s="881">
        <f t="shared" si="5"/>
        <v>0</v>
      </c>
      <c r="E236" s="880">
        <f t="shared" si="4"/>
        <v>0</v>
      </c>
    </row>
    <row r="237" spans="1:5">
      <c r="A237" s="70">
        <v>20.6</v>
      </c>
      <c r="B237" s="81"/>
      <c r="C237" s="72"/>
      <c r="D237" s="881">
        <f t="shared" si="5"/>
        <v>0</v>
      </c>
      <c r="E237" s="880">
        <f t="shared" si="4"/>
        <v>0</v>
      </c>
    </row>
    <row r="238" spans="1:5">
      <c r="A238" s="70">
        <v>20.7</v>
      </c>
      <c r="B238" s="81"/>
      <c r="C238" s="72"/>
      <c r="D238" s="881">
        <f t="shared" si="5"/>
        <v>0</v>
      </c>
      <c r="E238" s="880">
        <f t="shared" si="4"/>
        <v>0</v>
      </c>
    </row>
    <row r="239" spans="1:5">
      <c r="A239" s="70">
        <v>20.8</v>
      </c>
      <c r="B239" s="81"/>
      <c r="C239" s="72"/>
      <c r="D239" s="881">
        <f t="shared" si="5"/>
        <v>0</v>
      </c>
      <c r="E239" s="880">
        <f t="shared" si="4"/>
        <v>0</v>
      </c>
    </row>
    <row r="240" spans="1:5">
      <c r="A240" s="70">
        <v>20.9</v>
      </c>
      <c r="B240" s="81"/>
      <c r="C240" s="72"/>
      <c r="D240" s="881">
        <f t="shared" si="5"/>
        <v>0</v>
      </c>
      <c r="E240" s="880">
        <f t="shared" si="4"/>
        <v>0</v>
      </c>
    </row>
    <row r="241" spans="1:5">
      <c r="A241" s="79">
        <v>20.100000000000001</v>
      </c>
      <c r="B241" s="81"/>
      <c r="C241" s="72"/>
      <c r="D241" s="881">
        <f t="shared" si="5"/>
        <v>0</v>
      </c>
      <c r="E241" s="880">
        <f t="shared" si="4"/>
        <v>0</v>
      </c>
    </row>
    <row r="242" spans="1:5">
      <c r="A242" s="70">
        <v>20.11</v>
      </c>
      <c r="B242" s="77" t="str">
        <f>"Бусад  "</f>
        <v xml:space="preserve">Бусад  </v>
      </c>
      <c r="C242" s="72"/>
      <c r="D242" s="881">
        <f t="shared" si="5"/>
        <v>0</v>
      </c>
      <c r="E242" s="880">
        <f t="shared" si="4"/>
        <v>0</v>
      </c>
    </row>
    <row r="243" spans="1:5" s="28" customFormat="1" ht="39">
      <c r="A243" s="118" t="s">
        <v>886</v>
      </c>
      <c r="B243" s="118" t="str">
        <f>"Нөхөн төлбөрийн нөөцийн давхар даатгагчид ногдох хэсэг /Хамгийн өндөр дүнтэйгээс эхлэн бичих/   "</f>
        <v xml:space="preserve">Нөхөн төлбөрийн нөөцийн давхар даатгагчид ногдох хэсэг /Хамгийн өндөр дүнтэйгээс эхлэн бичих/   </v>
      </c>
      <c r="C243" s="119">
        <f>C244+C245+C246+C247+C248+C249+C250+C251+C252+C253+C254</f>
        <v>0</v>
      </c>
      <c r="D243" s="114">
        <f>D244+D245+D246+D247+D248+D249+D250+D251+D252+D253+D254</f>
        <v>0</v>
      </c>
      <c r="E243" s="106">
        <f t="shared" si="4"/>
        <v>0</v>
      </c>
    </row>
    <row r="244" spans="1:5">
      <c r="A244" s="70">
        <v>21.1</v>
      </c>
      <c r="B244" s="81"/>
      <c r="C244" s="72"/>
      <c r="D244" s="881">
        <f t="shared" ref="D244:D254" si="6">C244</f>
        <v>0</v>
      </c>
      <c r="E244" s="880">
        <f t="shared" si="4"/>
        <v>0</v>
      </c>
    </row>
    <row r="245" spans="1:5">
      <c r="A245" s="70">
        <v>21.2</v>
      </c>
      <c r="B245" s="81"/>
      <c r="C245" s="72"/>
      <c r="D245" s="881">
        <f t="shared" si="6"/>
        <v>0</v>
      </c>
      <c r="E245" s="880">
        <f t="shared" si="4"/>
        <v>0</v>
      </c>
    </row>
    <row r="246" spans="1:5">
      <c r="A246" s="70">
        <v>21.3</v>
      </c>
      <c r="B246" s="81"/>
      <c r="C246" s="72"/>
      <c r="D246" s="881">
        <f t="shared" si="6"/>
        <v>0</v>
      </c>
      <c r="E246" s="880">
        <f t="shared" si="4"/>
        <v>0</v>
      </c>
    </row>
    <row r="247" spans="1:5">
      <c r="A247" s="70">
        <v>21.4</v>
      </c>
      <c r="B247" s="81"/>
      <c r="C247" s="72"/>
      <c r="D247" s="881">
        <f t="shared" si="6"/>
        <v>0</v>
      </c>
      <c r="E247" s="880">
        <f t="shared" si="4"/>
        <v>0</v>
      </c>
    </row>
    <row r="248" spans="1:5">
      <c r="A248" s="70">
        <v>21.5</v>
      </c>
      <c r="B248" s="81"/>
      <c r="C248" s="72"/>
      <c r="D248" s="881">
        <f t="shared" si="6"/>
        <v>0</v>
      </c>
      <c r="E248" s="880">
        <f t="shared" si="4"/>
        <v>0</v>
      </c>
    </row>
    <row r="249" spans="1:5">
      <c r="A249" s="70">
        <v>21.6</v>
      </c>
      <c r="B249" s="81"/>
      <c r="C249" s="72"/>
      <c r="D249" s="881">
        <f t="shared" si="6"/>
        <v>0</v>
      </c>
      <c r="E249" s="880">
        <f t="shared" si="4"/>
        <v>0</v>
      </c>
    </row>
    <row r="250" spans="1:5">
      <c r="A250" s="70">
        <v>21.7</v>
      </c>
      <c r="B250" s="81"/>
      <c r="C250" s="72"/>
      <c r="D250" s="881">
        <f t="shared" si="6"/>
        <v>0</v>
      </c>
      <c r="E250" s="880">
        <f t="shared" si="4"/>
        <v>0</v>
      </c>
    </row>
    <row r="251" spans="1:5">
      <c r="A251" s="70">
        <v>21.8</v>
      </c>
      <c r="B251" s="81"/>
      <c r="C251" s="72"/>
      <c r="D251" s="881">
        <f t="shared" si="6"/>
        <v>0</v>
      </c>
      <c r="E251" s="880">
        <f t="shared" si="4"/>
        <v>0</v>
      </c>
    </row>
    <row r="252" spans="1:5">
      <c r="A252" s="70">
        <v>21.9</v>
      </c>
      <c r="B252" s="81"/>
      <c r="C252" s="72"/>
      <c r="D252" s="881">
        <f t="shared" si="6"/>
        <v>0</v>
      </c>
      <c r="E252" s="880">
        <f t="shared" si="4"/>
        <v>0</v>
      </c>
    </row>
    <row r="253" spans="1:5">
      <c r="A253" s="79">
        <v>21.1</v>
      </c>
      <c r="B253" s="81"/>
      <c r="C253" s="72"/>
      <c r="D253" s="881">
        <f t="shared" si="6"/>
        <v>0</v>
      </c>
      <c r="E253" s="880">
        <f t="shared" si="4"/>
        <v>0</v>
      </c>
    </row>
    <row r="254" spans="1:5">
      <c r="A254" s="70">
        <v>21.11</v>
      </c>
      <c r="B254" s="77" t="str">
        <f>"Бусад  "</f>
        <v xml:space="preserve">Бусад  </v>
      </c>
      <c r="C254" s="72"/>
      <c r="D254" s="881">
        <f t="shared" si="6"/>
        <v>0</v>
      </c>
      <c r="E254" s="880">
        <f t="shared" si="4"/>
        <v>0</v>
      </c>
    </row>
    <row r="255" spans="1:5" s="28" customFormat="1" ht="39">
      <c r="A255" s="111" t="s">
        <v>887</v>
      </c>
      <c r="B255" s="112" t="str">
        <f>"Даатгалын орлогын шимтгэлийн хойшлогдсон зардал /Хамгийн өндөр дүнтэйгээс эхлэн бичих/   "</f>
        <v xml:space="preserve">Даатгалын орлогын шимтгэлийн хойшлогдсон зардал /Хамгийн өндөр дүнтэйгээс эхлэн бичих/   </v>
      </c>
      <c r="C255" s="113">
        <f>C256+C257+C258+C259+C260+C261+C262+C263+C264+C265+C266</f>
        <v>0</v>
      </c>
      <c r="D255" s="114">
        <f>D256+D257+D258+D259+D260+D261+D262+D263+D264+D265+D266</f>
        <v>0</v>
      </c>
      <c r="E255" s="106">
        <f t="shared" si="4"/>
        <v>0</v>
      </c>
    </row>
    <row r="256" spans="1:5">
      <c r="A256" s="70">
        <v>22.1</v>
      </c>
      <c r="B256" s="81"/>
      <c r="C256" s="287"/>
      <c r="D256" s="881">
        <f>IF(C256&lt;=0.05*(i.04101!$E$47-i.04101!$E$40-i.04101!$E$41),i.04144a!C256,0.05*(i.04101!$E$47-i.04101!$E$40-i.04101!$E$41))</f>
        <v>0</v>
      </c>
      <c r="E256" s="880">
        <f t="shared" si="4"/>
        <v>0</v>
      </c>
    </row>
    <row r="257" spans="1:5">
      <c r="A257" s="70">
        <v>22.2</v>
      </c>
      <c r="B257" s="81"/>
      <c r="C257" s="287"/>
      <c r="D257" s="881">
        <f>IF(C257&lt;=0.05*(i.04101!$E$47-i.04101!$E$40-i.04101!$E$41),i.04144a!C257,0.05*(i.04101!$E$47-i.04101!$E$40-i.04101!$E$41))</f>
        <v>0</v>
      </c>
      <c r="E257" s="880">
        <f t="shared" si="4"/>
        <v>0</v>
      </c>
    </row>
    <row r="258" spans="1:5">
      <c r="A258" s="70">
        <v>22.3</v>
      </c>
      <c r="B258" s="81"/>
      <c r="C258" s="287"/>
      <c r="D258" s="881">
        <f>IF(C258&lt;=0.05*(i.04101!$E$47-i.04101!$E$40-i.04101!$E$41),i.04144a!C258,0.05*(i.04101!$E$47-i.04101!$E$40-i.04101!$E$41))</f>
        <v>0</v>
      </c>
      <c r="E258" s="880">
        <f t="shared" si="4"/>
        <v>0</v>
      </c>
    </row>
    <row r="259" spans="1:5">
      <c r="A259" s="70">
        <v>22.4</v>
      </c>
      <c r="B259" s="81"/>
      <c r="C259" s="287"/>
      <c r="D259" s="881">
        <f>IF(C259&lt;=0.05*(i.04101!$E$47-i.04101!$E$40-i.04101!$E$41),i.04144a!C259,0.05*(i.04101!$E$47-i.04101!$E$40-i.04101!$E$41))</f>
        <v>0</v>
      </c>
      <c r="E259" s="880">
        <f t="shared" si="4"/>
        <v>0</v>
      </c>
    </row>
    <row r="260" spans="1:5">
      <c r="A260" s="70">
        <v>22.5</v>
      </c>
      <c r="B260" s="81"/>
      <c r="C260" s="287"/>
      <c r="D260" s="881">
        <f>IF(C260&lt;=0.05*(i.04101!$E$47-i.04101!$E$40-i.04101!$E$41),i.04144a!C260,0.05*(i.04101!$E$47-i.04101!$E$40-i.04101!$E$41))</f>
        <v>0</v>
      </c>
      <c r="E260" s="880">
        <f t="shared" si="4"/>
        <v>0</v>
      </c>
    </row>
    <row r="261" spans="1:5">
      <c r="A261" s="70">
        <v>22.6</v>
      </c>
      <c r="B261" s="81"/>
      <c r="C261" s="287"/>
      <c r="D261" s="881">
        <f>IF(C261&lt;=0.05*(i.04101!$E$47-i.04101!$E$40-i.04101!$E$41),i.04144a!C261,0.05*(i.04101!$E$47-i.04101!$E$40-i.04101!$E$41))</f>
        <v>0</v>
      </c>
      <c r="E261" s="880">
        <f t="shared" si="4"/>
        <v>0</v>
      </c>
    </row>
    <row r="262" spans="1:5">
      <c r="A262" s="70">
        <v>22.7</v>
      </c>
      <c r="B262" s="81"/>
      <c r="C262" s="287"/>
      <c r="D262" s="881">
        <f>IF(C262&lt;=0.05*(i.04101!$E$47-i.04101!$E$40-i.04101!$E$41),i.04144a!C262,0.05*(i.04101!$E$47-i.04101!$E$40-i.04101!$E$41))</f>
        <v>0</v>
      </c>
      <c r="E262" s="880">
        <f t="shared" si="4"/>
        <v>0</v>
      </c>
    </row>
    <row r="263" spans="1:5">
      <c r="A263" s="70">
        <v>22.8</v>
      </c>
      <c r="B263" s="81"/>
      <c r="C263" s="287"/>
      <c r="D263" s="881">
        <f>IF(C263&lt;=0.05*(i.04101!$E$47-i.04101!$E$40-i.04101!$E$41),i.04144a!C263,0.05*(i.04101!$E$47-i.04101!$E$40-i.04101!$E$41))</f>
        <v>0</v>
      </c>
      <c r="E263" s="880">
        <f t="shared" si="4"/>
        <v>0</v>
      </c>
    </row>
    <row r="264" spans="1:5">
      <c r="A264" s="70">
        <v>22.9</v>
      </c>
      <c r="B264" s="81"/>
      <c r="C264" s="287"/>
      <c r="D264" s="881">
        <f>IF(C264&lt;=0.05*(i.04101!$E$47-i.04101!$E$40-i.04101!$E$41),i.04144a!C264,0.05*(i.04101!$E$47-i.04101!$E$40-i.04101!$E$41))</f>
        <v>0</v>
      </c>
      <c r="E264" s="880">
        <f t="shared" si="4"/>
        <v>0</v>
      </c>
    </row>
    <row r="265" spans="1:5">
      <c r="A265" s="79">
        <v>22.1</v>
      </c>
      <c r="B265" s="81"/>
      <c r="C265" s="287"/>
      <c r="D265" s="881">
        <f>IF(C265&lt;=0.05*(i.04101!$E$47-i.04101!$E$40-i.04101!$E$41),i.04144a!C265,0.05*(i.04101!$E$47-i.04101!$E$40-i.04101!$E$41))</f>
        <v>0</v>
      </c>
      <c r="E265" s="880">
        <f t="shared" si="4"/>
        <v>0</v>
      </c>
    </row>
    <row r="266" spans="1:5">
      <c r="A266" s="70">
        <v>22.11</v>
      </c>
      <c r="B266" s="77" t="str">
        <f>"Бусад  "</f>
        <v xml:space="preserve">Бусад  </v>
      </c>
      <c r="C266" s="287"/>
      <c r="D266" s="881">
        <f>IF(C266&lt;=0.05*(i.04101!$E$47-i.04101!$E$40-i.04101!$E$41),i.04144a!C266,0.05*(i.04101!$E$47-i.04101!$E$40-i.04101!$E$41))</f>
        <v>0</v>
      </c>
      <c r="E266" s="880">
        <f t="shared" si="4"/>
        <v>0</v>
      </c>
    </row>
    <row r="267" spans="1:5" s="28" customFormat="1" ht="27" customHeight="1">
      <c r="A267" s="118" t="s">
        <v>888</v>
      </c>
      <c r="B267" s="118" t="str">
        <f>"Хэвийн өмчлөх бусад хөрөнгө /Хамгийн өндөр дүнтэйгээс эхлэн бичих/   "</f>
        <v xml:space="preserve">Хэвийн өмчлөх бусад хөрөнгө /Хамгийн өндөр дүнтэйгээс эхлэн бичих/   </v>
      </c>
      <c r="C267" s="119">
        <f>C268+C269+C270+C271+C272+C273</f>
        <v>0</v>
      </c>
      <c r="D267" s="114">
        <f>D268+D269+D270+D271+D272+D273</f>
        <v>0</v>
      </c>
      <c r="E267" s="106">
        <f t="shared" si="4"/>
        <v>0</v>
      </c>
    </row>
    <row r="268" spans="1:5">
      <c r="A268" s="69" t="s">
        <v>797</v>
      </c>
      <c r="B268" s="71"/>
      <c r="C268" s="72"/>
      <c r="D268" s="881">
        <f>IF(C268&lt;=0.05*(i.04101!$E$47-i.04101!$E$40-i.04101!$E$41),i.04144a!C268,0.05*(i.04101!$E$47-i.04101!$E$40-i.04101!$E$41))</f>
        <v>0</v>
      </c>
      <c r="E268" s="880">
        <f t="shared" si="4"/>
        <v>0</v>
      </c>
    </row>
    <row r="269" spans="1:5">
      <c r="A269" s="69" t="s">
        <v>798</v>
      </c>
      <c r="B269" s="71"/>
      <c r="C269" s="72"/>
      <c r="D269" s="881">
        <f>IF(C269&lt;=0.05*(i.04101!$E$47-i.04101!$E$40-i.04101!$E$41),i.04144a!C269,0.05*(i.04101!$E$47-i.04101!$E$40-i.04101!$E$41))</f>
        <v>0</v>
      </c>
      <c r="E269" s="880">
        <f t="shared" ref="E269:E332" si="7">C269-D269</f>
        <v>0</v>
      </c>
    </row>
    <row r="270" spans="1:5">
      <c r="A270" s="69" t="s">
        <v>799</v>
      </c>
      <c r="B270" s="71"/>
      <c r="C270" s="72"/>
      <c r="D270" s="881">
        <f>IF(C270&lt;=0.05*(i.04101!$E$47-i.04101!$E$40-i.04101!$E$41),i.04144a!C270,0.05*(i.04101!$E$47-i.04101!$E$40-i.04101!$E$41))</f>
        <v>0</v>
      </c>
      <c r="E270" s="880">
        <f t="shared" si="7"/>
        <v>0</v>
      </c>
    </row>
    <row r="271" spans="1:5">
      <c r="A271" s="69" t="s">
        <v>800</v>
      </c>
      <c r="B271" s="71"/>
      <c r="C271" s="72"/>
      <c r="D271" s="881">
        <f>IF(C271&lt;=0.05*(i.04101!$E$47-i.04101!$E$40-i.04101!$E$41),i.04144a!C271,0.05*(i.04101!$E$47-i.04101!$E$40-i.04101!$E$41))</f>
        <v>0</v>
      </c>
      <c r="E271" s="880">
        <f t="shared" si="7"/>
        <v>0</v>
      </c>
    </row>
    <row r="272" spans="1:5">
      <c r="A272" s="69" t="s">
        <v>801</v>
      </c>
      <c r="B272" s="71"/>
      <c r="C272" s="72"/>
      <c r="D272" s="881">
        <f>IF(C272&lt;=0.05*(i.04101!$E$47-i.04101!$E$40-i.04101!$E$41),i.04144a!C272,0.05*(i.04101!$E$47-i.04101!$E$40-i.04101!$E$41))</f>
        <v>0</v>
      </c>
      <c r="E272" s="880">
        <f t="shared" si="7"/>
        <v>0</v>
      </c>
    </row>
    <row r="273" spans="1:5">
      <c r="A273" s="69" t="s">
        <v>802</v>
      </c>
      <c r="B273" s="69" t="str">
        <f>"Бусад  "</f>
        <v xml:space="preserve">Бусад  </v>
      </c>
      <c r="C273" s="72"/>
      <c r="D273" s="881">
        <f>IF(C273&lt;=0.05*(i.04101!$E$47-i.04101!$E$40-i.04101!$E$41),i.04144a!C273,0.05*(i.04101!$E$47-i.04101!$E$40-i.04101!$E$41))</f>
        <v>0</v>
      </c>
      <c r="E273" s="880">
        <f t="shared" si="7"/>
        <v>0</v>
      </c>
    </row>
    <row r="274" spans="1:5" s="28" customFormat="1" ht="26">
      <c r="A274" s="118">
        <v>23.2</v>
      </c>
      <c r="B274" s="118" t="str">
        <f>"Хугацаа хэтэрсэн өмчлөх бусад хөрөнгө  /Хамгийн өндөр дүнтэйгээс эхлэн бичих/   "</f>
        <v xml:space="preserve">Хугацаа хэтэрсэн өмчлөх бусад хөрөнгө  /Хамгийн өндөр дүнтэйгээс эхлэн бичих/   </v>
      </c>
      <c r="C274" s="119">
        <f>C275+C276+C277+C278+C279+C280</f>
        <v>0</v>
      </c>
      <c r="D274" s="114">
        <f>D275+D276+D277+D278+D279+D280</f>
        <v>0</v>
      </c>
      <c r="E274" s="106">
        <f t="shared" si="7"/>
        <v>0</v>
      </c>
    </row>
    <row r="275" spans="1:5">
      <c r="A275" s="69" t="s">
        <v>804</v>
      </c>
      <c r="B275" s="71"/>
      <c r="C275" s="72"/>
      <c r="D275" s="881">
        <f>IF(C275&lt;=0.025*(i.04101!$E$47-i.04101!$E$40-i.04101!$E$41),i.04144a!C275,0.025*(i.04101!$E$47-i.04101!$E$40-i.04101!$E$41))</f>
        <v>0</v>
      </c>
      <c r="E275" s="880">
        <f t="shared" si="7"/>
        <v>0</v>
      </c>
    </row>
    <row r="276" spans="1:5">
      <c r="A276" s="69" t="s">
        <v>805</v>
      </c>
      <c r="B276" s="71"/>
      <c r="C276" s="72"/>
      <c r="D276" s="881">
        <f>IF(C276&lt;=0.025*(i.04101!$E$47-i.04101!$E$40-i.04101!$E$41),i.04144a!C276,0.025*(i.04101!$E$47-i.04101!$E$40-i.04101!$E$41))</f>
        <v>0</v>
      </c>
      <c r="E276" s="880">
        <f t="shared" si="7"/>
        <v>0</v>
      </c>
    </row>
    <row r="277" spans="1:5">
      <c r="A277" s="69" t="s">
        <v>806</v>
      </c>
      <c r="B277" s="71"/>
      <c r="C277" s="72"/>
      <c r="D277" s="881">
        <f>IF(C277&lt;=0.025*(i.04101!$E$47-i.04101!$E$40-i.04101!$E$41),i.04144a!C277,0.025*(i.04101!$E$47-i.04101!$E$40-i.04101!$E$41))</f>
        <v>0</v>
      </c>
      <c r="E277" s="880">
        <f t="shared" si="7"/>
        <v>0</v>
      </c>
    </row>
    <row r="278" spans="1:5">
      <c r="A278" s="69" t="s">
        <v>807</v>
      </c>
      <c r="B278" s="71"/>
      <c r="C278" s="72"/>
      <c r="D278" s="881">
        <f>IF(C278&lt;=0.025*(i.04101!$E$47-i.04101!$E$40-i.04101!$E$41),i.04144a!C278,0.025*(i.04101!$E$47-i.04101!$E$40-i.04101!$E$41))</f>
        <v>0</v>
      </c>
      <c r="E278" s="880">
        <f t="shared" si="7"/>
        <v>0</v>
      </c>
    </row>
    <row r="279" spans="1:5">
      <c r="A279" s="69" t="s">
        <v>808</v>
      </c>
      <c r="B279" s="71"/>
      <c r="C279" s="72"/>
      <c r="D279" s="881">
        <f>IF(C279&lt;=0.025*(i.04101!$E$47-i.04101!$E$40-i.04101!$E$41),i.04144a!C279,0.025*(i.04101!$E$47-i.04101!$E$40-i.04101!$E$41))</f>
        <v>0</v>
      </c>
      <c r="E279" s="880">
        <f t="shared" si="7"/>
        <v>0</v>
      </c>
    </row>
    <row r="280" spans="1:5">
      <c r="A280" s="69" t="s">
        <v>809</v>
      </c>
      <c r="B280" s="69" t="str">
        <f>"Бусад  "</f>
        <v xml:space="preserve">Бусад  </v>
      </c>
      <c r="C280" s="72"/>
      <c r="D280" s="881">
        <f>IF(C280&lt;=0.025*(i.04101!$E$47-i.04101!$E$40-i.04101!$E$41),i.04144a!C280,0.025*(i.04101!$E$47-i.04101!$E$40-i.04101!$E$41))</f>
        <v>0</v>
      </c>
      <c r="E280" s="880">
        <f t="shared" si="7"/>
        <v>0</v>
      </c>
    </row>
    <row r="281" spans="1:5" s="28" customFormat="1" ht="26">
      <c r="A281" s="118">
        <v>23.3</v>
      </c>
      <c r="B281" s="118" t="str">
        <f>"Хэвийн бус өмчлөх бусад хөрөнгө  /Хамгийн өндөр дүнтэйгээс эхлэн бичих/   "</f>
        <v xml:space="preserve">Хэвийн бус өмчлөх бусад хөрөнгө  /Хамгийн өндөр дүнтэйгээс эхлэн бичих/   </v>
      </c>
      <c r="C281" s="119">
        <f>C282+C283+C284+C285+C286+C287</f>
        <v>0</v>
      </c>
      <c r="D281" s="114">
        <f>D282+D283+D284+D285+D286+D287</f>
        <v>0</v>
      </c>
      <c r="E281" s="106">
        <f t="shared" si="7"/>
        <v>0</v>
      </c>
    </row>
    <row r="282" spans="1:5">
      <c r="A282" s="69" t="s">
        <v>810</v>
      </c>
      <c r="B282" s="71"/>
      <c r="C282" s="72"/>
      <c r="D282" s="881">
        <f>IF(C282&lt;=0.025*(i.04101!$E$47-i.04101!$E$40-i.04101!$E$41),i.04144a!C282,0.025*(i.04101!$E$47-i.04101!$E$40-i.04101!$E$41))</f>
        <v>0</v>
      </c>
      <c r="E282" s="880">
        <f t="shared" si="7"/>
        <v>0</v>
      </c>
    </row>
    <row r="283" spans="1:5">
      <c r="A283" s="69" t="s">
        <v>811</v>
      </c>
      <c r="B283" s="71"/>
      <c r="C283" s="72"/>
      <c r="D283" s="881">
        <f>IF(C283&lt;=0.025*(i.04101!$E$47-i.04101!$E$40-i.04101!$E$41),i.04144a!C283,0.025*(i.04101!$E$47-i.04101!$E$40-i.04101!$E$41))</f>
        <v>0</v>
      </c>
      <c r="E283" s="880">
        <f t="shared" si="7"/>
        <v>0</v>
      </c>
    </row>
    <row r="284" spans="1:5">
      <c r="A284" s="69" t="s">
        <v>812</v>
      </c>
      <c r="B284" s="71"/>
      <c r="C284" s="72"/>
      <c r="D284" s="881">
        <f>IF(C284&lt;=0.025*(i.04101!$E$47-i.04101!$E$40-i.04101!$E$41),i.04144a!C284,0.025*(i.04101!$E$47-i.04101!$E$40-i.04101!$E$41))</f>
        <v>0</v>
      </c>
      <c r="E284" s="880">
        <f t="shared" si="7"/>
        <v>0</v>
      </c>
    </row>
    <row r="285" spans="1:5">
      <c r="A285" s="69" t="s">
        <v>813</v>
      </c>
      <c r="B285" s="71"/>
      <c r="C285" s="72"/>
      <c r="D285" s="881">
        <f>IF(C285&lt;=0.025*(i.04101!$E$47-i.04101!$E$40-i.04101!$E$41),i.04144a!C285,0.025*(i.04101!$E$47-i.04101!$E$40-i.04101!$E$41))</f>
        <v>0</v>
      </c>
      <c r="E285" s="880">
        <f t="shared" si="7"/>
        <v>0</v>
      </c>
    </row>
    <row r="286" spans="1:5">
      <c r="A286" s="69" t="s">
        <v>814</v>
      </c>
      <c r="B286" s="71"/>
      <c r="C286" s="72"/>
      <c r="D286" s="881">
        <f>IF(C286&lt;=0.025*(i.04101!$E$47-i.04101!$E$40-i.04101!$E$41),i.04144a!C286,0.025*(i.04101!$E$47-i.04101!$E$40-i.04101!$E$41))</f>
        <v>0</v>
      </c>
      <c r="E286" s="880">
        <f t="shared" si="7"/>
        <v>0</v>
      </c>
    </row>
    <row r="287" spans="1:5">
      <c r="A287" s="69" t="s">
        <v>815</v>
      </c>
      <c r="B287" s="69" t="str">
        <f>"Бусад  "</f>
        <v xml:space="preserve">Бусад  </v>
      </c>
      <c r="C287" s="72"/>
      <c r="D287" s="881">
        <f>IF(C287&lt;=0.025*(i.04101!$E$47-i.04101!$E$40-i.04101!$E$41),i.04144a!C287,0.025*(i.04101!$E$47-i.04101!$E$40-i.04101!$E$41))</f>
        <v>0</v>
      </c>
      <c r="E287" s="880">
        <f t="shared" si="7"/>
        <v>0</v>
      </c>
    </row>
    <row r="288" spans="1:5" s="28" customFormat="1" ht="26">
      <c r="A288" s="118">
        <v>23.4</v>
      </c>
      <c r="B288" s="118" t="str">
        <f>"Эргэлзээтэй өмчлөх бусад хөрөнгө  /Хамгийн өндөр дүнтэйгээс эхлэн бичих/  "</f>
        <v xml:space="preserve">Эргэлзээтэй өмчлөх бусад хөрөнгө  /Хамгийн өндөр дүнтэйгээс эхлэн бичих/  </v>
      </c>
      <c r="C288" s="119">
        <f>C289+C290+C291+C292+C293+C294</f>
        <v>0</v>
      </c>
      <c r="D288" s="114">
        <f>D289+D290+D291+D292+D293+D294</f>
        <v>0</v>
      </c>
      <c r="E288" s="106">
        <f t="shared" si="7"/>
        <v>0</v>
      </c>
    </row>
    <row r="289" spans="1:5">
      <c r="A289" s="69" t="s">
        <v>816</v>
      </c>
      <c r="B289" s="71"/>
      <c r="C289" s="72"/>
      <c r="D289" s="881">
        <f>IF(C289&lt;=0*(i.04101!$E$47-i.04101!$E$40-i.04101!$E$41),i.04144a!C289,0*(i.04101!$E$47-i.04101!$E$40-i.04101!$E$41))</f>
        <v>0</v>
      </c>
      <c r="E289" s="880">
        <f t="shared" si="7"/>
        <v>0</v>
      </c>
    </row>
    <row r="290" spans="1:5">
      <c r="A290" s="69" t="s">
        <v>817</v>
      </c>
      <c r="B290" s="71"/>
      <c r="C290" s="72"/>
      <c r="D290" s="881">
        <f>IF(C290&lt;=0*(i.04101!$E$47-i.04101!$E$40-i.04101!$E$41),i.04144a!C290,0*(i.04101!$E$47-i.04101!$E$40-i.04101!$E$41))</f>
        <v>0</v>
      </c>
      <c r="E290" s="880">
        <f t="shared" si="7"/>
        <v>0</v>
      </c>
    </row>
    <row r="291" spans="1:5">
      <c r="A291" s="69" t="s">
        <v>818</v>
      </c>
      <c r="B291" s="71"/>
      <c r="C291" s="72"/>
      <c r="D291" s="881">
        <f>IF(C291&lt;=0*(i.04101!$E$47-i.04101!$E$40-i.04101!$E$41),i.04144a!C291,0*(i.04101!$E$47-i.04101!$E$40-i.04101!$E$41))</f>
        <v>0</v>
      </c>
      <c r="E291" s="880">
        <f t="shared" si="7"/>
        <v>0</v>
      </c>
    </row>
    <row r="292" spans="1:5">
      <c r="A292" s="69" t="s">
        <v>819</v>
      </c>
      <c r="B292" s="71"/>
      <c r="C292" s="72"/>
      <c r="D292" s="881">
        <f>IF(C292&lt;=0*(i.04101!$E$47-i.04101!$E$40-i.04101!$E$41),i.04144a!C292,0*(i.04101!$E$47-i.04101!$E$40-i.04101!$E$41))</f>
        <v>0</v>
      </c>
      <c r="E292" s="880">
        <f t="shared" si="7"/>
        <v>0</v>
      </c>
    </row>
    <row r="293" spans="1:5">
      <c r="A293" s="69" t="s">
        <v>820</v>
      </c>
      <c r="B293" s="71"/>
      <c r="C293" s="72"/>
      <c r="D293" s="881">
        <f>IF(C293&lt;=0*(i.04101!$E$47-i.04101!$E$40-i.04101!$E$41),i.04144a!C293,0*(i.04101!$E$47-i.04101!$E$40-i.04101!$E$41))</f>
        <v>0</v>
      </c>
      <c r="E293" s="880">
        <f t="shared" si="7"/>
        <v>0</v>
      </c>
    </row>
    <row r="294" spans="1:5">
      <c r="A294" s="69" t="s">
        <v>821</v>
      </c>
      <c r="B294" s="69" t="str">
        <f>"Бусад  "</f>
        <v xml:space="preserve">Бусад  </v>
      </c>
      <c r="C294" s="72"/>
      <c r="D294" s="881">
        <f>IF(C294&lt;=0*(i.04101!$E$47-i.04101!$E$40-i.04101!$E$41),i.04144a!C294,0*(i.04101!$E$47-i.04101!$E$40-i.04101!$E$41))</f>
        <v>0</v>
      </c>
      <c r="E294" s="880">
        <f t="shared" si="7"/>
        <v>0</v>
      </c>
    </row>
    <row r="295" spans="1:5" s="28" customFormat="1" ht="26">
      <c r="A295" s="118">
        <v>23.5</v>
      </c>
      <c r="B295" s="118" t="str">
        <f>"Муу өмчлөх бусад хөрөнгө  /Хамгийн өндөр дүнтэйгээс эхлэн бичих/   "</f>
        <v xml:space="preserve">Муу өмчлөх бусад хөрөнгө  /Хамгийн өндөр дүнтэйгээс эхлэн бичих/   </v>
      </c>
      <c r="C295" s="119">
        <f>C296+C297+C298+C299+C300+C301</f>
        <v>0</v>
      </c>
      <c r="D295" s="114">
        <f>D296+D297+D298+D299+D300+D301</f>
        <v>0</v>
      </c>
      <c r="E295" s="106">
        <f t="shared" si="7"/>
        <v>0</v>
      </c>
    </row>
    <row r="296" spans="1:5">
      <c r="A296" s="69" t="s">
        <v>822</v>
      </c>
      <c r="B296" s="71"/>
      <c r="C296" s="72"/>
      <c r="D296" s="881">
        <f>IF(C296&lt;=0*(i.04101!$E$47-i.04101!$E$40-i.04101!$E$41),i.04144a!C296,0*(i.04101!$E$47-i.04101!$E$40-i.04101!$E$41))</f>
        <v>0</v>
      </c>
      <c r="E296" s="880">
        <f t="shared" si="7"/>
        <v>0</v>
      </c>
    </row>
    <row r="297" spans="1:5">
      <c r="A297" s="69" t="s">
        <v>823</v>
      </c>
      <c r="B297" s="71"/>
      <c r="C297" s="72"/>
      <c r="D297" s="881">
        <f>IF(C297&lt;=0*(i.04101!$E$47-i.04101!$E$40-i.04101!$E$41),i.04144a!C297,0*(i.04101!$E$47-i.04101!$E$40-i.04101!$E$41))</f>
        <v>0</v>
      </c>
      <c r="E297" s="880">
        <f t="shared" si="7"/>
        <v>0</v>
      </c>
    </row>
    <row r="298" spans="1:5">
      <c r="A298" s="69" t="s">
        <v>824</v>
      </c>
      <c r="B298" s="71"/>
      <c r="C298" s="72"/>
      <c r="D298" s="881">
        <f>IF(C298&lt;=0*(i.04101!$E$47-i.04101!$E$40-i.04101!$E$41),i.04144a!C298,0*(i.04101!$E$47-i.04101!$E$40-i.04101!$E$41))</f>
        <v>0</v>
      </c>
      <c r="E298" s="880">
        <f t="shared" si="7"/>
        <v>0</v>
      </c>
    </row>
    <row r="299" spans="1:5">
      <c r="A299" s="69" t="s">
        <v>825</v>
      </c>
      <c r="B299" s="71"/>
      <c r="C299" s="72"/>
      <c r="D299" s="881">
        <f>IF(C299&lt;=0*(i.04101!$E$47-i.04101!$E$40-i.04101!$E$41),i.04144a!C299,0*(i.04101!$E$47-i.04101!$E$40-i.04101!$E$41))</f>
        <v>0</v>
      </c>
      <c r="E299" s="880">
        <f t="shared" si="7"/>
        <v>0</v>
      </c>
    </row>
    <row r="300" spans="1:5">
      <c r="A300" s="69" t="s">
        <v>826</v>
      </c>
      <c r="B300" s="71"/>
      <c r="C300" s="72"/>
      <c r="D300" s="881">
        <f>IF(C300&lt;=0*(i.04101!$E$47-i.04101!$E$40-i.04101!$E$41),i.04144a!C300,0*(i.04101!$E$47-i.04101!$E$40-i.04101!$E$41))</f>
        <v>0</v>
      </c>
      <c r="E300" s="880">
        <f t="shared" si="7"/>
        <v>0</v>
      </c>
    </row>
    <row r="301" spans="1:5">
      <c r="A301" s="69" t="s">
        <v>827</v>
      </c>
      <c r="B301" s="69" t="str">
        <f>"Бусад  "</f>
        <v xml:space="preserve">Бусад  </v>
      </c>
      <c r="C301" s="72"/>
      <c r="D301" s="881">
        <f>IF(C301&lt;=0*(i.04101!$E$47-i.04101!$E$40-i.04101!$E$41),i.04144a!C301,0*(i.04101!$E$47-i.04101!$E$40-i.04101!$E$41))</f>
        <v>0</v>
      </c>
      <c r="E301" s="880">
        <f t="shared" si="7"/>
        <v>0</v>
      </c>
    </row>
    <row r="302" spans="1:5" s="28" customFormat="1" ht="25.5" customHeight="1">
      <c r="A302" s="111" t="s">
        <v>889</v>
      </c>
      <c r="B302" s="112" t="str">
        <f>"Санхүүгийн түрээс  /Хамгийн өндөр дүнтэйгээс эхлэн бичих/   "</f>
        <v xml:space="preserve">Санхүүгийн түрээс  /Хамгийн өндөр дүнтэйгээс эхлэн бичих/   </v>
      </c>
      <c r="C302" s="113">
        <f>C303+C304+C305+C306+C307+C308+C309+C310+C311+C312+C313</f>
        <v>0</v>
      </c>
      <c r="D302" s="114">
        <f>D303+D304+D305+D306+D307+D308+D309+D310+D311+D312+D313</f>
        <v>0</v>
      </c>
      <c r="E302" s="106">
        <f t="shared" si="7"/>
        <v>0</v>
      </c>
    </row>
    <row r="303" spans="1:5">
      <c r="A303" s="70">
        <v>24.1</v>
      </c>
      <c r="B303" s="81"/>
      <c r="C303" s="82"/>
      <c r="D303" s="881">
        <f>IF(C303&lt;=0.05*(i.04101!$E$47-i.04101!$E$40-i.04101!$E$41),i.04144a!C303,0.05*(i.04101!$E$47-i.04101!$E$40-i.04101!$E$41))</f>
        <v>0</v>
      </c>
      <c r="E303" s="880">
        <f t="shared" si="7"/>
        <v>0</v>
      </c>
    </row>
    <row r="304" spans="1:5">
      <c r="A304" s="70">
        <v>24.2</v>
      </c>
      <c r="B304" s="81"/>
      <c r="C304" s="82"/>
      <c r="D304" s="881">
        <f>IF(C304&lt;=0.05*(i.04101!$E$47-i.04101!$E$40-i.04101!$E$41),i.04144a!C304,0.05*(i.04101!$E$47-i.04101!$E$40-i.04101!$E$41))</f>
        <v>0</v>
      </c>
      <c r="E304" s="880">
        <f t="shared" si="7"/>
        <v>0</v>
      </c>
    </row>
    <row r="305" spans="1:5">
      <c r="A305" s="70">
        <v>24.3</v>
      </c>
      <c r="B305" s="81"/>
      <c r="C305" s="82"/>
      <c r="D305" s="881">
        <f>IF(C305&lt;=0.05*(i.04101!$E$47-i.04101!$E$40-i.04101!$E$41),i.04144a!C305,0.05*(i.04101!$E$47-i.04101!$E$40-i.04101!$E$41))</f>
        <v>0</v>
      </c>
      <c r="E305" s="880">
        <f t="shared" si="7"/>
        <v>0</v>
      </c>
    </row>
    <row r="306" spans="1:5">
      <c r="A306" s="70">
        <v>24.4</v>
      </c>
      <c r="B306" s="81"/>
      <c r="C306" s="82"/>
      <c r="D306" s="881">
        <f>IF(C306&lt;=0.05*(i.04101!$E$47-i.04101!$E$40-i.04101!$E$41),i.04144a!C306,0.05*(i.04101!$E$47-i.04101!$E$40-i.04101!$E$41))</f>
        <v>0</v>
      </c>
      <c r="E306" s="880">
        <f t="shared" si="7"/>
        <v>0</v>
      </c>
    </row>
    <row r="307" spans="1:5">
      <c r="A307" s="70">
        <v>24.5</v>
      </c>
      <c r="B307" s="81"/>
      <c r="C307" s="82"/>
      <c r="D307" s="881">
        <f>IF(C307&lt;=0.05*(i.04101!$E$47-i.04101!$E$40-i.04101!$E$41),i.04144a!C307,0.05*(i.04101!$E$47-i.04101!$E$40-i.04101!$E$41))</f>
        <v>0</v>
      </c>
      <c r="E307" s="880">
        <f t="shared" si="7"/>
        <v>0</v>
      </c>
    </row>
    <row r="308" spans="1:5">
      <c r="A308" s="70">
        <v>24.6</v>
      </c>
      <c r="B308" s="81"/>
      <c r="C308" s="82"/>
      <c r="D308" s="881">
        <f>IF(C308&lt;=0.05*(i.04101!$E$47-i.04101!$E$40-i.04101!$E$41),i.04144a!C308,0.05*(i.04101!$E$47-i.04101!$E$40-i.04101!$E$41))</f>
        <v>0</v>
      </c>
      <c r="E308" s="880">
        <f t="shared" si="7"/>
        <v>0</v>
      </c>
    </row>
    <row r="309" spans="1:5">
      <c r="A309" s="70">
        <v>24.7</v>
      </c>
      <c r="B309" s="81"/>
      <c r="C309" s="82"/>
      <c r="D309" s="881">
        <f>IF(C309&lt;=0.05*(i.04101!$E$47-i.04101!$E$40-i.04101!$E$41),i.04144a!C309,0.05*(i.04101!$E$47-i.04101!$E$40-i.04101!$E$41))</f>
        <v>0</v>
      </c>
      <c r="E309" s="880">
        <f t="shared" si="7"/>
        <v>0</v>
      </c>
    </row>
    <row r="310" spans="1:5">
      <c r="A310" s="70">
        <v>24.8</v>
      </c>
      <c r="B310" s="81"/>
      <c r="C310" s="82"/>
      <c r="D310" s="881">
        <f>IF(C310&lt;=0.05*(i.04101!$E$47-i.04101!$E$40-i.04101!$E$41),i.04144a!C310,0.05*(i.04101!$E$47-i.04101!$E$40-i.04101!$E$41))</f>
        <v>0</v>
      </c>
      <c r="E310" s="880">
        <f t="shared" si="7"/>
        <v>0</v>
      </c>
    </row>
    <row r="311" spans="1:5">
      <c r="A311" s="70">
        <v>24.9</v>
      </c>
      <c r="B311" s="81"/>
      <c r="C311" s="82"/>
      <c r="D311" s="881">
        <f>IF(C311&lt;=0.05*(i.04101!$E$47-i.04101!$E$40-i.04101!$E$41),i.04144a!C311,0.05*(i.04101!$E$47-i.04101!$E$40-i.04101!$E$41))</f>
        <v>0</v>
      </c>
      <c r="E311" s="880">
        <f t="shared" si="7"/>
        <v>0</v>
      </c>
    </row>
    <row r="312" spans="1:5">
      <c r="A312" s="79">
        <v>24.1</v>
      </c>
      <c r="B312" s="81"/>
      <c r="C312" s="82"/>
      <c r="D312" s="881">
        <f>IF(C312&lt;=0.05*(i.04101!$E$47-i.04101!$E$40-i.04101!$E$41),i.04144a!C312,0.05*(i.04101!$E$47-i.04101!$E$40-i.04101!$E$41))</f>
        <v>0</v>
      </c>
      <c r="E312" s="880">
        <f t="shared" si="7"/>
        <v>0</v>
      </c>
    </row>
    <row r="313" spans="1:5">
      <c r="A313" s="70">
        <v>24.11</v>
      </c>
      <c r="B313" s="77" t="str">
        <f>"Бусад  "</f>
        <v xml:space="preserve">Бусад  </v>
      </c>
      <c r="C313" s="82"/>
      <c r="D313" s="881">
        <f>IF(C313&lt;=0.05*(i.04101!$E$47-i.04101!$E$40-i.04101!$E$41),i.04144a!C313,0.05*(i.04101!$E$47-i.04101!$E$40-i.04101!$E$41))</f>
        <v>0</v>
      </c>
      <c r="E313" s="880">
        <f t="shared" si="7"/>
        <v>0</v>
      </c>
    </row>
    <row r="314" spans="1:5" s="28" customFormat="1" ht="25.5" customHeight="1">
      <c r="A314" s="118" t="s">
        <v>890</v>
      </c>
      <c r="B314" s="117" t="str">
        <f>"Үл хөдлөх хөрөнгө  /Хамгийн өндөр дүнтэйгээс эхлэн бичих/  "</f>
        <v xml:space="preserve">Үл хөдлөх хөрөнгө  /Хамгийн өндөр дүнтэйгээс эхлэн бичих/  </v>
      </c>
      <c r="C314" s="120">
        <f>C315+C316+C317+C318+C319+C320+C321+C322+C323+C324+C325</f>
        <v>0</v>
      </c>
      <c r="D314" s="114">
        <f>D315+D316+D317+D318+D319+D320+D321+D322+D323+D324+D325</f>
        <v>0</v>
      </c>
      <c r="E314" s="106">
        <f t="shared" si="7"/>
        <v>0</v>
      </c>
    </row>
    <row r="315" spans="1:5">
      <c r="A315" s="70">
        <v>25.1</v>
      </c>
      <c r="B315" s="81"/>
      <c r="C315" s="287"/>
      <c r="D315" s="881">
        <f>IF(C315&lt;=0.25*(i.04101!$E$47-i.04101!$E$40-i.04101!$E$41),i.04144a!C315,0.25*(i.04101!$E$47-i.04101!$E$40-i.04101!$E$41))</f>
        <v>0</v>
      </c>
      <c r="E315" s="880">
        <f t="shared" si="7"/>
        <v>0</v>
      </c>
    </row>
    <row r="316" spans="1:5">
      <c r="A316" s="70">
        <v>25.2</v>
      </c>
      <c r="B316" s="81"/>
      <c r="C316" s="287"/>
      <c r="D316" s="881">
        <f>IF(C316&lt;=0.25*(i.04101!$E$47-i.04101!$E$40-i.04101!$E$41),i.04144a!C316,0.25*(i.04101!$E$47-i.04101!$E$40-i.04101!$E$41))</f>
        <v>0</v>
      </c>
      <c r="E316" s="880">
        <f t="shared" si="7"/>
        <v>0</v>
      </c>
    </row>
    <row r="317" spans="1:5">
      <c r="A317" s="70">
        <v>25.3</v>
      </c>
      <c r="B317" s="81"/>
      <c r="C317" s="287"/>
      <c r="D317" s="881">
        <f>IF(C317&lt;=0.25*(i.04101!$E$47-i.04101!$E$40-i.04101!$E$41),i.04144a!C317,0.25*(i.04101!$E$47-i.04101!$E$40-i.04101!$E$41))</f>
        <v>0</v>
      </c>
      <c r="E317" s="880">
        <f t="shared" si="7"/>
        <v>0</v>
      </c>
    </row>
    <row r="318" spans="1:5">
      <c r="A318" s="70">
        <v>25.4</v>
      </c>
      <c r="B318" s="81"/>
      <c r="C318" s="287"/>
      <c r="D318" s="881">
        <f>IF(C318&lt;=0.25*(i.04101!$E$47-i.04101!$E$40-i.04101!$E$41),i.04144a!C318,0.25*(i.04101!$E$47-i.04101!$E$40-i.04101!$E$41))</f>
        <v>0</v>
      </c>
      <c r="E318" s="880">
        <f t="shared" si="7"/>
        <v>0</v>
      </c>
    </row>
    <row r="319" spans="1:5">
      <c r="A319" s="70">
        <v>25.5</v>
      </c>
      <c r="B319" s="81"/>
      <c r="C319" s="287"/>
      <c r="D319" s="881">
        <f>IF(C319&lt;=0.25*(i.04101!$E$47-i.04101!$E$40-i.04101!$E$41),i.04144a!C319,0.25*(i.04101!$E$47-i.04101!$E$40-i.04101!$E$41))</f>
        <v>0</v>
      </c>
      <c r="E319" s="880">
        <f t="shared" si="7"/>
        <v>0</v>
      </c>
    </row>
    <row r="320" spans="1:5">
      <c r="A320" s="70">
        <v>25.6</v>
      </c>
      <c r="B320" s="81"/>
      <c r="C320" s="287"/>
      <c r="D320" s="881">
        <f>IF(C320&lt;=0.25*(i.04101!$E$47-i.04101!$E$40-i.04101!$E$41),i.04144a!C320,0.25*(i.04101!$E$47-i.04101!$E$40-i.04101!$E$41))</f>
        <v>0</v>
      </c>
      <c r="E320" s="880">
        <f t="shared" si="7"/>
        <v>0</v>
      </c>
    </row>
    <row r="321" spans="1:5">
      <c r="A321" s="70">
        <v>25.7</v>
      </c>
      <c r="B321" s="81"/>
      <c r="C321" s="287"/>
      <c r="D321" s="881">
        <f>IF(C321&lt;=0.25*(i.04101!$E$47-i.04101!$E$40-i.04101!$E$41),i.04144a!C321,0.25*(i.04101!$E$47-i.04101!$E$40-i.04101!$E$41))</f>
        <v>0</v>
      </c>
      <c r="E321" s="880">
        <f t="shared" si="7"/>
        <v>0</v>
      </c>
    </row>
    <row r="322" spans="1:5">
      <c r="A322" s="70">
        <v>25.8</v>
      </c>
      <c r="B322" s="81"/>
      <c r="C322" s="287"/>
      <c r="D322" s="881">
        <f>IF(C322&lt;=0.25*(i.04101!$E$47-i.04101!$E$40-i.04101!$E$41),i.04144a!C322,0.25*(i.04101!$E$47-i.04101!$E$40-i.04101!$E$41))</f>
        <v>0</v>
      </c>
      <c r="E322" s="880">
        <f t="shared" si="7"/>
        <v>0</v>
      </c>
    </row>
    <row r="323" spans="1:5">
      <c r="A323" s="70">
        <v>25.9</v>
      </c>
      <c r="B323" s="81"/>
      <c r="C323" s="287"/>
      <c r="D323" s="881">
        <f>IF(C323&lt;=0.25*(i.04101!$E$47-i.04101!$E$40-i.04101!$E$41),i.04144a!C323,0.25*(i.04101!$E$47-i.04101!$E$40-i.04101!$E$41))</f>
        <v>0</v>
      </c>
      <c r="E323" s="880">
        <f t="shared" si="7"/>
        <v>0</v>
      </c>
    </row>
    <row r="324" spans="1:5">
      <c r="A324" s="79">
        <v>25.1</v>
      </c>
      <c r="B324" s="81"/>
      <c r="C324" s="287"/>
      <c r="D324" s="881">
        <f>IF(C324&lt;=0.25*(i.04101!$E$47-i.04101!$E$40-i.04101!$E$41),i.04144a!C324,0.25*(i.04101!$E$47-i.04101!$E$40-i.04101!$E$41))</f>
        <v>0</v>
      </c>
      <c r="E324" s="880">
        <f t="shared" si="7"/>
        <v>0</v>
      </c>
    </row>
    <row r="325" spans="1:5">
      <c r="A325" s="70">
        <v>25.11</v>
      </c>
      <c r="B325" s="77" t="str">
        <f>"Бусад  "</f>
        <v xml:space="preserve">Бусад  </v>
      </c>
      <c r="C325" s="287"/>
      <c r="D325" s="881">
        <f>IF(C325&lt;=0.25*(i.04101!$E$47-i.04101!$E$40-i.04101!$E$41),i.04144a!C325,0.25*(i.04101!$E$47-i.04101!$E$40-i.04101!$E$41))</f>
        <v>0</v>
      </c>
      <c r="E325" s="880">
        <f t="shared" si="7"/>
        <v>0</v>
      </c>
    </row>
    <row r="326" spans="1:5" s="28" customFormat="1" ht="24.75" customHeight="1">
      <c r="A326" s="118" t="s">
        <v>891</v>
      </c>
      <c r="B326" s="117" t="str">
        <f>"Хөдлөх хөрөнгө /Хамгийн өндөр дүнтэйгээс эхлэн бичих/   "</f>
        <v xml:space="preserve">Хөдлөх хөрөнгө /Хамгийн өндөр дүнтэйгээс эхлэн бичих/   </v>
      </c>
      <c r="C326" s="120">
        <f>C327+C328+C329+C330+C331+C332+C333+C334+C335+C336+C337</f>
        <v>0</v>
      </c>
      <c r="D326" s="114">
        <f>D327+D328+D329+D330+D331+D332+D333+D334+D335+D336+D337</f>
        <v>0</v>
      </c>
      <c r="E326" s="106">
        <f t="shared" si="7"/>
        <v>0</v>
      </c>
    </row>
    <row r="327" spans="1:5">
      <c r="A327" s="70">
        <v>26.1</v>
      </c>
      <c r="B327" s="81"/>
      <c r="C327" s="88"/>
      <c r="D327" s="881">
        <f>IF(C327&lt;=0.05*(i.04101!$E$47-i.04101!$E$40-i.04101!$E$41),i.04144a!C327,0.05*(i.04101!$E$47-i.04101!$E$40-i.04101!$E$41))</f>
        <v>0</v>
      </c>
      <c r="E327" s="880">
        <f t="shared" si="7"/>
        <v>0</v>
      </c>
    </row>
    <row r="328" spans="1:5">
      <c r="A328" s="70">
        <v>26.2</v>
      </c>
      <c r="B328" s="81"/>
      <c r="C328" s="88"/>
      <c r="D328" s="881">
        <f>IF(C328&lt;=0.05*(i.04101!$E$47-i.04101!$E$40-i.04101!$E$41),i.04144a!C328,0.05*(i.04101!$E$47-i.04101!$E$40-i.04101!$E$41))</f>
        <v>0</v>
      </c>
      <c r="E328" s="880">
        <f t="shared" si="7"/>
        <v>0</v>
      </c>
    </row>
    <row r="329" spans="1:5">
      <c r="A329" s="70">
        <v>26.3</v>
      </c>
      <c r="B329" s="81"/>
      <c r="C329" s="88"/>
      <c r="D329" s="881">
        <f>IF(C329&lt;=0.05*(i.04101!$E$47-i.04101!$E$40-i.04101!$E$41),i.04144a!C329,0.05*(i.04101!$E$47-i.04101!$E$40-i.04101!$E$41))</f>
        <v>0</v>
      </c>
      <c r="E329" s="880">
        <f t="shared" si="7"/>
        <v>0</v>
      </c>
    </row>
    <row r="330" spans="1:5">
      <c r="A330" s="70">
        <v>26.4</v>
      </c>
      <c r="B330" s="81"/>
      <c r="C330" s="88"/>
      <c r="D330" s="881">
        <f>IF(C330&lt;=0.05*(i.04101!$E$47-i.04101!$E$40-i.04101!$E$41),i.04144a!C330,0.05*(i.04101!$E$47-i.04101!$E$40-i.04101!$E$41))</f>
        <v>0</v>
      </c>
      <c r="E330" s="880">
        <f t="shared" si="7"/>
        <v>0</v>
      </c>
    </row>
    <row r="331" spans="1:5">
      <c r="A331" s="70">
        <v>26.5</v>
      </c>
      <c r="B331" s="81"/>
      <c r="C331" s="88"/>
      <c r="D331" s="881">
        <f>IF(C331&lt;=0.05*(i.04101!$E$47-i.04101!$E$40-i.04101!$E$41),i.04144a!C331,0.05*(i.04101!$E$47-i.04101!$E$40-i.04101!$E$41))</f>
        <v>0</v>
      </c>
      <c r="E331" s="880">
        <f t="shared" si="7"/>
        <v>0</v>
      </c>
    </row>
    <row r="332" spans="1:5">
      <c r="A332" s="70">
        <v>26.6</v>
      </c>
      <c r="B332" s="81"/>
      <c r="C332" s="88"/>
      <c r="D332" s="881">
        <f>IF(C332&lt;=0.05*(i.04101!$E$47-i.04101!$E$40-i.04101!$E$41),i.04144a!C332,0.05*(i.04101!$E$47-i.04101!$E$40-i.04101!$E$41))</f>
        <v>0</v>
      </c>
      <c r="E332" s="880">
        <f t="shared" si="7"/>
        <v>0</v>
      </c>
    </row>
    <row r="333" spans="1:5">
      <c r="A333" s="70">
        <v>26.7</v>
      </c>
      <c r="B333" s="81"/>
      <c r="C333" s="88"/>
      <c r="D333" s="881">
        <f>IF(C333&lt;=0.05*(i.04101!$E$47-i.04101!$E$40-i.04101!$E$41),i.04144a!C333,0.05*(i.04101!$E$47-i.04101!$E$40-i.04101!$E$41))</f>
        <v>0</v>
      </c>
      <c r="E333" s="880">
        <f t="shared" ref="E333:E351" si="8">C333-D333</f>
        <v>0</v>
      </c>
    </row>
    <row r="334" spans="1:5">
      <c r="A334" s="70">
        <v>26.8</v>
      </c>
      <c r="B334" s="81"/>
      <c r="C334" s="88"/>
      <c r="D334" s="881">
        <f>IF(C334&lt;=0.05*(i.04101!$E$47-i.04101!$E$40-i.04101!$E$41),i.04144a!C334,0.05*(i.04101!$E$47-i.04101!$E$40-i.04101!$E$41))</f>
        <v>0</v>
      </c>
      <c r="E334" s="880">
        <f t="shared" si="8"/>
        <v>0</v>
      </c>
    </row>
    <row r="335" spans="1:5">
      <c r="A335" s="70">
        <v>26.9</v>
      </c>
      <c r="B335" s="81"/>
      <c r="C335" s="88"/>
      <c r="D335" s="881">
        <f>IF(C335&lt;=0.05*(i.04101!$E$47-i.04101!$E$40-i.04101!$E$41),i.04144a!C335,0.05*(i.04101!$E$47-i.04101!$E$40-i.04101!$E$41))</f>
        <v>0</v>
      </c>
      <c r="E335" s="880">
        <f t="shared" si="8"/>
        <v>0</v>
      </c>
    </row>
    <row r="336" spans="1:5">
      <c r="A336" s="79">
        <v>26.1</v>
      </c>
      <c r="B336" s="81"/>
      <c r="C336" s="88"/>
      <c r="D336" s="881">
        <f>IF(C336&lt;=0.05*(i.04101!$E$47-i.04101!$E$40-i.04101!$E$41),i.04144a!C336,0.05*(i.04101!$E$47-i.04101!$E$40-i.04101!$E$41))</f>
        <v>0</v>
      </c>
      <c r="E336" s="880">
        <f t="shared" si="8"/>
        <v>0</v>
      </c>
    </row>
    <row r="337" spans="1:5">
      <c r="A337" s="70">
        <v>26.11</v>
      </c>
      <c r="B337" s="77" t="str">
        <f>"Бусад  "</f>
        <v xml:space="preserve">Бусад  </v>
      </c>
      <c r="C337" s="88"/>
      <c r="D337" s="881">
        <f>IF(C337&lt;=0.05*(i.04101!$E$47-i.04101!$E$40-i.04101!$E$41),i.04144a!C337,0.05*(i.04101!$E$47-i.04101!$E$40-i.04101!$E$41))</f>
        <v>0</v>
      </c>
      <c r="E337" s="880">
        <f t="shared" si="8"/>
        <v>0</v>
      </c>
    </row>
    <row r="338" spans="1:5" s="28" customFormat="1" ht="39">
      <c r="A338" s="118" t="s">
        <v>892</v>
      </c>
      <c r="B338" s="117" t="str">
        <f>"Даатгалын үндсэн үйл ажиллагаанд зориулан авсан биет бус хөрөнгө  /Хамгийн өндөр дүнтэйгээс эхлэн бичих/  "</f>
        <v xml:space="preserve">Даатгалын үндсэн үйл ажиллагаанд зориулан авсан биет бус хөрөнгө  /Хамгийн өндөр дүнтэйгээс эхлэн бичих/  </v>
      </c>
      <c r="C338" s="120">
        <f>C339+C340+C341+C342+C343+C344+C345+C346+C347+C348+C349</f>
        <v>0</v>
      </c>
      <c r="D338" s="114">
        <f>D339+D340+D341+D342+D343+D344+D345+D346+D347+D348+D349</f>
        <v>0</v>
      </c>
      <c r="E338" s="106">
        <f t="shared" si="8"/>
        <v>0</v>
      </c>
    </row>
    <row r="339" spans="1:5">
      <c r="A339" s="70">
        <v>27.1</v>
      </c>
      <c r="B339" s="81"/>
      <c r="C339" s="287"/>
      <c r="D339" s="881">
        <f>IF(C339&lt;=0.1*(i.04101!$E$47-i.04101!$E$40-i.04101!$E$41),i.04144a!C339,0.1*(i.04101!$E$47-i.04101!$E$40-i.04101!$E$41))</f>
        <v>0</v>
      </c>
      <c r="E339" s="880">
        <f t="shared" si="8"/>
        <v>0</v>
      </c>
    </row>
    <row r="340" spans="1:5">
      <c r="A340" s="70">
        <v>27.2</v>
      </c>
      <c r="B340" s="81"/>
      <c r="C340" s="287"/>
      <c r="D340" s="881">
        <f>IF(C340&lt;=0.1*(i.04101!$E$47-i.04101!$E$40-i.04101!$E$41),i.04144a!C340,0.1*(i.04101!$E$47-i.04101!$E$40-i.04101!$E$41))</f>
        <v>0</v>
      </c>
      <c r="E340" s="880">
        <f t="shared" si="8"/>
        <v>0</v>
      </c>
    </row>
    <row r="341" spans="1:5">
      <c r="A341" s="70">
        <v>27.3</v>
      </c>
      <c r="B341" s="81"/>
      <c r="C341" s="287"/>
      <c r="D341" s="881">
        <f>IF(C341&lt;=0.1*(i.04101!$E$47-i.04101!$E$40-i.04101!$E$41),i.04144a!C341,0.1*(i.04101!$E$47-i.04101!$E$40-i.04101!$E$41))</f>
        <v>0</v>
      </c>
      <c r="E341" s="880">
        <f t="shared" si="8"/>
        <v>0</v>
      </c>
    </row>
    <row r="342" spans="1:5">
      <c r="A342" s="70">
        <v>27.4</v>
      </c>
      <c r="B342" s="81"/>
      <c r="C342" s="287"/>
      <c r="D342" s="881">
        <f>IF(C342&lt;=0.1*(i.04101!$E$47-i.04101!$E$40-i.04101!$E$41),i.04144a!C342,0.1*(i.04101!$E$47-i.04101!$E$40-i.04101!$E$41))</f>
        <v>0</v>
      </c>
      <c r="E342" s="880">
        <f t="shared" si="8"/>
        <v>0</v>
      </c>
    </row>
    <row r="343" spans="1:5">
      <c r="A343" s="70">
        <v>27.5</v>
      </c>
      <c r="B343" s="81"/>
      <c r="C343" s="287"/>
      <c r="D343" s="881">
        <f>IF(C343&lt;=0.1*(i.04101!$E$47-i.04101!$E$40-i.04101!$E$41),i.04144a!C343,0.1*(i.04101!$E$47-i.04101!$E$40-i.04101!$E$41))</f>
        <v>0</v>
      </c>
      <c r="E343" s="880">
        <f t="shared" si="8"/>
        <v>0</v>
      </c>
    </row>
    <row r="344" spans="1:5">
      <c r="A344" s="70">
        <v>27.6</v>
      </c>
      <c r="B344" s="81"/>
      <c r="C344" s="287"/>
      <c r="D344" s="881">
        <f>IF(C344&lt;=0.1*(i.04101!$E$47-i.04101!$E$40-i.04101!$E$41),i.04144a!C344,0.1*(i.04101!$E$47-i.04101!$E$40-i.04101!$E$41))</f>
        <v>0</v>
      </c>
      <c r="E344" s="880">
        <f t="shared" si="8"/>
        <v>0</v>
      </c>
    </row>
    <row r="345" spans="1:5">
      <c r="A345" s="70">
        <v>27.7</v>
      </c>
      <c r="B345" s="81"/>
      <c r="C345" s="287"/>
      <c r="D345" s="881">
        <f>IF(C345&lt;=0.1*(i.04101!$E$47-i.04101!$E$40-i.04101!$E$41),i.04144a!C345,0.1*(i.04101!$E$47-i.04101!$E$40-i.04101!$E$41))</f>
        <v>0</v>
      </c>
      <c r="E345" s="880">
        <f t="shared" si="8"/>
        <v>0</v>
      </c>
    </row>
    <row r="346" spans="1:5">
      <c r="A346" s="70">
        <v>27.8</v>
      </c>
      <c r="B346" s="81"/>
      <c r="C346" s="287"/>
      <c r="D346" s="881">
        <f>IF(C346&lt;=0.1*(i.04101!$E$47-i.04101!$E$40-i.04101!$E$41),i.04144a!C346,0.1*(i.04101!$E$47-i.04101!$E$40-i.04101!$E$41))</f>
        <v>0</v>
      </c>
      <c r="E346" s="880">
        <f t="shared" si="8"/>
        <v>0</v>
      </c>
    </row>
    <row r="347" spans="1:5">
      <c r="A347" s="70">
        <v>27.9</v>
      </c>
      <c r="B347" s="81"/>
      <c r="C347" s="287"/>
      <c r="D347" s="881">
        <f>IF(C347&lt;=0.1*(i.04101!$E$47-i.04101!$E$40-i.04101!$E$41),i.04144a!C347,0.1*(i.04101!$E$47-i.04101!$E$40-i.04101!$E$41))</f>
        <v>0</v>
      </c>
      <c r="E347" s="880">
        <f t="shared" si="8"/>
        <v>0</v>
      </c>
    </row>
    <row r="348" spans="1:5">
      <c r="A348" s="79">
        <v>27.1</v>
      </c>
      <c r="B348" s="81"/>
      <c r="C348" s="287"/>
      <c r="D348" s="881">
        <f>IF(C348&lt;=0.1*(i.04101!$E$47-i.04101!$E$40-i.04101!$E$41),i.04144a!C348,0.1*(i.04101!$E$47-i.04101!$E$40-i.04101!$E$41))</f>
        <v>0</v>
      </c>
      <c r="E348" s="880">
        <f t="shared" si="8"/>
        <v>0</v>
      </c>
    </row>
    <row r="349" spans="1:5">
      <c r="A349" s="70">
        <v>27.11</v>
      </c>
      <c r="B349" s="77" t="str">
        <f>"Бусад  "</f>
        <v xml:space="preserve">Бусад  </v>
      </c>
      <c r="C349" s="287"/>
      <c r="D349" s="881">
        <f>IF(C349&lt;=0.1*(i.04101!$E$47-i.04101!$E$40-i.04101!$E$41),i.04144a!C349,0.1*(i.04101!$E$47-i.04101!$E$40-i.04101!$E$41))</f>
        <v>0</v>
      </c>
      <c r="E349" s="880">
        <f t="shared" si="8"/>
        <v>0</v>
      </c>
    </row>
    <row r="350" spans="1:5" s="28" customFormat="1" ht="12.75" customHeight="1">
      <c r="A350" s="117" t="s">
        <v>893</v>
      </c>
      <c r="B350" s="117" t="str">
        <f>"Бусад хөрөнгө "</f>
        <v xml:space="preserve">Бусад хөрөнгө </v>
      </c>
      <c r="C350" s="882"/>
      <c r="D350" s="114">
        <f>IF(C350&lt;=0*(i.04101!$E$47-i.04101!$E$40-i.04101!$E$41),i.04144a!C350,0*(i.04101!$E$47-i.04101!$E$40-i.04101!$E$41))</f>
        <v>0</v>
      </c>
      <c r="E350" s="106">
        <f t="shared" si="8"/>
        <v>0</v>
      </c>
    </row>
    <row r="351" spans="1:5" s="28" customFormat="1">
      <c r="A351" s="118"/>
      <c r="B351" s="118" t="str">
        <f>"Нийт хөрөнгийн дүн  "</f>
        <v xml:space="preserve">Нийт хөрөнгийн дүн  </v>
      </c>
      <c r="C351" s="119">
        <f>C350+C338+C326+C314+C302+C295+C288+C281+C274+C267+C255+C243+C231+C219+C207+C195+C183+C171+C159+C147+C135+C123+C111+C90+C83+C76+C69+C62+C55+C42+C30+C9+C54+C102+C103</f>
        <v>0</v>
      </c>
      <c r="D351" s="114">
        <f>D350+D338+D326+D314+D302+D295+D288+D281+D274+D267+D255+D243+D231+D219+D207+D195+D183+D171+D159+D147+D135+D123+D111+D90+D83+D76+D69+D62+D55+D42+D30+D9+D54+D102+D103</f>
        <v>0</v>
      </c>
      <c r="E351" s="106">
        <f t="shared" si="8"/>
        <v>0</v>
      </c>
    </row>
    <row r="352" spans="1:5">
      <c r="A352" s="67"/>
      <c r="B352" s="73"/>
      <c r="C352" s="74"/>
      <c r="D352" s="75"/>
      <c r="E352" s="67"/>
    </row>
    <row r="353" spans="1:7" s="665" customFormat="1">
      <c r="A353" s="663"/>
      <c r="B353" s="664" t="str">
        <f>+i.04108!C32</f>
        <v>тамга тэмдэг</v>
      </c>
      <c r="C353" s="663"/>
      <c r="D353" s="663"/>
      <c r="E353" s="663"/>
      <c r="F353" s="663"/>
      <c r="G353" s="34"/>
    </row>
    <row r="354" spans="1:7" s="665" customFormat="1">
      <c r="A354" s="663"/>
      <c r="B354" s="663"/>
      <c r="C354" s="663"/>
      <c r="D354" s="663"/>
      <c r="E354" s="663"/>
      <c r="F354" s="663"/>
      <c r="G354" s="242"/>
    </row>
    <row r="355" spans="1:7" s="665" customFormat="1">
      <c r="A355" s="663"/>
      <c r="B355" s="663" t="str">
        <f>+i.04108!C34</f>
        <v xml:space="preserve">ТАЙЛАН ГАРГАСАН:    </v>
      </c>
      <c r="C355" s="663"/>
      <c r="D355" s="663"/>
      <c r="E355" s="663"/>
      <c r="F355" s="663"/>
    </row>
    <row r="356" spans="1:7" s="665" customFormat="1">
      <c r="A356" s="663"/>
      <c r="B356" s="663"/>
      <c r="C356" s="663"/>
      <c r="D356" s="663"/>
      <c r="E356" s="663"/>
      <c r="F356" s="663"/>
    </row>
    <row r="357" spans="1:7" s="665" customFormat="1">
      <c r="A357" s="663"/>
      <c r="B357" s="663" t="str">
        <f>+i.04108!C36</f>
        <v xml:space="preserve"> Гүйцэтгэх захирал</v>
      </c>
      <c r="C357" s="663" t="str">
        <f>+i.04108!D36</f>
        <v xml:space="preserve">/................................../   </v>
      </c>
      <c r="D357" s="663"/>
      <c r="E357" s="663" t="str">
        <f>+i.04108!F36</f>
        <v>/................................./</v>
      </c>
      <c r="F357" s="663"/>
    </row>
    <row r="358" spans="1:7" s="665" customFormat="1">
      <c r="A358" s="666"/>
      <c r="B358" s="663"/>
      <c r="C358" s="663"/>
      <c r="D358" s="663"/>
      <c r="E358" s="663"/>
    </row>
    <row r="359" spans="1:7" s="665" customFormat="1">
      <c r="B359" s="663" t="str">
        <f>+i.04108!C38</f>
        <v xml:space="preserve"> Ерөнхий нягтлан бодогч  </v>
      </c>
      <c r="C359" s="663" t="str">
        <f>+i.04108!D38</f>
        <v xml:space="preserve">/.................................../   </v>
      </c>
      <c r="D359" s="663"/>
      <c r="E359" s="663" t="str">
        <f>+i.04108!F38</f>
        <v>/................................/</v>
      </c>
    </row>
    <row r="360" spans="1:7" s="665" customFormat="1">
      <c r="A360" s="667"/>
      <c r="B360" s="663"/>
      <c r="C360" s="663"/>
      <c r="D360" s="663"/>
      <c r="E360" s="663"/>
    </row>
    <row r="361" spans="1:7" s="665" customFormat="1">
      <c r="A361" s="667"/>
      <c r="B361" s="663" t="str">
        <f>+i.04108!C40</f>
        <v>...................................................</v>
      </c>
      <c r="C361" s="663" t="str">
        <f>+i.04108!D40</f>
        <v xml:space="preserve">/................................../   </v>
      </c>
      <c r="D361" s="663"/>
      <c r="E361" s="663" t="str">
        <f>+i.04108!F40</f>
        <v>/................................/</v>
      </c>
    </row>
    <row r="362" spans="1:7" s="665" customFormat="1">
      <c r="A362" s="667"/>
      <c r="B362" s="668"/>
      <c r="C362" s="669"/>
      <c r="D362" s="670"/>
      <c r="E362" s="667"/>
    </row>
    <row r="363" spans="1:7" s="665" customFormat="1">
      <c r="A363" s="667"/>
      <c r="B363" s="668"/>
      <c r="C363" s="669"/>
      <c r="D363" s="670"/>
      <c r="E363" s="667"/>
    </row>
    <row r="364" spans="1:7" s="665" customFormat="1">
      <c r="A364" s="667"/>
      <c r="B364" s="668"/>
      <c r="C364" s="669"/>
      <c r="D364" s="670"/>
      <c r="E364" s="667"/>
    </row>
    <row r="365" spans="1:7" s="665" customFormat="1">
      <c r="A365" s="667"/>
      <c r="B365" s="668"/>
      <c r="C365" s="669"/>
      <c r="D365" s="670"/>
      <c r="E365" s="667"/>
    </row>
    <row r="366" spans="1:7" s="665" customFormat="1">
      <c r="A366" s="667"/>
      <c r="B366" s="668"/>
      <c r="C366" s="669"/>
      <c r="D366" s="670"/>
      <c r="E366" s="667"/>
    </row>
    <row r="367" spans="1:7" s="665" customFormat="1">
      <c r="A367" s="667"/>
      <c r="B367" s="668"/>
      <c r="C367" s="669"/>
      <c r="D367" s="670"/>
      <c r="E367" s="667"/>
    </row>
    <row r="368" spans="1:7" s="665" customFormat="1">
      <c r="A368" s="667"/>
      <c r="B368" s="668"/>
      <c r="C368" s="669"/>
      <c r="D368" s="670"/>
      <c r="E368" s="667"/>
    </row>
    <row r="369" spans="1:5">
      <c r="A369" s="67"/>
      <c r="B369" s="73"/>
      <c r="C369" s="74"/>
      <c r="D369" s="75"/>
      <c r="E369" s="67"/>
    </row>
    <row r="370" spans="1:5">
      <c r="A370" s="67"/>
      <c r="B370" s="73"/>
      <c r="C370" s="74"/>
      <c r="D370" s="75"/>
      <c r="E370" s="67"/>
    </row>
    <row r="371" spans="1:5">
      <c r="A371" s="67"/>
      <c r="B371" s="73"/>
      <c r="C371" s="74"/>
      <c r="D371" s="75"/>
      <c r="E371" s="67"/>
    </row>
    <row r="372" spans="1:5">
      <c r="A372" s="67"/>
      <c r="B372" s="73"/>
      <c r="C372" s="74"/>
      <c r="D372" s="75"/>
      <c r="E372" s="67"/>
    </row>
    <row r="373" spans="1:5">
      <c r="A373" s="67"/>
      <c r="B373" s="73"/>
      <c r="C373" s="74"/>
      <c r="D373" s="75"/>
      <c r="E373" s="67"/>
    </row>
    <row r="374" spans="1:5">
      <c r="A374" s="67"/>
      <c r="B374" s="73"/>
      <c r="C374" s="74"/>
      <c r="D374" s="75"/>
      <c r="E374" s="67"/>
    </row>
    <row r="375" spans="1:5">
      <c r="A375" s="67"/>
      <c r="B375" s="73"/>
      <c r="C375" s="74"/>
      <c r="D375" s="75"/>
      <c r="E375" s="67"/>
    </row>
    <row r="376" spans="1:5">
      <c r="A376" s="67"/>
      <c r="B376" s="73"/>
      <c r="C376" s="74"/>
      <c r="D376" s="75"/>
      <c r="E376" s="67"/>
    </row>
    <row r="377" spans="1:5">
      <c r="A377" s="67"/>
      <c r="B377" s="73"/>
      <c r="C377" s="74"/>
      <c r="D377" s="75"/>
      <c r="E377" s="67"/>
    </row>
    <row r="378" spans="1:5">
      <c r="A378" s="67"/>
      <c r="B378" s="73"/>
      <c r="C378" s="74"/>
      <c r="D378" s="75"/>
      <c r="E378" s="67"/>
    </row>
    <row r="379" spans="1:5">
      <c r="A379" s="67"/>
      <c r="B379" s="73"/>
      <c r="C379" s="74"/>
      <c r="D379" s="75"/>
      <c r="E379" s="67"/>
    </row>
    <row r="380" spans="1:5">
      <c r="A380" s="67"/>
      <c r="B380" s="73"/>
      <c r="C380" s="74"/>
      <c r="D380" s="75"/>
      <c r="E380" s="67"/>
    </row>
    <row r="381" spans="1:5">
      <c r="A381" s="67"/>
      <c r="B381" s="73"/>
      <c r="C381" s="74"/>
      <c r="D381" s="75"/>
      <c r="E381" s="67"/>
    </row>
    <row r="382" spans="1:5">
      <c r="A382" s="67"/>
      <c r="B382" s="73"/>
      <c r="C382" s="74"/>
      <c r="D382" s="75"/>
      <c r="E382" s="67"/>
    </row>
    <row r="383" spans="1:5">
      <c r="A383" s="67"/>
      <c r="B383" s="73"/>
      <c r="C383" s="74"/>
      <c r="D383" s="75"/>
      <c r="E383" s="67"/>
    </row>
    <row r="384" spans="1:5">
      <c r="A384" s="67"/>
      <c r="B384" s="73"/>
      <c r="C384" s="74"/>
      <c r="D384" s="75"/>
      <c r="E384" s="67"/>
    </row>
    <row r="385" spans="1:5">
      <c r="A385" s="67"/>
      <c r="B385" s="73"/>
      <c r="C385" s="74"/>
      <c r="D385" s="75"/>
      <c r="E385" s="67"/>
    </row>
    <row r="386" spans="1:5">
      <c r="A386" s="67"/>
      <c r="B386" s="73"/>
      <c r="C386" s="74"/>
      <c r="D386" s="75"/>
      <c r="E386" s="67"/>
    </row>
    <row r="387" spans="1:5">
      <c r="A387" s="67"/>
      <c r="B387" s="73"/>
      <c r="C387" s="74"/>
      <c r="D387" s="75"/>
      <c r="E387" s="67"/>
    </row>
    <row r="388" spans="1:5">
      <c r="A388" s="67"/>
      <c r="B388" s="73"/>
      <c r="C388" s="74"/>
      <c r="D388" s="75"/>
      <c r="E388" s="67"/>
    </row>
    <row r="389" spans="1:5">
      <c r="A389" s="67"/>
      <c r="B389" s="73"/>
      <c r="C389" s="74"/>
      <c r="D389" s="75"/>
      <c r="E389" s="67"/>
    </row>
    <row r="390" spans="1:5">
      <c r="A390" s="67"/>
      <c r="B390" s="73"/>
      <c r="C390" s="74"/>
      <c r="D390" s="75"/>
      <c r="E390" s="67"/>
    </row>
    <row r="391" spans="1:5">
      <c r="A391" s="67"/>
      <c r="B391" s="73"/>
      <c r="C391" s="74"/>
      <c r="D391" s="75"/>
      <c r="E391" s="67"/>
    </row>
    <row r="392" spans="1:5">
      <c r="A392" s="67"/>
      <c r="B392" s="73"/>
      <c r="C392" s="74"/>
      <c r="D392" s="75"/>
      <c r="E392" s="67"/>
    </row>
    <row r="393" spans="1:5">
      <c r="A393" s="67"/>
      <c r="B393" s="73"/>
      <c r="C393" s="74"/>
      <c r="D393" s="75"/>
      <c r="E393" s="67"/>
    </row>
    <row r="394" spans="1:5">
      <c r="A394" s="67"/>
      <c r="B394" s="73"/>
      <c r="C394" s="74"/>
      <c r="D394" s="75"/>
      <c r="E394" s="67"/>
    </row>
    <row r="395" spans="1:5">
      <c r="A395" s="67"/>
      <c r="B395" s="73"/>
      <c r="C395" s="74"/>
      <c r="D395" s="75"/>
      <c r="E395" s="67"/>
    </row>
    <row r="396" spans="1:5">
      <c r="A396" s="67"/>
      <c r="B396" s="73"/>
      <c r="C396" s="74"/>
      <c r="D396" s="75"/>
      <c r="E396" s="67"/>
    </row>
    <row r="397" spans="1:5">
      <c r="A397" s="67"/>
      <c r="B397" s="73"/>
      <c r="C397" s="74"/>
      <c r="D397" s="75"/>
      <c r="E397" s="67"/>
    </row>
    <row r="398" spans="1:5">
      <c r="A398" s="67"/>
      <c r="B398" s="73"/>
      <c r="C398" s="74"/>
      <c r="D398" s="75"/>
      <c r="E398" s="67"/>
    </row>
    <row r="399" spans="1:5">
      <c r="A399" s="67"/>
      <c r="B399" s="73"/>
      <c r="C399" s="74"/>
      <c r="D399" s="75"/>
      <c r="E399" s="67"/>
    </row>
    <row r="400" spans="1:5">
      <c r="A400" s="67"/>
      <c r="B400" s="73"/>
      <c r="C400" s="74"/>
      <c r="D400" s="75"/>
      <c r="E400" s="67"/>
    </row>
    <row r="401" spans="1:5">
      <c r="A401" s="67"/>
      <c r="B401" s="73"/>
      <c r="C401" s="74"/>
      <c r="D401" s="75"/>
      <c r="E401" s="67"/>
    </row>
    <row r="402" spans="1:5">
      <c r="A402" s="67"/>
      <c r="B402" s="73"/>
      <c r="C402" s="74"/>
      <c r="D402" s="75"/>
      <c r="E402" s="67"/>
    </row>
    <row r="403" spans="1:5">
      <c r="A403" s="67"/>
      <c r="B403" s="73"/>
      <c r="C403" s="74"/>
      <c r="D403" s="75"/>
      <c r="E403" s="67"/>
    </row>
    <row r="404" spans="1:5">
      <c r="A404" s="67"/>
      <c r="B404" s="73"/>
      <c r="C404" s="74"/>
      <c r="D404" s="75"/>
      <c r="E404" s="67"/>
    </row>
    <row r="405" spans="1:5">
      <c r="A405" s="67"/>
      <c r="B405" s="73"/>
      <c r="C405" s="74"/>
      <c r="D405" s="75"/>
      <c r="E405" s="67"/>
    </row>
    <row r="406" spans="1:5">
      <c r="A406" s="67"/>
      <c r="B406" s="73"/>
      <c r="C406" s="74"/>
      <c r="D406" s="75"/>
      <c r="E406" s="67"/>
    </row>
    <row r="407" spans="1:5">
      <c r="A407" s="67"/>
      <c r="B407" s="73"/>
      <c r="C407" s="74"/>
      <c r="D407" s="75"/>
      <c r="E407" s="67"/>
    </row>
    <row r="408" spans="1:5">
      <c r="A408" s="67"/>
      <c r="B408" s="73"/>
      <c r="C408" s="74"/>
      <c r="D408" s="75"/>
      <c r="E408" s="67"/>
    </row>
    <row r="409" spans="1:5">
      <c r="A409" s="67"/>
      <c r="B409" s="73"/>
      <c r="C409" s="74"/>
      <c r="D409" s="75"/>
      <c r="E409" s="67"/>
    </row>
    <row r="410" spans="1:5">
      <c r="A410" s="67"/>
      <c r="B410" s="73"/>
      <c r="C410" s="74"/>
      <c r="D410" s="75"/>
      <c r="E410" s="67"/>
    </row>
    <row r="411" spans="1:5">
      <c r="A411" s="67"/>
      <c r="B411" s="73"/>
      <c r="C411" s="74"/>
      <c r="D411" s="75"/>
      <c r="E411" s="67"/>
    </row>
    <row r="412" spans="1:5">
      <c r="A412" s="67"/>
      <c r="B412" s="73"/>
      <c r="C412" s="74"/>
      <c r="D412" s="75"/>
      <c r="E412" s="67"/>
    </row>
    <row r="413" spans="1:5">
      <c r="A413" s="67"/>
      <c r="B413" s="73"/>
      <c r="C413" s="74"/>
      <c r="D413" s="75"/>
      <c r="E413" s="67"/>
    </row>
    <row r="414" spans="1:5">
      <c r="A414" s="67"/>
      <c r="B414" s="73"/>
      <c r="C414" s="74"/>
      <c r="D414" s="75"/>
      <c r="E414" s="67"/>
    </row>
    <row r="415" spans="1:5">
      <c r="A415" s="67"/>
      <c r="B415" s="73"/>
      <c r="C415" s="74"/>
      <c r="D415" s="75"/>
      <c r="E415" s="67"/>
    </row>
    <row r="416" spans="1:5">
      <c r="A416" s="67"/>
      <c r="B416" s="73"/>
      <c r="C416" s="74"/>
      <c r="D416" s="75"/>
      <c r="E416" s="67"/>
    </row>
    <row r="417" spans="1:5">
      <c r="A417" s="67"/>
      <c r="B417" s="73"/>
      <c r="C417" s="74"/>
      <c r="D417" s="75"/>
      <c r="E417" s="67"/>
    </row>
    <row r="418" spans="1:5">
      <c r="A418" s="67"/>
      <c r="B418" s="73"/>
      <c r="C418" s="74"/>
      <c r="D418" s="75"/>
      <c r="E418" s="67"/>
    </row>
    <row r="419" spans="1:5">
      <c r="A419" s="67"/>
      <c r="B419" s="73"/>
      <c r="C419" s="74"/>
      <c r="D419" s="75"/>
      <c r="E419" s="67"/>
    </row>
    <row r="420" spans="1:5">
      <c r="A420" s="67"/>
      <c r="B420" s="73"/>
      <c r="C420" s="74"/>
      <c r="D420" s="75"/>
      <c r="E420" s="67"/>
    </row>
    <row r="421" spans="1:5">
      <c r="A421" s="67"/>
      <c r="B421" s="73"/>
      <c r="C421" s="74"/>
      <c r="D421" s="75"/>
      <c r="E421" s="67"/>
    </row>
    <row r="422" spans="1:5">
      <c r="A422" s="67"/>
      <c r="B422" s="73"/>
      <c r="C422" s="74"/>
      <c r="D422" s="75"/>
      <c r="E422" s="67"/>
    </row>
    <row r="423" spans="1:5">
      <c r="A423" s="67"/>
      <c r="B423" s="73"/>
      <c r="C423" s="74"/>
      <c r="D423" s="75"/>
      <c r="E423" s="67"/>
    </row>
    <row r="424" spans="1:5">
      <c r="A424" s="67"/>
      <c r="B424" s="73"/>
      <c r="C424" s="74"/>
      <c r="D424" s="75"/>
      <c r="E424" s="67"/>
    </row>
    <row r="425" spans="1:5">
      <c r="A425" s="67"/>
      <c r="B425" s="73"/>
      <c r="C425" s="74"/>
      <c r="D425" s="75"/>
      <c r="E425" s="67"/>
    </row>
    <row r="426" spans="1:5">
      <c r="A426" s="67"/>
      <c r="B426" s="73"/>
      <c r="C426" s="74"/>
      <c r="D426" s="75"/>
      <c r="E426" s="67"/>
    </row>
    <row r="427" spans="1:5">
      <c r="A427" s="67"/>
      <c r="B427" s="73"/>
      <c r="C427" s="74"/>
      <c r="D427" s="75"/>
      <c r="E427" s="67"/>
    </row>
    <row r="428" spans="1:5">
      <c r="A428" s="67"/>
      <c r="B428" s="73"/>
      <c r="C428" s="74"/>
      <c r="D428" s="75"/>
      <c r="E428" s="67"/>
    </row>
    <row r="429" spans="1:5">
      <c r="A429" s="67"/>
      <c r="B429" s="73"/>
      <c r="C429" s="74"/>
      <c r="D429" s="75"/>
      <c r="E429" s="67"/>
    </row>
    <row r="430" spans="1:5">
      <c r="A430" s="67"/>
      <c r="B430" s="73"/>
      <c r="C430" s="74"/>
      <c r="D430" s="75"/>
      <c r="E430" s="67"/>
    </row>
    <row r="431" spans="1:5">
      <c r="A431" s="67"/>
      <c r="B431" s="73"/>
      <c r="C431" s="74"/>
      <c r="D431" s="75"/>
      <c r="E431" s="67"/>
    </row>
    <row r="432" spans="1:5">
      <c r="A432" s="67"/>
      <c r="B432" s="73"/>
      <c r="C432" s="74"/>
      <c r="D432" s="75"/>
      <c r="E432" s="67"/>
    </row>
    <row r="433" spans="1:5">
      <c r="A433" s="67"/>
      <c r="B433" s="73"/>
      <c r="C433" s="74"/>
      <c r="D433" s="75"/>
      <c r="E433" s="67"/>
    </row>
    <row r="434" spans="1:5">
      <c r="A434" s="67"/>
      <c r="B434" s="73"/>
      <c r="C434" s="74"/>
      <c r="D434" s="75"/>
      <c r="E434" s="67"/>
    </row>
    <row r="435" spans="1:5">
      <c r="A435" s="67"/>
      <c r="B435" s="73"/>
      <c r="C435" s="74"/>
      <c r="D435" s="75"/>
      <c r="E435" s="67"/>
    </row>
    <row r="436" spans="1:5">
      <c r="A436" s="67"/>
      <c r="B436" s="73"/>
      <c r="C436" s="74"/>
      <c r="D436" s="75"/>
      <c r="E436" s="67"/>
    </row>
    <row r="437" spans="1:5">
      <c r="A437" s="67"/>
      <c r="B437" s="73"/>
      <c r="C437" s="74"/>
      <c r="D437" s="75"/>
      <c r="E437" s="67"/>
    </row>
    <row r="438" spans="1:5">
      <c r="A438" s="67"/>
      <c r="B438" s="73"/>
      <c r="C438" s="74"/>
      <c r="D438" s="75"/>
      <c r="E438" s="67"/>
    </row>
    <row r="439" spans="1:5">
      <c r="A439" s="67"/>
      <c r="B439" s="73"/>
      <c r="C439" s="74"/>
      <c r="D439" s="75"/>
      <c r="E439" s="67"/>
    </row>
    <row r="440" spans="1:5">
      <c r="A440" s="67"/>
      <c r="B440" s="73"/>
      <c r="C440" s="74"/>
      <c r="D440" s="75"/>
      <c r="E440" s="67"/>
    </row>
    <row r="441" spans="1:5">
      <c r="A441" s="67"/>
      <c r="B441" s="73"/>
      <c r="C441" s="74"/>
      <c r="D441" s="75"/>
      <c r="E441" s="67"/>
    </row>
    <row r="442" spans="1:5">
      <c r="A442" s="67"/>
      <c r="B442" s="73"/>
      <c r="C442" s="74"/>
      <c r="D442" s="75"/>
      <c r="E442" s="67"/>
    </row>
    <row r="443" spans="1:5">
      <c r="A443" s="67"/>
      <c r="B443" s="73"/>
      <c r="C443" s="74"/>
      <c r="D443" s="75"/>
      <c r="E443" s="67"/>
    </row>
    <row r="444" spans="1:5">
      <c r="A444" s="67"/>
      <c r="B444" s="73"/>
      <c r="C444" s="74"/>
      <c r="D444" s="75"/>
      <c r="E444" s="67"/>
    </row>
    <row r="445" spans="1:5">
      <c r="A445" s="67"/>
      <c r="B445" s="73"/>
      <c r="C445" s="74"/>
      <c r="D445" s="75"/>
      <c r="E445" s="67"/>
    </row>
    <row r="446" spans="1:5">
      <c r="A446" s="67"/>
      <c r="B446" s="73"/>
      <c r="C446" s="74"/>
      <c r="D446" s="75"/>
      <c r="E446" s="67"/>
    </row>
    <row r="447" spans="1:5">
      <c r="A447" s="67"/>
      <c r="B447" s="73"/>
      <c r="C447" s="74"/>
      <c r="D447" s="75"/>
      <c r="E447" s="67"/>
    </row>
    <row r="448" spans="1:5">
      <c r="A448" s="67"/>
      <c r="B448" s="73"/>
      <c r="C448" s="74"/>
      <c r="D448" s="75"/>
      <c r="E448" s="67"/>
    </row>
    <row r="449" spans="1:5">
      <c r="A449" s="67"/>
      <c r="B449" s="73"/>
      <c r="C449" s="74"/>
      <c r="D449" s="75"/>
      <c r="E449" s="67"/>
    </row>
    <row r="450" spans="1:5">
      <c r="A450" s="67"/>
      <c r="B450" s="73"/>
      <c r="C450" s="74"/>
      <c r="D450" s="75"/>
      <c r="E450" s="67"/>
    </row>
    <row r="451" spans="1:5">
      <c r="A451" s="67"/>
      <c r="B451" s="73"/>
      <c r="C451" s="74"/>
      <c r="D451" s="75"/>
      <c r="E451" s="67"/>
    </row>
    <row r="452" spans="1:5">
      <c r="A452" s="67"/>
      <c r="B452" s="73"/>
      <c r="C452" s="74"/>
      <c r="D452" s="75"/>
      <c r="E452" s="67"/>
    </row>
    <row r="453" spans="1:5">
      <c r="A453" s="67"/>
      <c r="B453" s="73"/>
      <c r="C453" s="74"/>
      <c r="D453" s="75"/>
      <c r="E453" s="67"/>
    </row>
    <row r="454" spans="1:5">
      <c r="A454" s="67"/>
      <c r="B454" s="73"/>
      <c r="C454" s="74"/>
      <c r="D454" s="75"/>
      <c r="E454" s="67"/>
    </row>
    <row r="455" spans="1:5">
      <c r="A455" s="67"/>
      <c r="B455" s="73"/>
      <c r="C455" s="74"/>
      <c r="D455" s="75"/>
      <c r="E455" s="67"/>
    </row>
    <row r="456" spans="1:5">
      <c r="A456" s="67"/>
      <c r="B456" s="73"/>
      <c r="C456" s="74"/>
      <c r="D456" s="75"/>
      <c r="E456" s="67"/>
    </row>
    <row r="457" spans="1:5">
      <c r="A457" s="67"/>
      <c r="B457" s="73"/>
      <c r="C457" s="74"/>
      <c r="D457" s="75"/>
      <c r="E457" s="67"/>
    </row>
    <row r="458" spans="1:5">
      <c r="A458" s="67"/>
      <c r="B458" s="73"/>
      <c r="C458" s="74"/>
      <c r="D458" s="75"/>
      <c r="E458" s="67"/>
    </row>
    <row r="459" spans="1:5">
      <c r="A459" s="67"/>
      <c r="B459" s="73"/>
      <c r="C459" s="74"/>
      <c r="D459" s="75"/>
      <c r="E459" s="67"/>
    </row>
    <row r="460" spans="1:5">
      <c r="A460" s="67"/>
      <c r="B460" s="73"/>
      <c r="C460" s="74"/>
      <c r="D460" s="75"/>
      <c r="E460" s="67"/>
    </row>
    <row r="461" spans="1:5">
      <c r="A461" s="67"/>
      <c r="B461" s="73"/>
      <c r="C461" s="74"/>
      <c r="D461" s="75"/>
      <c r="E461" s="67"/>
    </row>
    <row r="462" spans="1:5">
      <c r="A462" s="67"/>
      <c r="B462" s="73"/>
      <c r="C462" s="74"/>
      <c r="D462" s="75"/>
      <c r="E462" s="67"/>
    </row>
    <row r="463" spans="1:5">
      <c r="A463" s="67"/>
      <c r="B463" s="73"/>
      <c r="C463" s="74"/>
      <c r="D463" s="75"/>
      <c r="E463" s="67"/>
    </row>
    <row r="464" spans="1:5">
      <c r="A464" s="67"/>
      <c r="B464" s="73"/>
      <c r="C464" s="74"/>
      <c r="D464" s="75"/>
      <c r="E464" s="67"/>
    </row>
    <row r="465" spans="1:5">
      <c r="A465" s="67"/>
      <c r="B465" s="73"/>
      <c r="C465" s="74"/>
      <c r="D465" s="75"/>
      <c r="E465" s="67"/>
    </row>
    <row r="466" spans="1:5">
      <c r="A466" s="67"/>
      <c r="B466" s="73"/>
      <c r="C466" s="74"/>
      <c r="D466" s="75"/>
      <c r="E466" s="67"/>
    </row>
    <row r="467" spans="1:5">
      <c r="A467" s="67"/>
      <c r="B467" s="73"/>
      <c r="C467" s="74"/>
      <c r="D467" s="75"/>
      <c r="E467" s="67"/>
    </row>
    <row r="468" spans="1:5">
      <c r="A468" s="67"/>
      <c r="B468" s="73"/>
      <c r="C468" s="74"/>
      <c r="D468" s="75"/>
      <c r="E468" s="67"/>
    </row>
    <row r="469" spans="1:5">
      <c r="A469" s="67"/>
      <c r="B469" s="73"/>
      <c r="C469" s="74"/>
      <c r="D469" s="75"/>
      <c r="E469" s="67"/>
    </row>
    <row r="470" spans="1:5">
      <c r="A470" s="67"/>
      <c r="B470" s="73"/>
      <c r="C470" s="74"/>
      <c r="D470" s="75"/>
      <c r="E470" s="67"/>
    </row>
    <row r="471" spans="1:5">
      <c r="A471" s="67"/>
      <c r="B471" s="73"/>
      <c r="C471" s="74"/>
      <c r="D471" s="75"/>
      <c r="E471" s="67"/>
    </row>
    <row r="472" spans="1:5">
      <c r="A472" s="67"/>
      <c r="B472" s="73"/>
      <c r="C472" s="74"/>
      <c r="D472" s="75"/>
      <c r="E472" s="67"/>
    </row>
    <row r="473" spans="1:5">
      <c r="A473" s="67"/>
      <c r="B473" s="73"/>
      <c r="C473" s="74"/>
      <c r="D473" s="75"/>
      <c r="E473" s="67"/>
    </row>
    <row r="474" spans="1:5">
      <c r="A474" s="67"/>
      <c r="B474" s="73"/>
      <c r="C474" s="74"/>
      <c r="D474" s="75"/>
      <c r="E474" s="67"/>
    </row>
    <row r="475" spans="1:5">
      <c r="A475" s="67"/>
      <c r="B475" s="73"/>
      <c r="C475" s="74"/>
      <c r="D475" s="75"/>
      <c r="E475" s="67"/>
    </row>
    <row r="476" spans="1:5">
      <c r="A476" s="67"/>
      <c r="B476" s="73"/>
      <c r="C476" s="74"/>
      <c r="D476" s="75"/>
      <c r="E476" s="67"/>
    </row>
    <row r="477" spans="1:5">
      <c r="A477" s="67"/>
      <c r="B477" s="73"/>
      <c r="C477" s="74"/>
      <c r="D477" s="75"/>
      <c r="E477" s="67"/>
    </row>
    <row r="478" spans="1:5">
      <c r="A478" s="67"/>
      <c r="B478" s="73"/>
      <c r="C478" s="74"/>
      <c r="D478" s="75"/>
      <c r="E478" s="67"/>
    </row>
    <row r="479" spans="1:5">
      <c r="A479" s="67"/>
      <c r="B479" s="73"/>
      <c r="C479" s="74"/>
      <c r="D479" s="75"/>
      <c r="E479" s="67"/>
    </row>
    <row r="480" spans="1:5">
      <c r="A480" s="67"/>
      <c r="B480" s="73"/>
      <c r="C480" s="74"/>
      <c r="D480" s="75"/>
      <c r="E480" s="67"/>
    </row>
    <row r="481" spans="1:5">
      <c r="A481" s="67"/>
      <c r="B481" s="73"/>
      <c r="C481" s="74"/>
      <c r="D481" s="75"/>
      <c r="E481" s="67"/>
    </row>
    <row r="482" spans="1:5">
      <c r="A482" s="67"/>
      <c r="B482" s="73"/>
      <c r="C482" s="74"/>
      <c r="D482" s="75"/>
      <c r="E482" s="67"/>
    </row>
    <row r="483" spans="1:5">
      <c r="A483" s="67"/>
      <c r="B483" s="73"/>
      <c r="C483" s="74"/>
      <c r="D483" s="75"/>
      <c r="E483" s="67"/>
    </row>
    <row r="484" spans="1:5">
      <c r="A484" s="67"/>
      <c r="B484" s="73"/>
      <c r="C484" s="74"/>
      <c r="D484" s="75"/>
      <c r="E484" s="67"/>
    </row>
    <row r="485" spans="1:5">
      <c r="A485" s="67"/>
      <c r="B485" s="73"/>
      <c r="C485" s="74"/>
      <c r="D485" s="75"/>
      <c r="E485" s="67"/>
    </row>
    <row r="486" spans="1:5">
      <c r="A486" s="67"/>
      <c r="B486" s="73"/>
      <c r="C486" s="74"/>
      <c r="D486" s="75"/>
      <c r="E486" s="67"/>
    </row>
    <row r="487" spans="1:5">
      <c r="A487" s="67"/>
      <c r="B487" s="73"/>
      <c r="C487" s="74"/>
      <c r="D487" s="75"/>
      <c r="E487" s="67"/>
    </row>
    <row r="488" spans="1:5">
      <c r="A488" s="67"/>
      <c r="B488" s="73"/>
      <c r="C488" s="74"/>
      <c r="D488" s="75"/>
      <c r="E488" s="67"/>
    </row>
    <row r="489" spans="1:5">
      <c r="A489" s="67"/>
      <c r="B489" s="73"/>
      <c r="C489" s="74"/>
      <c r="D489" s="75"/>
      <c r="E489" s="67"/>
    </row>
    <row r="490" spans="1:5">
      <c r="A490" s="67"/>
      <c r="B490" s="73"/>
      <c r="C490" s="74"/>
      <c r="D490" s="75"/>
      <c r="E490" s="67"/>
    </row>
    <row r="491" spans="1:5">
      <c r="A491" s="67"/>
      <c r="B491" s="73"/>
      <c r="C491" s="74"/>
      <c r="D491" s="75"/>
      <c r="E491" s="67"/>
    </row>
    <row r="492" spans="1:5">
      <c r="A492" s="67"/>
      <c r="B492" s="73"/>
      <c r="C492" s="74"/>
      <c r="D492" s="75"/>
      <c r="E492" s="67"/>
    </row>
    <row r="493" spans="1:5">
      <c r="A493" s="67"/>
      <c r="B493" s="73"/>
      <c r="C493" s="74"/>
      <c r="D493" s="75"/>
      <c r="E493" s="67"/>
    </row>
    <row r="494" spans="1:5">
      <c r="A494" s="67"/>
      <c r="B494" s="73"/>
      <c r="C494" s="74"/>
      <c r="D494" s="75"/>
      <c r="E494" s="67"/>
    </row>
    <row r="495" spans="1:5">
      <c r="A495" s="67"/>
      <c r="B495" s="73"/>
      <c r="C495" s="74"/>
      <c r="D495" s="75"/>
      <c r="E495" s="67"/>
    </row>
    <row r="496" spans="1:5">
      <c r="A496" s="67"/>
      <c r="B496" s="73"/>
      <c r="C496" s="74"/>
      <c r="D496" s="75"/>
      <c r="E496" s="67"/>
    </row>
    <row r="497" spans="1:5">
      <c r="A497" s="67"/>
      <c r="B497" s="73"/>
      <c r="C497" s="74"/>
      <c r="D497" s="75"/>
      <c r="E497" s="67"/>
    </row>
    <row r="498" spans="1:5">
      <c r="A498" s="67"/>
      <c r="B498" s="73"/>
      <c r="C498" s="74"/>
      <c r="D498" s="75"/>
      <c r="E498" s="67"/>
    </row>
    <row r="499" spans="1:5">
      <c r="A499" s="67"/>
      <c r="B499" s="73"/>
      <c r="C499" s="74"/>
      <c r="D499" s="75"/>
      <c r="E499" s="67"/>
    </row>
    <row r="500" spans="1:5">
      <c r="A500" s="67"/>
      <c r="B500" s="73"/>
      <c r="C500" s="74"/>
      <c r="D500" s="75"/>
      <c r="E500" s="67"/>
    </row>
    <row r="501" spans="1:5">
      <c r="A501" s="67"/>
      <c r="B501" s="73"/>
      <c r="C501" s="74"/>
      <c r="D501" s="75"/>
      <c r="E501" s="67"/>
    </row>
    <row r="502" spans="1:5">
      <c r="A502" s="67"/>
      <c r="B502" s="73"/>
      <c r="C502" s="74"/>
      <c r="D502" s="75"/>
      <c r="E502" s="67"/>
    </row>
    <row r="503" spans="1:5">
      <c r="A503" s="67"/>
      <c r="B503" s="73"/>
      <c r="C503" s="74"/>
      <c r="D503" s="75"/>
      <c r="E503" s="67"/>
    </row>
    <row r="504" spans="1:5">
      <c r="A504" s="67"/>
      <c r="B504" s="73"/>
      <c r="C504" s="74"/>
      <c r="D504" s="75"/>
      <c r="E504" s="67"/>
    </row>
    <row r="505" spans="1:5">
      <c r="A505" s="67"/>
      <c r="B505" s="73"/>
      <c r="C505" s="74"/>
      <c r="D505" s="75"/>
      <c r="E505" s="67"/>
    </row>
    <row r="506" spans="1:5">
      <c r="A506" s="67"/>
      <c r="B506" s="73"/>
      <c r="C506" s="74"/>
      <c r="D506" s="75"/>
      <c r="E506" s="67"/>
    </row>
    <row r="507" spans="1:5">
      <c r="A507" s="67"/>
      <c r="B507" s="73"/>
      <c r="C507" s="74"/>
      <c r="D507" s="75"/>
      <c r="E507" s="67"/>
    </row>
    <row r="508" spans="1:5">
      <c r="A508" s="67"/>
      <c r="B508" s="73"/>
      <c r="C508" s="74"/>
      <c r="D508" s="75"/>
      <c r="E508" s="67"/>
    </row>
    <row r="509" spans="1:5">
      <c r="A509" s="67"/>
      <c r="B509" s="73"/>
      <c r="C509" s="74"/>
      <c r="D509" s="75"/>
      <c r="E509" s="67"/>
    </row>
    <row r="510" spans="1:5">
      <c r="A510" s="67"/>
      <c r="B510" s="73"/>
      <c r="C510" s="74"/>
      <c r="D510" s="75"/>
      <c r="E510" s="67"/>
    </row>
    <row r="511" spans="1:5">
      <c r="A511" s="67"/>
      <c r="B511" s="73"/>
      <c r="C511" s="74"/>
      <c r="D511" s="75"/>
      <c r="E511" s="67"/>
    </row>
    <row r="512" spans="1:5">
      <c r="A512" s="67"/>
      <c r="B512" s="73"/>
      <c r="C512" s="74"/>
      <c r="D512" s="75"/>
      <c r="E512" s="67"/>
    </row>
    <row r="513" spans="1:5">
      <c r="A513" s="67"/>
      <c r="B513" s="73"/>
      <c r="C513" s="74"/>
      <c r="D513" s="75"/>
      <c r="E513" s="67"/>
    </row>
    <row r="514" spans="1:5">
      <c r="A514" s="67"/>
      <c r="B514" s="73"/>
      <c r="C514" s="74"/>
      <c r="D514" s="75"/>
      <c r="E514" s="67"/>
    </row>
    <row r="515" spans="1:5">
      <c r="A515" s="67"/>
      <c r="B515" s="73"/>
      <c r="C515" s="74"/>
      <c r="D515" s="75"/>
      <c r="E515" s="67"/>
    </row>
    <row r="516" spans="1:5">
      <c r="A516" s="67"/>
      <c r="B516" s="73"/>
      <c r="C516" s="74"/>
      <c r="D516" s="75"/>
      <c r="E516" s="67"/>
    </row>
    <row r="517" spans="1:5">
      <c r="A517" s="67"/>
      <c r="B517" s="73"/>
      <c r="C517" s="74"/>
      <c r="D517" s="75"/>
      <c r="E517" s="67"/>
    </row>
    <row r="518" spans="1:5">
      <c r="A518" s="67"/>
      <c r="B518" s="73"/>
      <c r="C518" s="74"/>
      <c r="D518" s="75"/>
      <c r="E518" s="67"/>
    </row>
    <row r="519" spans="1:5">
      <c r="A519" s="67"/>
      <c r="B519" s="73"/>
      <c r="C519" s="74"/>
      <c r="D519" s="75"/>
      <c r="E519" s="67"/>
    </row>
    <row r="520" spans="1:5">
      <c r="A520" s="67"/>
      <c r="B520" s="73"/>
      <c r="C520" s="74"/>
      <c r="D520" s="75"/>
      <c r="E520" s="67"/>
    </row>
    <row r="521" spans="1:5">
      <c r="A521" s="67"/>
      <c r="B521" s="73"/>
      <c r="C521" s="74"/>
      <c r="D521" s="75"/>
      <c r="E521" s="67"/>
    </row>
    <row r="522" spans="1:5">
      <c r="A522" s="67"/>
      <c r="B522" s="73"/>
      <c r="C522" s="74"/>
      <c r="D522" s="75"/>
      <c r="E522" s="67"/>
    </row>
    <row r="523" spans="1:5">
      <c r="A523" s="67"/>
      <c r="B523" s="73"/>
      <c r="C523" s="74"/>
      <c r="D523" s="75"/>
      <c r="E523" s="67"/>
    </row>
    <row r="524" spans="1:5">
      <c r="A524" s="67"/>
      <c r="B524" s="73"/>
      <c r="C524" s="74"/>
      <c r="D524" s="75"/>
      <c r="E524" s="67"/>
    </row>
    <row r="525" spans="1:5">
      <c r="A525" s="67"/>
      <c r="B525" s="73"/>
      <c r="C525" s="74"/>
      <c r="D525" s="75"/>
      <c r="E525" s="67"/>
    </row>
    <row r="526" spans="1:5">
      <c r="A526" s="67"/>
      <c r="B526" s="73"/>
      <c r="C526" s="74"/>
      <c r="D526" s="75"/>
      <c r="E526" s="67"/>
    </row>
    <row r="527" spans="1:5">
      <c r="A527" s="67"/>
      <c r="B527" s="73"/>
      <c r="C527" s="74"/>
      <c r="D527" s="75"/>
      <c r="E527" s="67"/>
    </row>
    <row r="528" spans="1:5">
      <c r="A528" s="67"/>
      <c r="B528" s="73"/>
      <c r="C528" s="74"/>
      <c r="D528" s="75"/>
      <c r="E528" s="67"/>
    </row>
    <row r="529" spans="1:5">
      <c r="A529" s="67"/>
      <c r="B529" s="73"/>
      <c r="C529" s="74"/>
      <c r="D529" s="75"/>
      <c r="E529" s="67"/>
    </row>
    <row r="530" spans="1:5">
      <c r="A530" s="67"/>
      <c r="B530" s="73"/>
      <c r="C530" s="74"/>
      <c r="D530" s="75"/>
      <c r="E530" s="67"/>
    </row>
    <row r="531" spans="1:5">
      <c r="A531" s="67"/>
      <c r="B531" s="73"/>
      <c r="C531" s="74"/>
      <c r="D531" s="75"/>
      <c r="E531" s="67"/>
    </row>
    <row r="532" spans="1:5">
      <c r="A532" s="67"/>
      <c r="B532" s="73"/>
      <c r="C532" s="74"/>
      <c r="D532" s="75"/>
      <c r="E532" s="67"/>
    </row>
    <row r="533" spans="1:5">
      <c r="A533" s="67"/>
      <c r="B533" s="73"/>
      <c r="C533" s="74"/>
      <c r="D533" s="75"/>
      <c r="E533" s="67"/>
    </row>
    <row r="534" spans="1:5">
      <c r="A534" s="67"/>
      <c r="B534" s="73"/>
      <c r="C534" s="74"/>
      <c r="D534" s="75"/>
      <c r="E534" s="67"/>
    </row>
    <row r="535" spans="1:5">
      <c r="A535" s="67"/>
      <c r="B535" s="73"/>
      <c r="C535" s="74"/>
      <c r="D535" s="75"/>
      <c r="E535" s="67"/>
    </row>
    <row r="536" spans="1:5">
      <c r="A536" s="67"/>
      <c r="B536" s="73"/>
      <c r="C536" s="74"/>
      <c r="D536" s="75"/>
      <c r="E536" s="67"/>
    </row>
    <row r="537" spans="1:5">
      <c r="A537" s="67"/>
      <c r="B537" s="73"/>
      <c r="C537" s="74"/>
      <c r="D537" s="75"/>
      <c r="E537" s="67"/>
    </row>
    <row r="538" spans="1:5">
      <c r="A538" s="67"/>
      <c r="B538" s="73"/>
      <c r="C538" s="74"/>
      <c r="D538" s="75"/>
      <c r="E538" s="67"/>
    </row>
    <row r="539" spans="1:5">
      <c r="A539" s="67"/>
      <c r="B539" s="73"/>
      <c r="C539" s="74"/>
      <c r="D539" s="75"/>
      <c r="E539" s="67"/>
    </row>
    <row r="540" spans="1:5">
      <c r="A540" s="67"/>
      <c r="B540" s="73"/>
      <c r="C540" s="74"/>
      <c r="D540" s="75"/>
      <c r="E540" s="67"/>
    </row>
    <row r="541" spans="1:5">
      <c r="A541" s="67"/>
      <c r="B541" s="73"/>
      <c r="C541" s="74"/>
      <c r="D541" s="75"/>
      <c r="E541" s="67"/>
    </row>
    <row r="542" spans="1:5">
      <c r="A542" s="67"/>
      <c r="B542" s="73"/>
      <c r="C542" s="74"/>
      <c r="D542" s="75"/>
      <c r="E542" s="67"/>
    </row>
    <row r="543" spans="1:5">
      <c r="A543" s="67"/>
      <c r="B543" s="73"/>
      <c r="C543" s="74"/>
      <c r="D543" s="75"/>
      <c r="E543" s="67"/>
    </row>
    <row r="544" spans="1:5">
      <c r="A544" s="67"/>
      <c r="B544" s="73"/>
      <c r="C544" s="74"/>
      <c r="D544" s="75"/>
      <c r="E544" s="67"/>
    </row>
    <row r="545" spans="1:5">
      <c r="A545" s="67"/>
      <c r="B545" s="73"/>
      <c r="C545" s="74"/>
      <c r="D545" s="75"/>
      <c r="E545" s="67"/>
    </row>
    <row r="546" spans="1:5">
      <c r="A546" s="67"/>
      <c r="B546" s="73"/>
      <c r="C546" s="74"/>
      <c r="D546" s="75"/>
      <c r="E546" s="67"/>
    </row>
    <row r="547" spans="1:5">
      <c r="A547" s="67"/>
      <c r="B547" s="73"/>
      <c r="C547" s="74"/>
      <c r="D547" s="75"/>
      <c r="E547" s="67"/>
    </row>
    <row r="548" spans="1:5">
      <c r="A548" s="67"/>
      <c r="B548" s="73"/>
      <c r="C548" s="74"/>
      <c r="D548" s="75"/>
      <c r="E548" s="67"/>
    </row>
    <row r="549" spans="1:5">
      <c r="A549" s="67"/>
      <c r="B549" s="73"/>
      <c r="C549" s="74"/>
      <c r="D549" s="75"/>
      <c r="E549" s="67"/>
    </row>
    <row r="550" spans="1:5">
      <c r="A550" s="67"/>
      <c r="B550" s="73"/>
      <c r="C550" s="74"/>
      <c r="D550" s="75"/>
      <c r="E550" s="67"/>
    </row>
    <row r="551" spans="1:5">
      <c r="A551" s="67"/>
      <c r="B551" s="73"/>
      <c r="C551" s="74"/>
      <c r="D551" s="75"/>
      <c r="E551" s="67"/>
    </row>
    <row r="552" spans="1:5">
      <c r="A552" s="67"/>
      <c r="B552" s="73"/>
      <c r="C552" s="74"/>
      <c r="D552" s="75"/>
      <c r="E552" s="67"/>
    </row>
    <row r="553" spans="1:5">
      <c r="A553" s="67"/>
      <c r="B553" s="73"/>
      <c r="C553" s="74"/>
      <c r="D553" s="75"/>
      <c r="E553" s="67"/>
    </row>
    <row r="554" spans="1:5">
      <c r="A554" s="67"/>
      <c r="B554" s="73"/>
      <c r="C554" s="74"/>
      <c r="D554" s="75"/>
      <c r="E554" s="67"/>
    </row>
    <row r="555" spans="1:5">
      <c r="A555" s="67"/>
      <c r="B555" s="73"/>
      <c r="C555" s="74"/>
      <c r="D555" s="75"/>
      <c r="E555" s="67"/>
    </row>
    <row r="556" spans="1:5">
      <c r="A556" s="67"/>
      <c r="B556" s="73"/>
      <c r="C556" s="74"/>
      <c r="D556" s="75"/>
      <c r="E556" s="67"/>
    </row>
    <row r="557" spans="1:5">
      <c r="A557" s="67"/>
      <c r="B557" s="73"/>
      <c r="C557" s="74"/>
      <c r="D557" s="75"/>
      <c r="E557" s="67"/>
    </row>
    <row r="558" spans="1:5">
      <c r="A558" s="67"/>
      <c r="B558" s="73"/>
      <c r="C558" s="74"/>
      <c r="D558" s="75"/>
      <c r="E558" s="67"/>
    </row>
    <row r="559" spans="1:5">
      <c r="A559" s="67"/>
      <c r="B559" s="73"/>
      <c r="C559" s="74"/>
      <c r="D559" s="75"/>
      <c r="E559" s="67"/>
    </row>
    <row r="560" spans="1:5">
      <c r="A560" s="67"/>
      <c r="B560" s="73"/>
      <c r="C560" s="74"/>
      <c r="D560" s="75"/>
      <c r="E560" s="67"/>
    </row>
    <row r="561" spans="1:5">
      <c r="A561" s="67"/>
      <c r="B561" s="73"/>
      <c r="C561" s="74"/>
      <c r="D561" s="75"/>
      <c r="E561" s="67"/>
    </row>
    <row r="562" spans="1:5">
      <c r="A562" s="67"/>
      <c r="B562" s="73"/>
      <c r="C562" s="74"/>
      <c r="D562" s="75"/>
      <c r="E562" s="67"/>
    </row>
    <row r="563" spans="1:5">
      <c r="A563" s="67"/>
      <c r="B563" s="73"/>
      <c r="C563" s="74"/>
      <c r="D563" s="75"/>
      <c r="E563" s="67"/>
    </row>
    <row r="564" spans="1:5">
      <c r="A564" s="67"/>
      <c r="B564" s="73"/>
      <c r="C564" s="74"/>
      <c r="D564" s="75"/>
      <c r="E564" s="67"/>
    </row>
    <row r="565" spans="1:5">
      <c r="A565" s="67"/>
      <c r="B565" s="73"/>
      <c r="C565" s="74"/>
      <c r="D565" s="75"/>
      <c r="E565" s="67"/>
    </row>
    <row r="566" spans="1:5">
      <c r="A566" s="67"/>
      <c r="B566" s="73"/>
      <c r="C566" s="74"/>
      <c r="D566" s="75"/>
      <c r="E566" s="67"/>
    </row>
    <row r="567" spans="1:5">
      <c r="A567" s="67"/>
      <c r="B567" s="73"/>
      <c r="C567" s="74"/>
      <c r="D567" s="75"/>
      <c r="E567" s="67"/>
    </row>
    <row r="568" spans="1:5">
      <c r="A568" s="67"/>
      <c r="B568" s="73"/>
      <c r="C568" s="74"/>
      <c r="D568" s="75"/>
      <c r="E568" s="67"/>
    </row>
    <row r="569" spans="1:5">
      <c r="A569" s="67"/>
      <c r="B569" s="73"/>
      <c r="C569" s="74"/>
      <c r="D569" s="75"/>
      <c r="E569" s="67"/>
    </row>
  </sheetData>
  <sheetProtection password="CA9F" sheet="1"/>
  <mergeCells count="3">
    <mergeCell ref="A2:E2"/>
    <mergeCell ref="D5:E5"/>
    <mergeCell ref="A5:C5"/>
  </mergeCells>
  <dataValidations count="1">
    <dataValidation type="whole" allowBlank="1" showInputMessage="1" showErrorMessage="1" sqref="E6">
      <formula1>1</formula1>
      <formula2>100000000000</formula2>
    </dataValidation>
  </dataValidations>
  <pageMargins left="0.7" right="0.7" top="0.42" bottom="0.38" header="0.3" footer="0.3"/>
  <pageSetup scale="85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K83"/>
  <sheetViews>
    <sheetView workbookViewId="0">
      <pane xSplit="2" ySplit="6" topLeftCell="C7" activePane="bottomRight" state="frozen"/>
      <selection activeCell="L11" sqref="L11"/>
      <selection pane="topRight" activeCell="L11" sqref="L11"/>
      <selection pane="bottomLeft" activeCell="L11" sqref="L11"/>
      <selection pane="bottomRight" activeCell="J21" sqref="J21"/>
    </sheetView>
  </sheetViews>
  <sheetFormatPr defaultColWidth="9.1796875" defaultRowHeight="14"/>
  <cols>
    <col min="1" max="1" width="3" style="611" customWidth="1"/>
    <col min="2" max="2" width="36.81640625" style="683" customWidth="1"/>
    <col min="3" max="3" width="7.26953125" style="611" customWidth="1"/>
    <col min="4" max="5" width="16.453125" style="683" customWidth="1"/>
    <col min="6" max="6" width="5.1796875" style="611" customWidth="1"/>
    <col min="7" max="8" width="16.453125" style="683" customWidth="1"/>
    <col min="9" max="9" width="8" style="611" customWidth="1"/>
    <col min="10" max="11" width="16.453125" style="683" customWidth="1"/>
    <col min="12" max="16384" width="9.1796875" style="820"/>
  </cols>
  <sheetData>
    <row r="1" spans="1:11" ht="28.5" customHeight="1">
      <c r="H1" s="1215" t="s">
        <v>1011</v>
      </c>
      <c r="I1" s="1215"/>
      <c r="J1" s="1215"/>
      <c r="K1" s="1215"/>
    </row>
    <row r="2" spans="1:11">
      <c r="A2" s="1222" t="s">
        <v>1010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</row>
    <row r="3" spans="1:11">
      <c r="A3" s="682"/>
      <c r="B3" s="682"/>
      <c r="C3" s="682"/>
      <c r="D3" s="682"/>
      <c r="E3" s="682"/>
      <c r="F3" s="682"/>
      <c r="G3" s="682"/>
      <c r="H3" s="682"/>
      <c r="I3" s="682"/>
      <c r="J3" s="682"/>
      <c r="K3" s="682"/>
    </row>
    <row r="4" spans="1:11" ht="15">
      <c r="A4" s="1216" t="s">
        <v>828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6"/>
    </row>
    <row r="5" spans="1:11" ht="15">
      <c r="A5" s="1214" t="str">
        <f>+i.04108!A7</f>
        <v>Даатгагчийн нэр:</v>
      </c>
      <c r="B5" s="1223"/>
      <c r="C5" s="1223"/>
      <c r="D5" s="1223"/>
      <c r="E5" s="671"/>
      <c r="F5" s="672"/>
      <c r="G5" s="673"/>
      <c r="H5" s="1213" t="str">
        <f>+i.04108!F7</f>
        <v>..... оны .... сарын ...-ны өдөр</v>
      </c>
      <c r="I5" s="1213"/>
      <c r="J5" s="1213"/>
      <c r="K5" s="1213"/>
    </row>
    <row r="6" spans="1:11" ht="15">
      <c r="A6" s="671"/>
      <c r="B6" s="673"/>
      <c r="C6" s="673"/>
      <c r="D6" s="673"/>
      <c r="E6" s="673"/>
      <c r="F6" s="673"/>
      <c r="G6" s="673"/>
      <c r="H6" s="673"/>
      <c r="I6" s="673"/>
      <c r="K6" s="40" t="s">
        <v>1</v>
      </c>
    </row>
    <row r="7" spans="1:11" ht="62.25" customHeight="1">
      <c r="A7" s="684"/>
      <c r="B7" s="685" t="s">
        <v>757</v>
      </c>
      <c r="C7" s="686" t="s">
        <v>829</v>
      </c>
      <c r="D7" s="686" t="s">
        <v>830</v>
      </c>
      <c r="E7" s="686" t="s">
        <v>831</v>
      </c>
      <c r="F7" s="686" t="s">
        <v>763</v>
      </c>
      <c r="G7" s="686" t="s">
        <v>764</v>
      </c>
      <c r="H7" s="686" t="s">
        <v>765</v>
      </c>
      <c r="I7" s="686" t="s">
        <v>832</v>
      </c>
      <c r="J7" s="686" t="s">
        <v>833</v>
      </c>
      <c r="K7" s="686" t="s">
        <v>834</v>
      </c>
    </row>
    <row r="8" spans="1:11">
      <c r="A8" s="687" t="s">
        <v>6</v>
      </c>
      <c r="B8" s="688" t="s">
        <v>7</v>
      </c>
      <c r="C8" s="688">
        <v>1</v>
      </c>
      <c r="D8" s="688">
        <v>2</v>
      </c>
      <c r="E8" s="688">
        <v>3</v>
      </c>
      <c r="F8" s="688">
        <v>4</v>
      </c>
      <c r="G8" s="688">
        <v>5</v>
      </c>
      <c r="H8" s="688">
        <v>6</v>
      </c>
      <c r="I8" s="688">
        <v>7</v>
      </c>
      <c r="J8" s="688">
        <v>8</v>
      </c>
      <c r="K8" s="688">
        <v>9</v>
      </c>
    </row>
    <row r="9" spans="1:11" ht="14.25" customHeight="1">
      <c r="A9" s="689" t="s">
        <v>835</v>
      </c>
      <c r="B9" s="690" t="str">
        <f>"Банкны харилцах, хадгаламж "</f>
        <v xml:space="preserve">Банкны харилцах, хадгаламж </v>
      </c>
      <c r="C9" s="884">
        <v>1</v>
      </c>
      <c r="D9" s="885">
        <f>IF((i.04144a!$C$9)&lt;=1*(i.04101!$E$47-i.04101!E40-i.04101!E41),(i.04144a!$C$9),1*(i.04101!$E$47-i.04101!E40-i.04101!E41))</f>
        <v>0</v>
      </c>
      <c r="E9" s="885">
        <f>(i.04144a!$C$9)-D9</f>
        <v>0</v>
      </c>
      <c r="F9" s="886">
        <v>0.35</v>
      </c>
      <c r="G9" s="887">
        <f>i.04144a!D9</f>
        <v>0</v>
      </c>
      <c r="H9" s="887">
        <f>i.04144a!E9</f>
        <v>0</v>
      </c>
      <c r="I9" s="886">
        <v>0</v>
      </c>
      <c r="J9" s="887">
        <f>D9*0</f>
        <v>0</v>
      </c>
      <c r="K9" s="888">
        <f>J9+H9+E9</f>
        <v>0</v>
      </c>
    </row>
    <row r="10" spans="1:11" ht="21.75" customHeight="1">
      <c r="A10" s="689" t="s">
        <v>836</v>
      </c>
      <c r="B10" s="690" t="str">
        <f>"Гадаадын банкин дахь харилцах, хадгаламж, хадгаламжийн сертификат "</f>
        <v xml:space="preserve">Гадаадын банкин дахь харилцах, хадгаламж, хадгаламжийн сертификат </v>
      </c>
      <c r="C10" s="889">
        <v>0.02</v>
      </c>
      <c r="D10" s="885">
        <f>IF((i.04144a!$C$30)&lt;=0.02*(i.04101!$E$47-i.04101!E40-i.04101!E41),(i.04144a!$C$30),0.02*(i.04101!$E$47-i.04101!E40-i.04101!E41))</f>
        <v>0</v>
      </c>
      <c r="E10" s="885">
        <f>(i.04144a!$C$30)-D10</f>
        <v>0</v>
      </c>
      <c r="F10" s="890">
        <v>0.01</v>
      </c>
      <c r="G10" s="887">
        <f>i.04144a!D30</f>
        <v>0</v>
      </c>
      <c r="H10" s="891">
        <f>i.04144a!E30</f>
        <v>0</v>
      </c>
      <c r="I10" s="892">
        <v>0</v>
      </c>
      <c r="J10" s="887">
        <f>D10*0</f>
        <v>0</v>
      </c>
      <c r="K10" s="888">
        <f>J10+H10+E10</f>
        <v>0</v>
      </c>
    </row>
    <row r="11" spans="1:11" ht="21.75" customHeight="1">
      <c r="A11" s="689" t="s">
        <v>837</v>
      </c>
      <c r="B11" s="690" t="str">
        <f>"Дотоодын банк бус санхүүгийн байгууллагад итгэлцлээр байршуулсан мөнгөн хөрөнгө "</f>
        <v xml:space="preserve">Дотоодын банк бус санхүүгийн байгууллагад итгэлцлээр байршуулсан мөнгөн хөрөнгө </v>
      </c>
      <c r="C11" s="889">
        <v>0.2</v>
      </c>
      <c r="D11" s="885">
        <f>IF((i.04144a!$C$42)&lt;=0.2*(i.04101!$E$47-i.04101!E40-i.04101!E41),(i.04144a!$C$42),0.2*(i.04101!$E$47-i.04101!E40-i.04101!E41))</f>
        <v>0</v>
      </c>
      <c r="E11" s="885">
        <f>(i.04144a!$C$42)-D11</f>
        <v>0</v>
      </c>
      <c r="F11" s="892">
        <v>0.05</v>
      </c>
      <c r="G11" s="887">
        <f>i.04144a!D42</f>
        <v>0</v>
      </c>
      <c r="H11" s="891">
        <f>i.04144a!E42</f>
        <v>0</v>
      </c>
      <c r="I11" s="892">
        <v>0.05</v>
      </c>
      <c r="J11" s="887">
        <f>D11*0.05</f>
        <v>0</v>
      </c>
      <c r="K11" s="888">
        <f t="shared" ref="K11:K20" si="0">J11+H11+E11</f>
        <v>0</v>
      </c>
    </row>
    <row r="12" spans="1:11" ht="13.5" customHeight="1">
      <c r="A12" s="691" t="s">
        <v>838</v>
      </c>
      <c r="B12" s="690" t="str">
        <f>"Бэлэн мөнгө "</f>
        <v xml:space="preserve">Бэлэн мөнгө </v>
      </c>
      <c r="C12" s="893">
        <v>0.02</v>
      </c>
      <c r="D12" s="885">
        <f>IF((i.04144a!$C$54)&lt;=0.02*(i.04101!$E$47-i.04101!E40-i.04101!E41),(i.04144a!$C$54),0.02*(i.04101!$E$47-i.04101!E40-i.04101!E41))</f>
        <v>0</v>
      </c>
      <c r="E12" s="885">
        <f>(i.04144a!$C$54)-D12</f>
        <v>0</v>
      </c>
      <c r="F12" s="886">
        <v>0.02</v>
      </c>
      <c r="G12" s="887">
        <f>i.04144a!D54</f>
        <v>0</v>
      </c>
      <c r="H12" s="887">
        <f>i.04144a!E54</f>
        <v>0</v>
      </c>
      <c r="I12" s="886">
        <v>0</v>
      </c>
      <c r="J12" s="887">
        <f>D12*0</f>
        <v>0</v>
      </c>
      <c r="K12" s="888">
        <f t="shared" si="0"/>
        <v>0</v>
      </c>
    </row>
    <row r="13" spans="1:11">
      <c r="A13" s="1224" t="s">
        <v>839</v>
      </c>
      <c r="B13" s="690" t="str">
        <f>"Хэвийн авлага "</f>
        <v xml:space="preserve">Хэвийн авлага </v>
      </c>
      <c r="C13" s="893">
        <v>0.2</v>
      </c>
      <c r="D13" s="885">
        <f>IF((i.04144a!$C$55)&lt;=0.2*(i.04101!$E$47-i.04101!E40-i.04101!E41),(i.04144a!$C$55),0.2*(i.04101!$E$47-i.04101!E40-i.04101!E41))</f>
        <v>0</v>
      </c>
      <c r="E13" s="885">
        <f>(i.04144a!$C$55)-D13</f>
        <v>0</v>
      </c>
      <c r="F13" s="886">
        <v>0.2</v>
      </c>
      <c r="G13" s="887">
        <f>i.04144a!D55</f>
        <v>0</v>
      </c>
      <c r="H13" s="887">
        <f>i.04144a!E55</f>
        <v>0</v>
      </c>
      <c r="I13" s="886">
        <v>0</v>
      </c>
      <c r="J13" s="887">
        <f>D13*0</f>
        <v>0</v>
      </c>
      <c r="K13" s="888">
        <f t="shared" si="0"/>
        <v>0</v>
      </c>
    </row>
    <row r="14" spans="1:11">
      <c r="A14" s="1224"/>
      <c r="B14" s="690" t="str">
        <f>"Хугацаа хэтэрсэн авлага\ "</f>
        <v xml:space="preserve">Хугацаа хэтэрсэн авлага\ </v>
      </c>
      <c r="C14" s="893">
        <v>0.15</v>
      </c>
      <c r="D14" s="885">
        <f>IF((i.04144a!$C$62)&lt;=0.15*(i.04101!$E$47-i.04101!E41-i.04101!E42),(i.04144a!$C$62),0.15*(i.04101!$E$47-i.04101!E41-i.04101!E42))</f>
        <v>0</v>
      </c>
      <c r="E14" s="885">
        <f>(i.04144a!$C$62)-D14</f>
        <v>0</v>
      </c>
      <c r="F14" s="886">
        <v>0.15</v>
      </c>
      <c r="G14" s="887">
        <f>i.04144a!D62</f>
        <v>0</v>
      </c>
      <c r="H14" s="887">
        <f>i.04144a!E62</f>
        <v>0</v>
      </c>
      <c r="I14" s="886">
        <v>0.25</v>
      </c>
      <c r="J14" s="887">
        <f>D14*0.25</f>
        <v>0</v>
      </c>
      <c r="K14" s="888">
        <f t="shared" si="0"/>
        <v>0</v>
      </c>
    </row>
    <row r="15" spans="1:11">
      <c r="A15" s="1224"/>
      <c r="B15" s="690" t="str">
        <f>"Хэвийн бус авлага "</f>
        <v xml:space="preserve">Хэвийн бус авлага </v>
      </c>
      <c r="C15" s="893">
        <v>0.1</v>
      </c>
      <c r="D15" s="885">
        <f>IF((i.04144a!$C$69)&lt;=0.1*(i.04101!$E$47-i.04101!E42-i.04101!E43),(i.04144a!$C$69),0.1*(i.04101!$E$47-i.04101!E42-i.04101!E43))</f>
        <v>0</v>
      </c>
      <c r="E15" s="885">
        <f>(i.04144a!$C$69)-D15</f>
        <v>0</v>
      </c>
      <c r="F15" s="886">
        <v>0.1</v>
      </c>
      <c r="G15" s="887">
        <f>i.04144a!D69</f>
        <v>0</v>
      </c>
      <c r="H15" s="887">
        <f>i.04144a!E69</f>
        <v>0</v>
      </c>
      <c r="I15" s="886">
        <v>0.5</v>
      </c>
      <c r="J15" s="887">
        <f>D15*0.5</f>
        <v>0</v>
      </c>
      <c r="K15" s="888">
        <f t="shared" si="0"/>
        <v>0</v>
      </c>
    </row>
    <row r="16" spans="1:11">
      <c r="A16" s="1224"/>
      <c r="B16" s="690" t="str">
        <f>"Эргэлзээтэй авлага "</f>
        <v xml:space="preserve">Эргэлзээтэй авлага </v>
      </c>
      <c r="C16" s="893">
        <v>0</v>
      </c>
      <c r="D16" s="885">
        <f>IF((i.04144a!$C$76)&lt;=0*(i.04101!$E$47-i.04101!E43-i.04101!E44),(i.04144a!$C$76),0*(i.04101!$E$47-i.04101!E43-i.04101!E44))</f>
        <v>0</v>
      </c>
      <c r="E16" s="885">
        <f>(i.04144a!$C$76)-D16</f>
        <v>0</v>
      </c>
      <c r="F16" s="886">
        <v>0</v>
      </c>
      <c r="G16" s="887">
        <f>i.04144a!D76</f>
        <v>0</v>
      </c>
      <c r="H16" s="887">
        <f>i.04144a!E76</f>
        <v>0</v>
      </c>
      <c r="I16" s="886">
        <v>1</v>
      </c>
      <c r="J16" s="887">
        <f>D16*1</f>
        <v>0</v>
      </c>
      <c r="K16" s="888">
        <f>+E16</f>
        <v>0</v>
      </c>
    </row>
    <row r="17" spans="1:11">
      <c r="A17" s="1224"/>
      <c r="B17" s="690" t="str">
        <f>"Муу авлага "</f>
        <v xml:space="preserve">Муу авлага </v>
      </c>
      <c r="C17" s="893">
        <v>0</v>
      </c>
      <c r="D17" s="885">
        <f>IF((i.04144a!$C$83)&lt;=0*(i.04101!$E$47-i.04101!E44-i.04101!E45),(i.04144a!$C$83),0*(i.04101!$E$47-i.04101!E44-i.04101!E45))</f>
        <v>0</v>
      </c>
      <c r="E17" s="885">
        <f>(i.04144a!$C$83)-D17</f>
        <v>0</v>
      </c>
      <c r="F17" s="886">
        <v>0</v>
      </c>
      <c r="G17" s="887">
        <f>i.04144a!D83</f>
        <v>0</v>
      </c>
      <c r="H17" s="887">
        <f>i.04144a!E83</f>
        <v>0</v>
      </c>
      <c r="I17" s="886">
        <v>1</v>
      </c>
      <c r="J17" s="887">
        <f>D17*1</f>
        <v>0</v>
      </c>
      <c r="K17" s="888">
        <f>+E17</f>
        <v>0</v>
      </c>
    </row>
    <row r="18" spans="1:11" ht="12" customHeight="1">
      <c r="A18" s="689" t="s">
        <v>840</v>
      </c>
      <c r="B18" s="690" t="str">
        <f>"Банкны хадгаламжийн сертификат "</f>
        <v xml:space="preserve">Банкны хадгаламжийн сертификат </v>
      </c>
      <c r="C18" s="893">
        <v>0.5</v>
      </c>
      <c r="D18" s="885">
        <f>IF((i.04144a!$C$90)&lt;=0.5*(i.04101!$E$47-i.04101!E40-i.04101!E41),(i.04144a!$C$90),0.5*(i.04101!$E$47-i.04101!E40-i.04101!E41))</f>
        <v>0</v>
      </c>
      <c r="E18" s="885">
        <f>(i.04144a!$C$90)-D18</f>
        <v>0</v>
      </c>
      <c r="F18" s="886">
        <v>0.2</v>
      </c>
      <c r="G18" s="887">
        <f>i.04144a!D90</f>
        <v>0</v>
      </c>
      <c r="H18" s="887">
        <f>i.04144a!E90</f>
        <v>0</v>
      </c>
      <c r="I18" s="894">
        <v>0</v>
      </c>
      <c r="J18" s="887">
        <f>D18*0</f>
        <v>0</v>
      </c>
      <c r="K18" s="888">
        <f t="shared" si="0"/>
        <v>0</v>
      </c>
    </row>
    <row r="19" spans="1:11" ht="12" customHeight="1">
      <c r="A19" s="691" t="s">
        <v>841</v>
      </c>
      <c r="B19" s="690" t="str">
        <f>"Засгийн газраас гаргасан өрийн хэрэгсэл"</f>
        <v>Засгийн газраас гаргасан өрийн хэрэгсэл</v>
      </c>
      <c r="C19" s="893">
        <v>1</v>
      </c>
      <c r="D19" s="885">
        <f>IF((i.04144a!$C$102)&lt;=1*(i.04101!$E$47-i.04101!E40-i.04101!E41),(i.04144a!$C$102),1*(i.04101!$E$47-i.04101!E40-i.04101!E41))</f>
        <v>0</v>
      </c>
      <c r="E19" s="885">
        <f>(i.04144a!$C$102)-D19</f>
        <v>0</v>
      </c>
      <c r="F19" s="886">
        <v>1</v>
      </c>
      <c r="G19" s="887">
        <f>i.04144a!D102</f>
        <v>0</v>
      </c>
      <c r="H19" s="887">
        <f>i.04144a!E102</f>
        <v>0</v>
      </c>
      <c r="I19" s="886">
        <v>0</v>
      </c>
      <c r="J19" s="887">
        <f>D19*0</f>
        <v>0</v>
      </c>
      <c r="K19" s="888">
        <f t="shared" si="0"/>
        <v>0</v>
      </c>
    </row>
    <row r="20" spans="1:11" ht="12" customHeight="1">
      <c r="A20" s="691" t="s">
        <v>842</v>
      </c>
      <c r="B20" s="690" t="str">
        <f>"Төв банкны үнэт цаас "</f>
        <v xml:space="preserve">Төв банкны үнэт цаас </v>
      </c>
      <c r="C20" s="893">
        <v>0.6</v>
      </c>
      <c r="D20" s="885">
        <f>IF((i.04144a!$C$103)&lt;=0.6*(i.04101!$E$47-i.04101!E40-i.04101!E41),(i.04144a!$C$103),0.6*(i.04101!$E$47-i.04101!E40-i.04101!E41))</f>
        <v>0</v>
      </c>
      <c r="E20" s="885">
        <f>(i.04144a!$C$103)-D20</f>
        <v>0</v>
      </c>
      <c r="F20" s="886">
        <v>0.6</v>
      </c>
      <c r="G20" s="887">
        <f>i.04144a!D103</f>
        <v>0</v>
      </c>
      <c r="H20" s="887">
        <f>i.04144a!E103</f>
        <v>0</v>
      </c>
      <c r="I20" s="886">
        <v>0</v>
      </c>
      <c r="J20" s="887">
        <f>D20*0</f>
        <v>0</v>
      </c>
      <c r="K20" s="888">
        <f t="shared" si="0"/>
        <v>0</v>
      </c>
    </row>
    <row r="21" spans="1:11">
      <c r="A21" s="1227" t="s">
        <v>843</v>
      </c>
      <c r="B21" s="1221" t="str">
        <f>"Хөрөнгөөр баталгаажсан үнэт цаас "</f>
        <v xml:space="preserve">Хөрөнгөөр баталгаажсан үнэт цаас </v>
      </c>
      <c r="C21" s="893">
        <v>0.6</v>
      </c>
      <c r="D21" s="885">
        <f>IF((i.04144a!$C$104)&lt;=0.6*(i.04101!$E$47-i.04101!E40-i.04101!E41),(i.04144a!$C$104),0.6*(i.04101!$E$47-i.04101!E40-i.04101!E41))</f>
        <v>0</v>
      </c>
      <c r="E21" s="885">
        <f>(i.04144a!$C$104)-D21</f>
        <v>0</v>
      </c>
      <c r="F21" s="886">
        <v>0.2</v>
      </c>
      <c r="G21" s="887">
        <f>i.04144a!D104</f>
        <v>0</v>
      </c>
      <c r="H21" s="895">
        <f>i.04144a!E104</f>
        <v>0</v>
      </c>
      <c r="I21" s="886">
        <v>0</v>
      </c>
      <c r="J21" s="897">
        <v>1</v>
      </c>
      <c r="K21" s="888">
        <f>J21+J22+J23+J24+J25+H21+E21</f>
        <v>5</v>
      </c>
    </row>
    <row r="22" spans="1:11">
      <c r="A22" s="1227"/>
      <c r="B22" s="1221"/>
      <c r="C22" s="893"/>
      <c r="D22" s="885"/>
      <c r="E22" s="885"/>
      <c r="F22" s="886"/>
      <c r="G22" s="887"/>
      <c r="H22" s="895"/>
      <c r="I22" s="886">
        <v>0.25</v>
      </c>
      <c r="J22" s="897">
        <v>1</v>
      </c>
      <c r="K22" s="887"/>
    </row>
    <row r="23" spans="1:11">
      <c r="A23" s="1227"/>
      <c r="B23" s="1221"/>
      <c r="C23" s="893"/>
      <c r="D23" s="885"/>
      <c r="E23" s="885"/>
      <c r="F23" s="886"/>
      <c r="G23" s="887"/>
      <c r="H23" s="895"/>
      <c r="I23" s="886">
        <v>0.5</v>
      </c>
      <c r="J23" s="897">
        <v>1</v>
      </c>
      <c r="K23" s="888" t="str">
        <f>""</f>
        <v/>
      </c>
    </row>
    <row r="24" spans="1:11">
      <c r="A24" s="1227"/>
      <c r="B24" s="1221"/>
      <c r="C24" s="893"/>
      <c r="D24" s="885"/>
      <c r="E24" s="885"/>
      <c r="F24" s="886"/>
      <c r="G24" s="887"/>
      <c r="H24" s="895"/>
      <c r="I24" s="886">
        <v>0.75</v>
      </c>
      <c r="J24" s="897">
        <v>1</v>
      </c>
      <c r="K24" s="888" t="str">
        <f>""</f>
        <v/>
      </c>
    </row>
    <row r="25" spans="1:11">
      <c r="A25" s="1227"/>
      <c r="B25" s="1221"/>
      <c r="C25" s="893"/>
      <c r="D25" s="885"/>
      <c r="E25" s="885"/>
      <c r="F25" s="886"/>
      <c r="G25" s="887"/>
      <c r="H25" s="895"/>
      <c r="I25" s="886">
        <v>1</v>
      </c>
      <c r="J25" s="897">
        <v>1</v>
      </c>
      <c r="K25" s="888" t="str">
        <f>""</f>
        <v/>
      </c>
    </row>
    <row r="26" spans="1:11">
      <c r="A26" s="1220" t="s">
        <v>844</v>
      </c>
      <c r="B26" s="1217" t="str">
        <f>"Аймаг нийслэлийн гаргасан өрийн хэрэгсэл"</f>
        <v>Аймаг нийслэлийн гаргасан өрийн хэрэгсэл</v>
      </c>
      <c r="C26" s="1225">
        <v>0.6</v>
      </c>
      <c r="D26" s="885">
        <f>IF((i.04144a!$C$111)&lt;=0.6*(i.04101!$E$47-i.04101!E40-i.04101!E41),(i.04144a!$C$111),0.6*(i.04101!$E$47-i.04101!E40-i.04101!E41))</f>
        <v>0</v>
      </c>
      <c r="E26" s="885">
        <f>(i.04144a!$C$111)-D26</f>
        <v>0</v>
      </c>
      <c r="F26" s="1226">
        <v>0.2</v>
      </c>
      <c r="G26" s="887">
        <f>i.04144a!D111</f>
        <v>0</v>
      </c>
      <c r="H26" s="885">
        <f>i.04144a!E111</f>
        <v>0</v>
      </c>
      <c r="I26" s="886">
        <v>0</v>
      </c>
      <c r="J26" s="897">
        <v>1</v>
      </c>
      <c r="K26" s="888">
        <f>J26+J27+J28+J29+J30+H26+E26</f>
        <v>5</v>
      </c>
    </row>
    <row r="27" spans="1:11">
      <c r="A27" s="1220"/>
      <c r="B27" s="1218"/>
      <c r="C27" s="1225"/>
      <c r="D27" s="885" t="str">
        <f>""</f>
        <v/>
      </c>
      <c r="E27" s="885" t="str">
        <f>""</f>
        <v/>
      </c>
      <c r="F27" s="1226"/>
      <c r="G27" s="887" t="str">
        <f>""</f>
        <v/>
      </c>
      <c r="H27" s="885" t="str">
        <f>""</f>
        <v/>
      </c>
      <c r="I27" s="886">
        <v>0.25</v>
      </c>
      <c r="J27" s="897">
        <v>1</v>
      </c>
      <c r="K27" s="888" t="str">
        <f>""</f>
        <v/>
      </c>
    </row>
    <row r="28" spans="1:11">
      <c r="A28" s="1220"/>
      <c r="B28" s="1218"/>
      <c r="C28" s="1225"/>
      <c r="D28" s="885" t="str">
        <f>""</f>
        <v/>
      </c>
      <c r="E28" s="885" t="str">
        <f>""</f>
        <v/>
      </c>
      <c r="F28" s="1226"/>
      <c r="G28" s="887" t="str">
        <f>""</f>
        <v/>
      </c>
      <c r="H28" s="885" t="str">
        <f>""</f>
        <v/>
      </c>
      <c r="I28" s="886">
        <v>0.5</v>
      </c>
      <c r="J28" s="897">
        <v>1</v>
      </c>
      <c r="K28" s="888" t="str">
        <f>""</f>
        <v/>
      </c>
    </row>
    <row r="29" spans="1:11">
      <c r="A29" s="1220"/>
      <c r="B29" s="1218"/>
      <c r="C29" s="1225"/>
      <c r="D29" s="885" t="str">
        <f>""</f>
        <v/>
      </c>
      <c r="E29" s="885" t="str">
        <f>""</f>
        <v/>
      </c>
      <c r="F29" s="1226"/>
      <c r="G29" s="887" t="str">
        <f>""</f>
        <v/>
      </c>
      <c r="H29" s="885" t="str">
        <f>""</f>
        <v/>
      </c>
      <c r="I29" s="886">
        <v>0.75</v>
      </c>
      <c r="J29" s="897">
        <v>1</v>
      </c>
      <c r="K29" s="888" t="str">
        <f>""</f>
        <v/>
      </c>
    </row>
    <row r="30" spans="1:11">
      <c r="A30" s="1220"/>
      <c r="B30" s="1219"/>
      <c r="C30" s="1225"/>
      <c r="D30" s="885" t="str">
        <f>""</f>
        <v/>
      </c>
      <c r="E30" s="885" t="str">
        <f>""</f>
        <v/>
      </c>
      <c r="F30" s="1226"/>
      <c r="G30" s="887" t="str">
        <f>""</f>
        <v/>
      </c>
      <c r="H30" s="885" t="str">
        <f>""</f>
        <v/>
      </c>
      <c r="I30" s="886">
        <v>1</v>
      </c>
      <c r="J30" s="897">
        <v>1</v>
      </c>
      <c r="K30" s="888" t="str">
        <f>""</f>
        <v/>
      </c>
    </row>
    <row r="31" spans="1:11">
      <c r="A31" s="1224" t="s">
        <v>845</v>
      </c>
      <c r="B31" s="1217" t="str">
        <f>"Компанийн өрийн хэрэгсэл  "</f>
        <v xml:space="preserve">Компанийн өрийн хэрэгсэл  </v>
      </c>
      <c r="C31" s="1225">
        <v>0.2</v>
      </c>
      <c r="D31" s="885">
        <f>IF((i.04144a!$C$123)&lt;=0.2*(i.04101!$E$47-i.04101!E40-i.04101!E41),(i.04144a!$C$123),0.2*(i.04101!$E$47-i.04101!E40-i.04101!E41))</f>
        <v>0</v>
      </c>
      <c r="E31" s="885">
        <f>(i.04144a!$C$123)-D31</f>
        <v>0</v>
      </c>
      <c r="F31" s="1226">
        <v>0.1</v>
      </c>
      <c r="G31" s="887">
        <f>i.04144a!D123</f>
        <v>0</v>
      </c>
      <c r="H31" s="885">
        <f>i.04144a!E123</f>
        <v>0</v>
      </c>
      <c r="I31" s="886">
        <v>0</v>
      </c>
      <c r="J31" s="897">
        <v>1</v>
      </c>
      <c r="K31" s="888">
        <f>J31+J32+J33+J34+J35+H31+E31</f>
        <v>5</v>
      </c>
    </row>
    <row r="32" spans="1:11">
      <c r="A32" s="1224"/>
      <c r="B32" s="1218"/>
      <c r="C32" s="1225"/>
      <c r="D32" s="885" t="str">
        <f>""</f>
        <v/>
      </c>
      <c r="E32" s="885" t="str">
        <f>""</f>
        <v/>
      </c>
      <c r="F32" s="1226"/>
      <c r="G32" s="887" t="str">
        <f>""</f>
        <v/>
      </c>
      <c r="H32" s="885" t="str">
        <f>""</f>
        <v/>
      </c>
      <c r="I32" s="886">
        <v>0.25</v>
      </c>
      <c r="J32" s="897">
        <v>1</v>
      </c>
      <c r="K32" s="888" t="str">
        <f>""</f>
        <v/>
      </c>
    </row>
    <row r="33" spans="1:11">
      <c r="A33" s="1224"/>
      <c r="B33" s="1218"/>
      <c r="C33" s="1225"/>
      <c r="D33" s="885" t="str">
        <f>""</f>
        <v/>
      </c>
      <c r="E33" s="885" t="str">
        <f>""</f>
        <v/>
      </c>
      <c r="F33" s="1226"/>
      <c r="G33" s="887" t="str">
        <f>""</f>
        <v/>
      </c>
      <c r="H33" s="885" t="str">
        <f>""</f>
        <v/>
      </c>
      <c r="I33" s="886">
        <v>0.5</v>
      </c>
      <c r="J33" s="897">
        <v>1</v>
      </c>
      <c r="K33" s="888" t="str">
        <f>""</f>
        <v/>
      </c>
    </row>
    <row r="34" spans="1:11">
      <c r="A34" s="1224"/>
      <c r="B34" s="1218"/>
      <c r="C34" s="1225"/>
      <c r="D34" s="885" t="str">
        <f>""</f>
        <v/>
      </c>
      <c r="E34" s="885" t="str">
        <f>""</f>
        <v/>
      </c>
      <c r="F34" s="1226"/>
      <c r="G34" s="887" t="str">
        <f>""</f>
        <v/>
      </c>
      <c r="H34" s="885" t="str">
        <f>""</f>
        <v/>
      </c>
      <c r="I34" s="886">
        <v>0.75</v>
      </c>
      <c r="J34" s="897">
        <v>1</v>
      </c>
      <c r="K34" s="888" t="str">
        <f>""</f>
        <v/>
      </c>
    </row>
    <row r="35" spans="1:11">
      <c r="A35" s="1224"/>
      <c r="B35" s="1219"/>
      <c r="C35" s="1225"/>
      <c r="D35" s="885" t="str">
        <f>""</f>
        <v/>
      </c>
      <c r="E35" s="885" t="str">
        <f>""</f>
        <v/>
      </c>
      <c r="F35" s="1226"/>
      <c r="G35" s="887" t="str">
        <f>""</f>
        <v/>
      </c>
      <c r="H35" s="885" t="str">
        <f>""</f>
        <v/>
      </c>
      <c r="I35" s="886">
        <v>1</v>
      </c>
      <c r="J35" s="897">
        <v>1</v>
      </c>
      <c r="K35" s="888" t="str">
        <f>""</f>
        <v/>
      </c>
    </row>
    <row r="36" spans="1:11" ht="23.25" customHeight="1">
      <c r="A36" s="689" t="s">
        <v>846</v>
      </c>
      <c r="B36" s="690" t="str">
        <f>"Монголын хөрөнгийн биржийн хувьцаат компанийн хувьцаа – 1 ангилал "</f>
        <v xml:space="preserve">Монголын хөрөнгийн биржийн хувьцаат компанийн хувьцаа – 1 ангилал </v>
      </c>
      <c r="C36" s="893">
        <v>0.1</v>
      </c>
      <c r="D36" s="885">
        <f>IF((i.04144a!$C$135)&lt;=0.1*(i.04101!$E$47-i.04101!E40-i.04101!E41),(i.04144a!$C$135),0.1*(i.04101!$E$47-i.04101!E40-i.04101!E41))</f>
        <v>0</v>
      </c>
      <c r="E36" s="885">
        <f>(i.04144a!$C$135)-D36</f>
        <v>0</v>
      </c>
      <c r="F36" s="886">
        <v>0.05</v>
      </c>
      <c r="G36" s="887">
        <f>i.04144a!D135</f>
        <v>0</v>
      </c>
      <c r="H36" s="887">
        <f>i.04144a!E135</f>
        <v>0</v>
      </c>
      <c r="I36" s="886">
        <v>0.2</v>
      </c>
      <c r="J36" s="887">
        <f>D36*0.2</f>
        <v>0</v>
      </c>
      <c r="K36" s="888">
        <f t="shared" ref="K36:K49" si="1">J36+H36+E36</f>
        <v>0</v>
      </c>
    </row>
    <row r="37" spans="1:11" ht="23.25" customHeight="1">
      <c r="A37" s="689" t="s">
        <v>847</v>
      </c>
      <c r="B37" s="690" t="str">
        <f>"Монголын хөрөнгийн биржийн хувьцаат компанийн хувьцаа – 2 ангилал "</f>
        <v xml:space="preserve">Монголын хөрөнгийн биржийн хувьцаат компанийн хувьцаа – 2 ангилал </v>
      </c>
      <c r="C37" s="893">
        <v>0.05</v>
      </c>
      <c r="D37" s="885">
        <f>IF((i.04144a!$C$147)&lt;=0.05*(i.04101!$E$47-i.04101!E40-i.04101!E41),(i.04144a!$C$147),0.05*(i.04101!$E$47-i.04101!E40-i.04101!E41))</f>
        <v>0</v>
      </c>
      <c r="E37" s="885">
        <f>(i.04144a!$C$147)-D37</f>
        <v>0</v>
      </c>
      <c r="F37" s="886">
        <v>0.05</v>
      </c>
      <c r="G37" s="887">
        <f>i.04144a!D147</f>
        <v>0</v>
      </c>
      <c r="H37" s="887">
        <f>i.04144a!E147</f>
        <v>0</v>
      </c>
      <c r="I37" s="886">
        <v>0.3</v>
      </c>
      <c r="J37" s="887">
        <f>D37*0.3</f>
        <v>0</v>
      </c>
      <c r="K37" s="888">
        <f t="shared" si="1"/>
        <v>0</v>
      </c>
    </row>
    <row r="38" spans="1:11" ht="13.5" customHeight="1">
      <c r="A38" s="689" t="s">
        <v>848</v>
      </c>
      <c r="B38" s="690" t="str">
        <f>"Хөрөнгө оруулалтын нээлттэй сан"</f>
        <v>Хөрөнгө оруулалтын нээлттэй сан</v>
      </c>
      <c r="C38" s="893">
        <v>0.2</v>
      </c>
      <c r="D38" s="885">
        <f>IF((i.04144a!$C$159)&lt;=0.2*(i.04101!$E$47-i.04101!E40-i.04101!E41),(i.04144a!$C$159),0.2*(i.04101!$E$47-i.04101!E40-i.04101!E41))</f>
        <v>0</v>
      </c>
      <c r="E38" s="885">
        <f>(i.04144a!$C$159)-D38</f>
        <v>0</v>
      </c>
      <c r="F38" s="886">
        <v>0.1</v>
      </c>
      <c r="G38" s="887">
        <f>i.04144a!D159</f>
        <v>0</v>
      </c>
      <c r="H38" s="887">
        <f>i.04144a!E159</f>
        <v>0</v>
      </c>
      <c r="I38" s="886">
        <v>0.05</v>
      </c>
      <c r="J38" s="887">
        <f>D38*0.05</f>
        <v>0</v>
      </c>
      <c r="K38" s="888">
        <f t="shared" si="1"/>
        <v>0</v>
      </c>
    </row>
    <row r="39" spans="1:11" ht="13.5" customHeight="1">
      <c r="A39" s="689" t="s">
        <v>849</v>
      </c>
      <c r="B39" s="690" t="str">
        <f>"Хөрөнгө оруулалтын хаалттай сан "</f>
        <v xml:space="preserve">Хөрөнгө оруулалтын хаалттай сан </v>
      </c>
      <c r="C39" s="893">
        <v>0.2</v>
      </c>
      <c r="D39" s="885">
        <f>IF((i.04144a!$C$171)&lt;=0.2*(i.04101!$E$47-i.04101!E40-i.04101!E41),(i.04144a!$C$171),0.2*(i.04101!$E$47-i.04101!E40-i.04101!E41))</f>
        <v>0</v>
      </c>
      <c r="E39" s="885">
        <f>(i.04144a!$C$171)-D39</f>
        <v>0</v>
      </c>
      <c r="F39" s="886">
        <v>0.1</v>
      </c>
      <c r="G39" s="887">
        <f>i.04144a!D171</f>
        <v>0</v>
      </c>
      <c r="H39" s="887">
        <f>i.04144a!E171</f>
        <v>0</v>
      </c>
      <c r="I39" s="886">
        <v>0.1</v>
      </c>
      <c r="J39" s="887">
        <f>D39*0.1</f>
        <v>0</v>
      </c>
      <c r="K39" s="888">
        <f t="shared" si="1"/>
        <v>0</v>
      </c>
    </row>
    <row r="40" spans="1:11" ht="21.75" customHeight="1">
      <c r="A40" s="689" t="s">
        <v>850</v>
      </c>
      <c r="B40" s="690" t="str">
        <f>"Гадаадын Засгийн газраас гаргасан өрийн хэрэгсэл "</f>
        <v xml:space="preserve">Гадаадын Засгийн газраас гаргасан өрийн хэрэгсэл </v>
      </c>
      <c r="C40" s="893">
        <v>0.02</v>
      </c>
      <c r="D40" s="885">
        <f>IF((i.04144a!$C$183)&lt;=0.02*(i.04101!$E$47-i.04101!E40-i.04101!E41),(i.04144a!$C$183),0.02*(i.04101!$E$47-i.04101!E40-i.04101!E41))</f>
        <v>0</v>
      </c>
      <c r="E40" s="885">
        <f>(i.04144a!$C$183)-D40</f>
        <v>0</v>
      </c>
      <c r="F40" s="886">
        <v>0.01</v>
      </c>
      <c r="G40" s="887">
        <f>i.04144a!D183</f>
        <v>0</v>
      </c>
      <c r="H40" s="887">
        <f>i.04144a!E183</f>
        <v>0</v>
      </c>
      <c r="I40" s="896">
        <v>0</v>
      </c>
      <c r="J40" s="887">
        <f>D40*0</f>
        <v>0</v>
      </c>
      <c r="K40" s="888">
        <f t="shared" si="1"/>
        <v>0</v>
      </c>
    </row>
    <row r="41" spans="1:11" ht="17.25" customHeight="1">
      <c r="A41" s="689" t="s">
        <v>851</v>
      </c>
      <c r="B41" s="690" t="str">
        <f>"Гадаадын Төв банкны үнэт цаас "</f>
        <v xml:space="preserve">Гадаадын Төв банкны үнэт цаас </v>
      </c>
      <c r="C41" s="893">
        <v>0.02</v>
      </c>
      <c r="D41" s="885">
        <f>IF((i.04144a!$C$195)&lt;=0.02*(i.04101!$E$47-i.04101!E40-i.04101!E41),(i.04144a!$C$195),0.02*(i.04101!$E$47-i.04101!E40-i.04101!E41))</f>
        <v>0</v>
      </c>
      <c r="E41" s="885">
        <f>(i.04144a!$C$195)-D41</f>
        <v>0</v>
      </c>
      <c r="F41" s="886">
        <v>0.01</v>
      </c>
      <c r="G41" s="887">
        <f>i.04144a!D195</f>
        <v>0</v>
      </c>
      <c r="H41" s="887">
        <f>i.04144a!E195</f>
        <v>0</v>
      </c>
      <c r="I41" s="896">
        <v>0</v>
      </c>
      <c r="J41" s="887">
        <f>D41*0</f>
        <v>0</v>
      </c>
      <c r="K41" s="888">
        <f t="shared" si="1"/>
        <v>0</v>
      </c>
    </row>
    <row r="42" spans="1:11" ht="17.25" customHeight="1">
      <c r="A42" s="689" t="s">
        <v>852</v>
      </c>
      <c r="B42" s="690" t="str">
        <f>"Гадаадын компанийн өрийн хэрэгсэл "</f>
        <v xml:space="preserve">Гадаадын компанийн өрийн хэрэгсэл </v>
      </c>
      <c r="C42" s="893">
        <v>0.01</v>
      </c>
      <c r="D42" s="885">
        <f>IF((i.04144a!$C$207)&lt;=0.01*(i.04101!$E$47-i.04101!E40-i.04101!E41),(i.04144a!$C$207),0.01*(i.04101!$E$47-i.04101!E40-i.04101!E41))</f>
        <v>0</v>
      </c>
      <c r="E42" s="885">
        <f>(i.04144a!$C$207)-D42</f>
        <v>0</v>
      </c>
      <c r="F42" s="886" t="s">
        <v>796</v>
      </c>
      <c r="G42" s="887">
        <f>i.04144a!D207</f>
        <v>0</v>
      </c>
      <c r="H42" s="887">
        <f>i.04144a!E207</f>
        <v>0</v>
      </c>
      <c r="I42" s="886">
        <v>0.3</v>
      </c>
      <c r="J42" s="887">
        <f>D42*0.3</f>
        <v>0</v>
      </c>
      <c r="K42" s="888">
        <f t="shared" si="1"/>
        <v>0</v>
      </c>
    </row>
    <row r="43" spans="1:11" ht="17.25" customHeight="1">
      <c r="A43" s="689" t="s">
        <v>853</v>
      </c>
      <c r="B43" s="690" t="str">
        <f>"Гадаадын компанийн хувьцаа "</f>
        <v xml:space="preserve">Гадаадын компанийн хувьцаа </v>
      </c>
      <c r="C43" s="893">
        <v>0.01</v>
      </c>
      <c r="D43" s="885">
        <f>IF((i.04144a!$C$219)&lt;=0.01*(i.04101!$E$47-i.04101!E40-i.04101!E41),(i.04144a!$C$219),0.01*(i.04101!$E$47-i.04101!E40-i.04101!E41))</f>
        <v>0</v>
      </c>
      <c r="E43" s="885">
        <f>(i.04144a!$C$219)-D43</f>
        <v>0</v>
      </c>
      <c r="F43" s="886" t="s">
        <v>796</v>
      </c>
      <c r="G43" s="887">
        <f>i.04144a!D219</f>
        <v>0</v>
      </c>
      <c r="H43" s="887">
        <f>i.04144a!E219</f>
        <v>0</v>
      </c>
      <c r="I43" s="886">
        <v>0.5</v>
      </c>
      <c r="J43" s="887">
        <f>D43*0.5</f>
        <v>0</v>
      </c>
      <c r="K43" s="888">
        <f t="shared" si="1"/>
        <v>0</v>
      </c>
    </row>
    <row r="44" spans="1:11" ht="15.75" customHeight="1">
      <c r="A44" s="692" t="s">
        <v>854</v>
      </c>
      <c r="B44" s="690" t="str">
        <f>"Давхар даатгалын хойшлогдсон хураамж "</f>
        <v xml:space="preserve">Давхар даатгалын хойшлогдсон хураамж </v>
      </c>
      <c r="C44" s="893">
        <v>1</v>
      </c>
      <c r="D44" s="885">
        <f>IF((i.04144a!$C$231)&lt;=1*(i.04101!$E$47),(i.04144a!$C$231),1*(i.04101!$E$47))</f>
        <v>0</v>
      </c>
      <c r="E44" s="885">
        <f>(i.04144a!$C$231)-D44</f>
        <v>0</v>
      </c>
      <c r="F44" s="886">
        <v>1</v>
      </c>
      <c r="G44" s="887">
        <f>i.04144a!D231</f>
        <v>0</v>
      </c>
      <c r="H44" s="887">
        <f>i.04144a!E231</f>
        <v>0</v>
      </c>
      <c r="I44" s="886">
        <v>0</v>
      </c>
      <c r="J44" s="887">
        <f>D44*0</f>
        <v>0</v>
      </c>
      <c r="K44" s="888">
        <f t="shared" si="1"/>
        <v>0</v>
      </c>
    </row>
    <row r="45" spans="1:11" ht="21.75" customHeight="1">
      <c r="A45" s="692" t="s">
        <v>855</v>
      </c>
      <c r="B45" s="690" t="str">
        <f>"Нөхөн төлбөрийн нөөцийн давхар даатгагчид ногдох хэсэг "</f>
        <v xml:space="preserve">Нөхөн төлбөрийн нөөцийн давхар даатгагчид ногдох хэсэг </v>
      </c>
      <c r="C45" s="893">
        <v>1</v>
      </c>
      <c r="D45" s="885">
        <f>IF((i.04144a!$C$243)&lt;=1*(i.04101!$E$47),(i.04144a!$C$243),1*(i.04101!$E$47))</f>
        <v>0</v>
      </c>
      <c r="E45" s="885">
        <f>(i.04144a!$C$243)-D45</f>
        <v>0</v>
      </c>
      <c r="F45" s="886">
        <v>1</v>
      </c>
      <c r="G45" s="887">
        <f>i.04144a!D243</f>
        <v>0</v>
      </c>
      <c r="H45" s="887">
        <f>i.04144a!E243</f>
        <v>0</v>
      </c>
      <c r="I45" s="886">
        <v>0</v>
      </c>
      <c r="J45" s="887">
        <f>D45*0</f>
        <v>0</v>
      </c>
      <c r="K45" s="888">
        <f t="shared" si="1"/>
        <v>0</v>
      </c>
    </row>
    <row r="46" spans="1:11" ht="21.75" customHeight="1">
      <c r="A46" s="689" t="s">
        <v>856</v>
      </c>
      <c r="B46" s="690" t="str">
        <f>"Даатгалын орлогын шимтгэлийн хойшлогдсон зардал "</f>
        <v xml:space="preserve">Даатгалын орлогын шимтгэлийн хойшлогдсон зардал </v>
      </c>
      <c r="C46" s="893">
        <v>0.1</v>
      </c>
      <c r="D46" s="885">
        <f>IF((i.04144a!$C$255)&lt;=0.1*(i.04101!$E$47-i.04101!E40-i.04101!E41),(i.04144a!$C$255),0.1*(i.04101!$E$47-i.04101!E40-i.04101!E41))</f>
        <v>0</v>
      </c>
      <c r="E46" s="885">
        <f>(i.04144a!$C$255)-D46</f>
        <v>0</v>
      </c>
      <c r="F46" s="886">
        <v>0.05</v>
      </c>
      <c r="G46" s="887">
        <f>i.04144a!D255</f>
        <v>0</v>
      </c>
      <c r="H46" s="887">
        <f>i.04144a!E255</f>
        <v>0</v>
      </c>
      <c r="I46" s="886">
        <v>0.8</v>
      </c>
      <c r="J46" s="887">
        <f>D46*0.8</f>
        <v>0</v>
      </c>
      <c r="K46" s="888">
        <f t="shared" si="1"/>
        <v>0</v>
      </c>
    </row>
    <row r="47" spans="1:11">
      <c r="A47" s="1220" t="s">
        <v>857</v>
      </c>
      <c r="B47" s="690" t="str">
        <f>"Хэвийн өмчлөх бусад хөрөнгө "</f>
        <v xml:space="preserve">Хэвийн өмчлөх бусад хөрөнгө </v>
      </c>
      <c r="C47" s="893">
        <v>0.1</v>
      </c>
      <c r="D47" s="885">
        <f>IF((i.04144a!$C$267)&lt;=0.1*(i.04101!$E$47-i.04101!E40-i.04101!E41),(i.04144a!$C$267),0.1*(i.04101!$E$47-i.04101!E40-i.04101!E41))</f>
        <v>0</v>
      </c>
      <c r="E47" s="885">
        <f>(i.04144a!$C$267)-D47</f>
        <v>0</v>
      </c>
      <c r="F47" s="886">
        <v>0.05</v>
      </c>
      <c r="G47" s="887">
        <f>i.04144a!D267</f>
        <v>0</v>
      </c>
      <c r="H47" s="887">
        <f>i.04144a!E267</f>
        <v>0</v>
      </c>
      <c r="I47" s="886">
        <v>0</v>
      </c>
      <c r="J47" s="887">
        <f>D47*0</f>
        <v>0</v>
      </c>
      <c r="K47" s="888">
        <f t="shared" si="1"/>
        <v>0</v>
      </c>
    </row>
    <row r="48" spans="1:11">
      <c r="A48" s="1220"/>
      <c r="B48" s="690" t="str">
        <f>"Хугацаа хэтэрсэн өмчлөх бусад хөрөнгө"</f>
        <v>Хугацаа хэтэрсэн өмчлөх бусад хөрөнгө</v>
      </c>
      <c r="C48" s="893">
        <v>0.05</v>
      </c>
      <c r="D48" s="885">
        <f>IF((i.04144a!$C$274)&lt;=0.05*(i.04101!$E$47-i.04101!E40-i.04101!E41),(i.04144a!$C$274),0.05*(i.04101!$E$47-i.04101!E40-i.04101!E41))</f>
        <v>0</v>
      </c>
      <c r="E48" s="885">
        <f>(i.04144a!$C$274)-D48</f>
        <v>0</v>
      </c>
      <c r="F48" s="886" t="s">
        <v>803</v>
      </c>
      <c r="G48" s="887">
        <f>i.04144a!D274</f>
        <v>0</v>
      </c>
      <c r="H48" s="887">
        <f>i.04144a!E274</f>
        <v>0</v>
      </c>
      <c r="I48" s="886">
        <v>0.25</v>
      </c>
      <c r="J48" s="887">
        <f>D48*0.25</f>
        <v>0</v>
      </c>
      <c r="K48" s="888">
        <f t="shared" si="1"/>
        <v>0</v>
      </c>
    </row>
    <row r="49" spans="1:11">
      <c r="A49" s="1220"/>
      <c r="B49" s="690" t="str">
        <f>"Хэвийн бус өмчлөх бусад хөрөнгө "</f>
        <v xml:space="preserve">Хэвийн бус өмчлөх бусад хөрөнгө </v>
      </c>
      <c r="C49" s="893" t="s">
        <v>803</v>
      </c>
      <c r="D49" s="885">
        <f>IF((i.04144a!$C$281)&lt;=0.05*(i.04101!$E$47-i.04101!E40-i.04101!E41),(i.04144a!$C$281),0.05*(i.04101!$E$47-i.04101!E40-i.04101!E41))</f>
        <v>0</v>
      </c>
      <c r="E49" s="885">
        <f>(i.04144a!$C$281)-D49</f>
        <v>0</v>
      </c>
      <c r="F49" s="886" t="s">
        <v>803</v>
      </c>
      <c r="G49" s="887">
        <f>i.04144a!D281</f>
        <v>0</v>
      </c>
      <c r="H49" s="887">
        <f>i.04144a!E281</f>
        <v>0</v>
      </c>
      <c r="I49" s="886">
        <v>0.5</v>
      </c>
      <c r="J49" s="887">
        <f>D49*0.5</f>
        <v>0</v>
      </c>
      <c r="K49" s="888">
        <f t="shared" si="1"/>
        <v>0</v>
      </c>
    </row>
    <row r="50" spans="1:11">
      <c r="A50" s="1220"/>
      <c r="B50" s="690" t="str">
        <f>"Эргэлзээтэй өмчлөх бусад хөрөнгө "</f>
        <v xml:space="preserve">Эргэлзээтэй өмчлөх бусад хөрөнгө </v>
      </c>
      <c r="C50" s="893">
        <v>0</v>
      </c>
      <c r="D50" s="885">
        <f>IF((i.04144a!$C$288)&lt;=0*(i.04101!$E$47-i.04101!E40-i.04101!E41),(i.04144a!$C$288),0*(i.04101!$E$47-i.04101!E40-i.04101!E41))</f>
        <v>0</v>
      </c>
      <c r="E50" s="885">
        <f>(i.04144a!$C$288)-D50</f>
        <v>0</v>
      </c>
      <c r="F50" s="886">
        <v>0</v>
      </c>
      <c r="G50" s="887">
        <f>i.04144a!D288</f>
        <v>0</v>
      </c>
      <c r="H50" s="887">
        <f>i.04144a!E288</f>
        <v>0</v>
      </c>
      <c r="I50" s="886">
        <v>1</v>
      </c>
      <c r="J50" s="887">
        <f>D50*1</f>
        <v>0</v>
      </c>
      <c r="K50" s="888">
        <f>E50</f>
        <v>0</v>
      </c>
    </row>
    <row r="51" spans="1:11">
      <c r="A51" s="1220"/>
      <c r="B51" s="690" t="str">
        <f>"Муу өмчлөх бусад хөрөнгө "</f>
        <v xml:space="preserve">Муу өмчлөх бусад хөрөнгө </v>
      </c>
      <c r="C51" s="893">
        <v>0</v>
      </c>
      <c r="D51" s="885">
        <f>IF((i.04144a!$C$295)&lt;=0*(i.04101!$E$47-i.04101!E40-i.04101!E41),(i.04144a!$C$295),0*(i.04101!$E$47-i.04101!E40-i.04101!E41))</f>
        <v>0</v>
      </c>
      <c r="E51" s="885">
        <f>(i.04144a!$C$295)-D51</f>
        <v>0</v>
      </c>
      <c r="F51" s="886">
        <v>0</v>
      </c>
      <c r="G51" s="887">
        <f>i.04144a!D295</f>
        <v>0</v>
      </c>
      <c r="H51" s="895">
        <f>i.04144a!E295</f>
        <v>0</v>
      </c>
      <c r="I51" s="886">
        <v>1</v>
      </c>
      <c r="J51" s="887">
        <f>D51*1</f>
        <v>0</v>
      </c>
      <c r="K51" s="888">
        <f>E51</f>
        <v>0</v>
      </c>
    </row>
    <row r="52" spans="1:11" ht="14.25" customHeight="1">
      <c r="A52" s="689" t="s">
        <v>858</v>
      </c>
      <c r="B52" s="690" t="str">
        <f>"Санхүүгийн түрээс "</f>
        <v xml:space="preserve">Санхүүгийн түрээс </v>
      </c>
      <c r="C52" s="893">
        <v>0.1</v>
      </c>
      <c r="D52" s="885">
        <f>IF((i.04144a!$C$302)&lt;=0.1*(i.04101!$E$47-i.04101!E40-i.04101!E41),(i.04144a!$C$302),0.1*(i.04101!$E$47-i.04101!E40-i.04101!E41))</f>
        <v>0</v>
      </c>
      <c r="E52" s="885">
        <f>(i.04144a!$C$302)-D52</f>
        <v>0</v>
      </c>
      <c r="F52" s="886">
        <v>0.05</v>
      </c>
      <c r="G52" s="887">
        <f>i.04144a!D302</f>
        <v>0</v>
      </c>
      <c r="H52" s="887">
        <f>i.04144a!E302</f>
        <v>0</v>
      </c>
      <c r="I52" s="886">
        <v>0.05</v>
      </c>
      <c r="J52" s="887">
        <f>D52*0.05</f>
        <v>0</v>
      </c>
      <c r="K52" s="888">
        <f>J52+H52+E52</f>
        <v>0</v>
      </c>
    </row>
    <row r="53" spans="1:11" ht="14.25" customHeight="1">
      <c r="A53" s="692" t="s">
        <v>859</v>
      </c>
      <c r="B53" s="690" t="str">
        <f>"Үл хөдлөх хөрөнгө "</f>
        <v xml:space="preserve">Үл хөдлөх хөрөнгө </v>
      </c>
      <c r="C53" s="893">
        <v>0.25</v>
      </c>
      <c r="D53" s="885">
        <f>IF((i.04144a!$C$314)&lt;=0.25*(i.04101!$E$47-i.04101!E41-i.04101!E42),(i.04144a!$C$314),0.25*(i.04101!$E$47-i.04101!E41-i.04101!E42))</f>
        <v>0</v>
      </c>
      <c r="E53" s="885">
        <f>(i.04144a!$C$314)-D53</f>
        <v>0</v>
      </c>
      <c r="F53" s="886">
        <v>0.25</v>
      </c>
      <c r="G53" s="887">
        <f>i.04144a!D314</f>
        <v>0</v>
      </c>
      <c r="H53" s="887">
        <f>i.04144a!E314</f>
        <v>0</v>
      </c>
      <c r="I53" s="886">
        <v>0.05</v>
      </c>
      <c r="J53" s="887">
        <f>D53*0.05</f>
        <v>0</v>
      </c>
      <c r="K53" s="888">
        <f>J53+H53+E53</f>
        <v>0</v>
      </c>
    </row>
    <row r="54" spans="1:11" ht="14.25" customHeight="1">
      <c r="A54" s="692" t="s">
        <v>860</v>
      </c>
      <c r="B54" s="690" t="str">
        <f>"Хөдлөх хөрөнгө "</f>
        <v xml:space="preserve">Хөдлөх хөрөнгө </v>
      </c>
      <c r="C54" s="893">
        <v>0.1</v>
      </c>
      <c r="D54" s="885">
        <f>IF((i.04144a!$C$326)&lt;=0.1*(i.04101!$E$47-i.04101!E40-i.04101!E41),(i.04144a!$C$326),0.1*(i.04101!$E$47-i.04101!E40-i.04101!E41))</f>
        <v>0</v>
      </c>
      <c r="E54" s="885">
        <f>(i.04144a!$C$326)-D54</f>
        <v>0</v>
      </c>
      <c r="F54" s="886">
        <v>0.05</v>
      </c>
      <c r="G54" s="887">
        <f>i.04144a!D326</f>
        <v>0</v>
      </c>
      <c r="H54" s="887">
        <f>i.04144a!E326</f>
        <v>0</v>
      </c>
      <c r="I54" s="886">
        <v>0.7</v>
      </c>
      <c r="J54" s="887">
        <f>D54*0.7</f>
        <v>0</v>
      </c>
      <c r="K54" s="888">
        <f>J54+H54+E54</f>
        <v>0</v>
      </c>
    </row>
    <row r="55" spans="1:11" ht="22.5" customHeight="1">
      <c r="A55" s="692" t="s">
        <v>861</v>
      </c>
      <c r="B55" s="690" t="str">
        <f>"Даатгалын үндсэн үйл ажиллагаанд зориулан авсан биет бус хөрөнгө "</f>
        <v xml:space="preserve">Даатгалын үндсэн үйл ажиллагаанд зориулан авсан биет бус хөрөнгө </v>
      </c>
      <c r="C55" s="893">
        <v>0.1</v>
      </c>
      <c r="D55" s="885">
        <f>IF((i.04144a!$C$338)&lt;=0.1*(i.04101!$E$47-i.04101!E40-i.04101!E41),(i.04144a!$C$338),0.1*(i.04101!$E$47-i.04101!E40-i.04101!E41))</f>
        <v>0</v>
      </c>
      <c r="E55" s="885">
        <f>(i.04144a!$C$338)-D55</f>
        <v>0</v>
      </c>
      <c r="F55" s="886">
        <v>0.1</v>
      </c>
      <c r="G55" s="887">
        <f>i.04144a!D338</f>
        <v>0</v>
      </c>
      <c r="H55" s="887">
        <f>i.04144a!E338</f>
        <v>0</v>
      </c>
      <c r="I55" s="886">
        <v>0.7</v>
      </c>
      <c r="J55" s="887">
        <f>D55*0.7</f>
        <v>0</v>
      </c>
      <c r="K55" s="888">
        <f>J55+H55+E55</f>
        <v>0</v>
      </c>
    </row>
    <row r="56" spans="1:11" ht="17.25" customHeight="1">
      <c r="A56" s="691" t="s">
        <v>862</v>
      </c>
      <c r="B56" s="690" t="str">
        <f>"Бусад хөрөнгө  "</f>
        <v xml:space="preserve">Бусад хөрөнгө  </v>
      </c>
      <c r="C56" s="893">
        <v>0</v>
      </c>
      <c r="D56" s="885">
        <f>IF((i.04144a!$C$350)&lt;=0*(i.04101!$E$47-i.04101!E40-i.04101!E41),(i.04144a!$C$350),0*(i.04101!$E$47-i.04101!E40-i.04101!E41))</f>
        <v>0</v>
      </c>
      <c r="E56" s="885">
        <f>(i.04144a!$C$350)-D56</f>
        <v>0</v>
      </c>
      <c r="F56" s="886">
        <v>0</v>
      </c>
      <c r="G56" s="887">
        <f>i.04144a!D350</f>
        <v>0</v>
      </c>
      <c r="H56" s="887">
        <f>i.04144a!E350</f>
        <v>0</v>
      </c>
      <c r="I56" s="886">
        <v>1</v>
      </c>
      <c r="J56" s="887">
        <f>D56*1</f>
        <v>0</v>
      </c>
      <c r="K56" s="888">
        <f>E56</f>
        <v>0</v>
      </c>
    </row>
    <row r="57" spans="1:11">
      <c r="A57" s="693"/>
      <c r="B57" s="684" t="str">
        <f>"Нийт хөрөнгийн дүн "</f>
        <v xml:space="preserve">Нийт хөрөнгийн дүн </v>
      </c>
      <c r="C57" s="694"/>
      <c r="D57" s="695">
        <f>D9+D10+D11+D12+D13+D14+D15+D16+D17+D18+D19+D20+D21+D26+D31+D36+D37+D38+D39+D40+D41+D42+D43+D44+D45+D46+D47+D48+D49+D50+D51+D53+D54+D55+D56</f>
        <v>0</v>
      </c>
      <c r="E57" s="696">
        <f>E9+E10+E11+E12+E13+E14+E15+E16+E17+E18+E19+E20+E21+E26+E31+E36+E37+E38+E39+E40+E41+E42+E43+E44+E45+E46+E47+E48+E49+E50+E51+E53+E54+E55+E56</f>
        <v>0</v>
      </c>
      <c r="F57" s="697"/>
      <c r="G57" s="696">
        <f>G9+G10+G11+G12+G13+G14+G15+G16+G17+G18+G19+G20+G21+G26+G31+G36+G37+G38+G39+G40+G41+G42+G43+G44+G45+G46+G47+G48+G49+G50+G51+G53+G54+G55+G56</f>
        <v>0</v>
      </c>
      <c r="H57" s="696">
        <f>H9+H10+H11+H12+H13+H14+H15+H16+H17+H18+H19+H20+H21+H26+H31+H36+H37+H38+H39+H40+H41+H42+H43+H44+H45+H46+H47+H48+H49+H50+H51+H53+H54+H55+H56</f>
        <v>0</v>
      </c>
      <c r="I57" s="697"/>
      <c r="J57" s="696">
        <f>J9+J10+J11+J12+J13+J14+J15+J16+J17+J18+J19+J20+J21+J26+J31+J36+J37+J38+J39+J40+J41+J42+J43+J44+J45+J46+J47+J48+J49+J50+J51+J53+J54+J55+J56</f>
        <v>3</v>
      </c>
      <c r="K57" s="698">
        <f>K9+K10+K11+K12+K13+K14+K15+K16+K17+K18+K19+K20+K21+K26+K31+K36+K37+K38+K39+K40+K41+K42+K43+K44+K45+K46+K47+K48+K49+K50+K51+K53+K54+K55+K56</f>
        <v>15</v>
      </c>
    </row>
    <row r="58" spans="1:11">
      <c r="A58" s="673"/>
      <c r="B58" s="673"/>
      <c r="C58" s="673"/>
      <c r="D58" s="673"/>
      <c r="E58" s="673"/>
      <c r="F58" s="673"/>
      <c r="G58" s="673"/>
      <c r="H58" s="673"/>
      <c r="I58" s="673"/>
      <c r="J58" s="673"/>
      <c r="K58" s="673"/>
    </row>
    <row r="59" spans="1:11" s="821" customFormat="1">
      <c r="A59" s="699"/>
      <c r="B59" s="700" t="str">
        <f>+i.04108!C32</f>
        <v>тамга тэмдэг</v>
      </c>
      <c r="C59" s="699"/>
      <c r="D59" s="699"/>
      <c r="E59" s="699"/>
      <c r="F59" s="699"/>
      <c r="G59" s="699"/>
      <c r="H59" s="699"/>
      <c r="I59" s="699"/>
      <c r="J59" s="699"/>
      <c r="K59" s="699"/>
    </row>
    <row r="60" spans="1:11" s="821" customFormat="1">
      <c r="A60" s="699"/>
      <c r="B60" s="699"/>
      <c r="C60" s="699"/>
      <c r="D60" s="699"/>
      <c r="E60" s="699"/>
      <c r="F60" s="699"/>
      <c r="G60" s="699"/>
      <c r="H60" s="699"/>
      <c r="I60" s="699"/>
      <c r="J60" s="699"/>
      <c r="K60" s="699"/>
    </row>
    <row r="61" spans="1:11" s="821" customFormat="1">
      <c r="A61" s="699"/>
      <c r="B61" s="699" t="str">
        <f>+i.04108!C34</f>
        <v xml:space="preserve">ТАЙЛАН ГАРГАСАН:    </v>
      </c>
      <c r="C61" s="699"/>
      <c r="D61" s="699"/>
      <c r="E61" s="699"/>
      <c r="F61" s="699"/>
      <c r="G61" s="699"/>
      <c r="H61" s="699"/>
      <c r="I61" s="699"/>
      <c r="J61" s="699"/>
      <c r="K61" s="699"/>
    </row>
    <row r="62" spans="1:11" s="821" customFormat="1">
      <c r="A62" s="699"/>
      <c r="B62" s="699"/>
      <c r="C62" s="699"/>
      <c r="D62" s="699"/>
      <c r="E62" s="699"/>
      <c r="F62" s="699"/>
      <c r="G62" s="699"/>
      <c r="H62" s="699"/>
      <c r="I62" s="699"/>
      <c r="J62" s="699"/>
      <c r="K62" s="699"/>
    </row>
    <row r="63" spans="1:11" s="821" customFormat="1">
      <c r="A63" s="699"/>
      <c r="B63" s="699" t="str">
        <f>+i.04108!C36</f>
        <v xml:space="preserve"> Гүйцэтгэх захирал</v>
      </c>
      <c r="C63" s="699" t="str">
        <f>+i.04108!D36</f>
        <v xml:space="preserve">/................................../   </v>
      </c>
      <c r="D63" s="699"/>
      <c r="E63" s="699" t="str">
        <f>+i.04108!F36</f>
        <v>/................................./</v>
      </c>
      <c r="F63" s="699"/>
      <c r="G63" s="699"/>
      <c r="H63" s="699"/>
      <c r="I63" s="699"/>
      <c r="J63" s="699"/>
      <c r="K63" s="699"/>
    </row>
    <row r="64" spans="1:11" s="821" customFormat="1">
      <c r="A64" s="699"/>
      <c r="B64" s="699"/>
      <c r="C64" s="699"/>
      <c r="D64" s="699"/>
      <c r="E64" s="699"/>
      <c r="F64" s="699"/>
      <c r="G64" s="699"/>
      <c r="H64" s="699"/>
      <c r="I64" s="699"/>
      <c r="J64" s="699"/>
      <c r="K64" s="699"/>
    </row>
    <row r="65" spans="1:11">
      <c r="A65" s="673"/>
      <c r="B65" s="699" t="str">
        <f>+i.04108!C38</f>
        <v xml:space="preserve"> Ерөнхий нягтлан бодогч  </v>
      </c>
      <c r="C65" s="699" t="str">
        <f>+i.04108!D38</f>
        <v xml:space="preserve">/.................................../   </v>
      </c>
      <c r="D65" s="699"/>
      <c r="E65" s="699" t="str">
        <f>+i.04108!F38</f>
        <v>/................................/</v>
      </c>
      <c r="F65" s="673"/>
      <c r="G65" s="673"/>
      <c r="H65" s="673"/>
      <c r="I65" s="673"/>
      <c r="J65" s="673"/>
      <c r="K65" s="673"/>
    </row>
    <row r="66" spans="1:11">
      <c r="A66" s="673"/>
      <c r="B66" s="699"/>
      <c r="C66" s="699"/>
      <c r="D66" s="699"/>
      <c r="E66" s="699"/>
      <c r="F66" s="673"/>
      <c r="G66" s="673"/>
      <c r="H66" s="673"/>
      <c r="I66" s="673"/>
      <c r="J66" s="673"/>
      <c r="K66" s="673"/>
    </row>
    <row r="67" spans="1:11">
      <c r="A67" s="673"/>
      <c r="B67" s="699" t="str">
        <f>+i.04108!C40</f>
        <v>...................................................</v>
      </c>
      <c r="C67" s="699" t="str">
        <f>+i.04108!D40</f>
        <v xml:space="preserve">/................................../   </v>
      </c>
      <c r="D67" s="699"/>
      <c r="E67" s="699" t="str">
        <f>+i.04108!F40</f>
        <v>/................................/</v>
      </c>
      <c r="F67" s="673"/>
      <c r="G67" s="673"/>
      <c r="H67" s="673"/>
      <c r="I67" s="673"/>
      <c r="J67" s="673"/>
      <c r="K67" s="673"/>
    </row>
    <row r="68" spans="1:11">
      <c r="A68" s="673"/>
      <c r="B68" s="673"/>
      <c r="C68" s="673"/>
      <c r="D68" s="673"/>
      <c r="E68" s="673"/>
      <c r="F68" s="673"/>
      <c r="G68" s="673"/>
      <c r="H68" s="673"/>
      <c r="I68" s="673"/>
      <c r="J68" s="673"/>
      <c r="K68" s="673"/>
    </row>
    <row r="69" spans="1:11">
      <c r="A69" s="673"/>
      <c r="B69" s="673"/>
      <c r="C69" s="673"/>
      <c r="D69" s="673"/>
      <c r="E69" s="673"/>
      <c r="F69" s="673"/>
      <c r="G69" s="673"/>
      <c r="H69" s="673"/>
      <c r="I69" s="673"/>
      <c r="J69" s="673"/>
      <c r="K69" s="673"/>
    </row>
    <row r="70" spans="1:11">
      <c r="A70" s="673"/>
      <c r="B70" s="673"/>
      <c r="C70" s="673"/>
      <c r="D70" s="673"/>
      <c r="E70" s="673"/>
      <c r="F70" s="673"/>
      <c r="G70" s="673"/>
      <c r="H70" s="673"/>
      <c r="I70" s="673"/>
      <c r="J70" s="673"/>
      <c r="K70" s="673"/>
    </row>
    <row r="71" spans="1:11">
      <c r="A71" s="673"/>
      <c r="B71" s="673"/>
      <c r="C71" s="673"/>
      <c r="D71" s="673"/>
      <c r="E71" s="673"/>
      <c r="F71" s="673"/>
      <c r="G71" s="673"/>
      <c r="H71" s="673"/>
      <c r="I71" s="673"/>
      <c r="J71" s="673"/>
      <c r="K71" s="673"/>
    </row>
    <row r="72" spans="1:11">
      <c r="A72" s="673"/>
      <c r="B72" s="673"/>
      <c r="C72" s="673"/>
      <c r="D72" s="673"/>
      <c r="E72" s="673"/>
      <c r="F72" s="673"/>
      <c r="G72" s="673"/>
      <c r="H72" s="673"/>
      <c r="I72" s="673"/>
      <c r="J72" s="673"/>
      <c r="K72" s="673"/>
    </row>
    <row r="73" spans="1:11">
      <c r="A73" s="673"/>
      <c r="B73" s="673"/>
      <c r="C73" s="673"/>
      <c r="D73" s="673"/>
      <c r="E73" s="673"/>
      <c r="F73" s="673"/>
      <c r="G73" s="673"/>
      <c r="H73" s="673"/>
      <c r="I73" s="673"/>
      <c r="J73" s="673"/>
      <c r="K73" s="673"/>
    </row>
    <row r="74" spans="1:11">
      <c r="A74" s="673"/>
      <c r="B74" s="673"/>
      <c r="C74" s="673"/>
      <c r="D74" s="673"/>
      <c r="E74" s="673"/>
      <c r="F74" s="673"/>
      <c r="G74" s="673"/>
      <c r="H74" s="673"/>
      <c r="I74" s="673"/>
      <c r="J74" s="673"/>
      <c r="K74" s="673"/>
    </row>
    <row r="75" spans="1:11">
      <c r="A75" s="673"/>
      <c r="B75" s="673"/>
      <c r="C75" s="673"/>
      <c r="D75" s="673"/>
      <c r="E75" s="673"/>
      <c r="F75" s="673"/>
      <c r="G75" s="673"/>
      <c r="H75" s="673"/>
      <c r="I75" s="673"/>
      <c r="J75" s="673"/>
      <c r="K75" s="673"/>
    </row>
    <row r="76" spans="1:11">
      <c r="A76" s="673"/>
      <c r="B76" s="673"/>
      <c r="C76" s="673"/>
      <c r="D76" s="673"/>
      <c r="E76" s="673"/>
      <c r="F76" s="673"/>
      <c r="G76" s="673"/>
      <c r="H76" s="673"/>
      <c r="I76" s="673"/>
      <c r="J76" s="673"/>
      <c r="K76" s="673"/>
    </row>
    <row r="77" spans="1:11">
      <c r="A77" s="673"/>
      <c r="B77" s="673"/>
      <c r="C77" s="673"/>
      <c r="D77" s="673"/>
      <c r="E77" s="673"/>
      <c r="F77" s="673"/>
      <c r="G77" s="673"/>
      <c r="H77" s="673"/>
      <c r="I77" s="673"/>
      <c r="J77" s="673"/>
      <c r="K77" s="673"/>
    </row>
    <row r="78" spans="1:11">
      <c r="A78" s="673"/>
      <c r="B78" s="673"/>
      <c r="C78" s="673"/>
      <c r="D78" s="673"/>
      <c r="E78" s="673"/>
      <c r="F78" s="673"/>
      <c r="G78" s="673"/>
      <c r="H78" s="673"/>
      <c r="I78" s="673"/>
      <c r="J78" s="673"/>
      <c r="K78" s="673"/>
    </row>
    <row r="79" spans="1:11">
      <c r="A79" s="673"/>
      <c r="B79" s="673"/>
      <c r="C79" s="673"/>
      <c r="D79" s="673"/>
      <c r="E79" s="673"/>
      <c r="F79" s="673"/>
      <c r="G79" s="673"/>
      <c r="H79" s="673"/>
      <c r="I79" s="673"/>
      <c r="J79" s="673"/>
      <c r="K79" s="673"/>
    </row>
    <row r="80" spans="1:11">
      <c r="A80" s="673"/>
      <c r="B80" s="673"/>
      <c r="C80" s="673"/>
      <c r="D80" s="673"/>
      <c r="E80" s="673"/>
      <c r="F80" s="673"/>
      <c r="G80" s="673"/>
      <c r="H80" s="673"/>
      <c r="I80" s="673"/>
      <c r="J80" s="673"/>
      <c r="K80" s="673"/>
    </row>
    <row r="81" spans="1:11">
      <c r="A81" s="673"/>
      <c r="B81" s="673"/>
      <c r="C81" s="673"/>
      <c r="D81" s="673"/>
      <c r="E81" s="673"/>
      <c r="F81" s="673"/>
      <c r="G81" s="673"/>
      <c r="H81" s="673"/>
      <c r="I81" s="673"/>
      <c r="J81" s="673"/>
      <c r="K81" s="673"/>
    </row>
    <row r="82" spans="1:11">
      <c r="A82" s="673"/>
      <c r="B82" s="673"/>
      <c r="C82" s="673"/>
      <c r="D82" s="673"/>
      <c r="E82" s="673"/>
      <c r="F82" s="673"/>
      <c r="G82" s="673"/>
      <c r="H82" s="673"/>
      <c r="I82" s="673"/>
      <c r="J82" s="673"/>
      <c r="K82" s="673"/>
    </row>
    <row r="83" spans="1:11">
      <c r="A83" s="673"/>
      <c r="B83" s="673"/>
      <c r="C83" s="673"/>
      <c r="D83" s="673"/>
      <c r="E83" s="673"/>
      <c r="F83" s="673"/>
      <c r="G83" s="673"/>
      <c r="H83" s="673"/>
      <c r="I83" s="673"/>
      <c r="J83" s="673"/>
      <c r="K83" s="673"/>
    </row>
  </sheetData>
  <sheetProtection password="CA9F" sheet="1"/>
  <mergeCells count="17">
    <mergeCell ref="A31:A35"/>
    <mergeCell ref="C31:C35"/>
    <mergeCell ref="F31:F35"/>
    <mergeCell ref="C26:C30"/>
    <mergeCell ref="F26:F30"/>
    <mergeCell ref="A13:A17"/>
    <mergeCell ref="A21:A25"/>
    <mergeCell ref="H1:K1"/>
    <mergeCell ref="A4:K4"/>
    <mergeCell ref="B26:B30"/>
    <mergeCell ref="B31:B35"/>
    <mergeCell ref="A47:A51"/>
    <mergeCell ref="B21:B25"/>
    <mergeCell ref="A26:A30"/>
    <mergeCell ref="A2:K2"/>
    <mergeCell ref="A5:D5"/>
    <mergeCell ref="H5:K5"/>
  </mergeCells>
  <dataValidations count="1">
    <dataValidation type="whole" allowBlank="1" showInputMessage="1" showErrorMessage="1" sqref="K6">
      <formula1>1</formula1>
      <formula2>100000000000</formula2>
    </dataValidation>
  </dataValidations>
  <pageMargins left="0.7" right="0.7" top="0.75" bottom="0.75" header="0.3" footer="0.3"/>
  <pageSetup scale="79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R215"/>
  <sheetViews>
    <sheetView workbookViewId="0">
      <selection activeCell="E17" sqref="E17"/>
    </sheetView>
  </sheetViews>
  <sheetFormatPr defaultColWidth="9.1796875" defaultRowHeight="13"/>
  <cols>
    <col min="1" max="1" width="5.1796875" style="656" bestFit="1" customWidth="1"/>
    <col min="2" max="2" width="46.1796875" style="675" customWidth="1"/>
    <col min="3" max="3" width="17.1796875" style="675" customWidth="1"/>
    <col min="4" max="4" width="7.26953125" style="665" bestFit="1" customWidth="1"/>
    <col min="5" max="5" width="17.1796875" style="675" customWidth="1"/>
    <col min="6" max="6" width="6" style="675" hidden="1" customWidth="1"/>
    <col min="7" max="8" width="6.7265625" style="675" hidden="1" customWidth="1"/>
    <col min="9" max="9" width="7.26953125" style="675" hidden="1" customWidth="1"/>
    <col min="10" max="16384" width="9.1796875" style="665"/>
  </cols>
  <sheetData>
    <row r="1" spans="1:18" ht="29.25" customHeight="1">
      <c r="A1" s="674"/>
      <c r="B1" s="1228" t="s">
        <v>1012</v>
      </c>
      <c r="C1" s="1228"/>
      <c r="D1" s="1228"/>
      <c r="E1" s="1228"/>
      <c r="F1" s="1228"/>
      <c r="G1" s="1228"/>
    </row>
    <row r="2" spans="1:18" ht="12.75" customHeight="1">
      <c r="A2" s="674"/>
      <c r="B2" s="667"/>
      <c r="C2" s="667"/>
      <c r="D2" s="667"/>
      <c r="E2" s="667"/>
    </row>
    <row r="3" spans="1:18" ht="11.25" customHeight="1">
      <c r="A3" s="1229" t="s">
        <v>1013</v>
      </c>
      <c r="B3" s="1229"/>
      <c r="C3" s="1229"/>
      <c r="D3" s="1229"/>
      <c r="E3" s="1229"/>
    </row>
    <row r="4" spans="1:18">
      <c r="A4" s="674"/>
      <c r="B4" s="667"/>
      <c r="C4" s="667"/>
      <c r="D4" s="667"/>
      <c r="E4" s="667"/>
    </row>
    <row r="5" spans="1:18" ht="12.75" customHeight="1">
      <c r="A5" s="1214" t="str">
        <f>+i.04108!A7</f>
        <v>Даатгагчийн нэр:</v>
      </c>
      <c r="B5" s="1214"/>
      <c r="C5" s="1230" t="str">
        <f>+i.04108!F7</f>
        <v>..... оны .... сарын ...-ны өдөр</v>
      </c>
      <c r="D5" s="1230"/>
      <c r="E5" s="1230"/>
      <c r="L5" s="284"/>
      <c r="M5" s="284"/>
      <c r="N5" s="284"/>
      <c r="O5" s="284"/>
      <c r="P5" s="284"/>
      <c r="Q5" s="284"/>
      <c r="R5" s="284"/>
    </row>
    <row r="6" spans="1:18">
      <c r="A6" s="701"/>
      <c r="B6" s="701"/>
      <c r="C6" s="702"/>
      <c r="D6" s="702"/>
      <c r="E6" s="702"/>
      <c r="L6" s="284"/>
      <c r="M6" s="284"/>
      <c r="N6" s="284"/>
      <c r="O6" s="284"/>
      <c r="P6" s="284"/>
      <c r="Q6" s="284"/>
      <c r="R6" s="284"/>
    </row>
    <row r="7" spans="1:18">
      <c r="A7" s="674"/>
      <c r="B7" s="703"/>
      <c r="C7" s="667"/>
      <c r="D7" s="667"/>
      <c r="E7" s="40" t="s">
        <v>1</v>
      </c>
    </row>
    <row r="8" spans="1:18" ht="26">
      <c r="A8" s="704"/>
      <c r="B8" s="705" t="s">
        <v>3</v>
      </c>
      <c r="C8" s="706" t="s">
        <v>518</v>
      </c>
      <c r="D8" s="706" t="s">
        <v>863</v>
      </c>
      <c r="E8" s="706" t="s">
        <v>864</v>
      </c>
      <c r="F8" s="707" t="s">
        <v>758</v>
      </c>
      <c r="G8" s="707" t="s">
        <v>759</v>
      </c>
      <c r="H8" s="707" t="s">
        <v>760</v>
      </c>
      <c r="I8" s="707" t="s">
        <v>761</v>
      </c>
    </row>
    <row r="9" spans="1:18">
      <c r="A9" s="704" t="s">
        <v>6</v>
      </c>
      <c r="B9" s="706" t="s">
        <v>7</v>
      </c>
      <c r="C9" s="706">
        <v>1</v>
      </c>
      <c r="D9" s="706">
        <v>2</v>
      </c>
      <c r="E9" s="706">
        <v>3</v>
      </c>
      <c r="F9" s="707"/>
      <c r="G9" s="707"/>
      <c r="H9" s="707"/>
      <c r="I9" s="707"/>
    </row>
    <row r="10" spans="1:18">
      <c r="A10" s="704">
        <v>1</v>
      </c>
      <c r="B10" s="708" t="str">
        <f>"Зайлшгүй байх хөрөнгө / 1=max(1.1,1.2,1.3) /"</f>
        <v>Зайлшгүй байх хөрөнгө / 1=max(1.1,1.2,1.3) /</v>
      </c>
      <c r="C10" s="708" t="str">
        <f>""</f>
        <v/>
      </c>
      <c r="D10" s="708"/>
      <c r="E10" s="709">
        <f>MAX(E11,E14,E17)</f>
        <v>0</v>
      </c>
      <c r="F10" s="710">
        <v>0</v>
      </c>
      <c r="G10" s="710">
        <v>3</v>
      </c>
      <c r="H10" s="710">
        <v>1</v>
      </c>
      <c r="I10" s="710"/>
    </row>
    <row r="11" spans="1:18" ht="39">
      <c r="A11" s="711">
        <v>1.1000000000000001</v>
      </c>
      <c r="B11" s="712" t="str">
        <f>"Даатгалын хураамжид үндэслэх /Тухай тайлант хугацааны нийт орлогод тооцсон хураамж /(1.1.1 (4)+1.1.2 (4))"</f>
        <v>Даатгалын хураамжид үндэслэх /Тухай тайлант хугацааны нийт орлогод тооцсон хураамж /(1.1.1 (4)+1.1.2 (4))</v>
      </c>
      <c r="C11" s="899">
        <f>+C12+C13</f>
        <v>0</v>
      </c>
      <c r="D11" s="900"/>
      <c r="E11" s="899">
        <f>E12+E13</f>
        <v>0</v>
      </c>
      <c r="F11" s="710">
        <v>0</v>
      </c>
      <c r="G11" s="710">
        <v>3</v>
      </c>
      <c r="H11" s="710">
        <v>1</v>
      </c>
      <c r="I11" s="710"/>
    </row>
    <row r="12" spans="1:18" ht="39">
      <c r="A12" s="711" t="s">
        <v>13</v>
      </c>
      <c r="B12" s="712" t="str">
        <f>"Агаарын хөлөг, авто тээврийн хэрэгсэл, бүх төрлийн хариуцлагын даатгалын хэлбэрийн орлогод тооцсон хураамж"</f>
        <v>Агаарын хөлөг, авто тээврийн хэрэгсэл, бүх төрлийн хариуцлагын даатгалын хэлбэрийн орлогод тооцсон хураамж</v>
      </c>
      <c r="C12" s="898"/>
      <c r="D12" s="901">
        <v>0.4</v>
      </c>
      <c r="E12" s="899">
        <f>C12*0.4</f>
        <v>0</v>
      </c>
      <c r="F12" s="710">
        <v>0</v>
      </c>
      <c r="G12" s="710">
        <v>3</v>
      </c>
      <c r="H12" s="710">
        <v>1</v>
      </c>
      <c r="I12" s="710"/>
    </row>
    <row r="13" spans="1:18">
      <c r="A13" s="711" t="s">
        <v>15</v>
      </c>
      <c r="B13" s="712" t="str">
        <f>"Бусад хэлбэрийн орлогод тооцсон хураамж"</f>
        <v>Бусад хэлбэрийн орлогод тооцсон хураамж</v>
      </c>
      <c r="C13" s="898"/>
      <c r="D13" s="901">
        <v>0.2</v>
      </c>
      <c r="E13" s="899">
        <f>C13*0.2</f>
        <v>0</v>
      </c>
      <c r="F13" s="710">
        <v>0</v>
      </c>
      <c r="G13" s="710">
        <v>3</v>
      </c>
      <c r="H13" s="710">
        <v>1</v>
      </c>
      <c r="I13" s="710"/>
    </row>
    <row r="14" spans="1:18" ht="26">
      <c r="A14" s="711">
        <v>1.2</v>
      </c>
      <c r="B14" s="712" t="str">
        <f>"Даатгалын нэхэмжлэлд үндэслэх /Сүүлийн 3 жилийн дунджид үндэслэн/    (1.2.1 (4)+1.2.2 (4))"</f>
        <v>Даатгалын нэхэмжлэлд үндэслэх /Сүүлийн 3 жилийн дунджид үндэслэн/    (1.2.1 (4)+1.2.2 (4))</v>
      </c>
      <c r="C14" s="899">
        <f>+C15+C16</f>
        <v>0</v>
      </c>
      <c r="D14" s="900"/>
      <c r="E14" s="899">
        <f>E15+E16</f>
        <v>0</v>
      </c>
      <c r="F14" s="710">
        <v>0</v>
      </c>
      <c r="G14" s="710">
        <v>3</v>
      </c>
      <c r="H14" s="710">
        <v>1</v>
      </c>
      <c r="I14" s="710"/>
    </row>
    <row r="15" spans="1:18" ht="39">
      <c r="A15" s="711" t="s">
        <v>25</v>
      </c>
      <c r="B15" s="712" t="str">
        <f>"Агаарын хөлөг, авто тээврийн хэрэгсэл, бүх төрлийн хариуцлагын даатгалын хэлбэрийн нэхэмжилсэн хохирлын дундаж дүн"</f>
        <v>Агаарын хөлөг, авто тээврийн хэрэгсэл, бүх төрлийн хариуцлагын даатгалын хэлбэрийн нэхэмжилсэн хохирлын дундаж дүн</v>
      </c>
      <c r="C15" s="898"/>
      <c r="D15" s="901">
        <v>0.5</v>
      </c>
      <c r="E15" s="899">
        <f>C15*0.5</f>
        <v>0</v>
      </c>
      <c r="F15" s="710">
        <v>0</v>
      </c>
      <c r="G15" s="710">
        <v>3</v>
      </c>
      <c r="H15" s="710">
        <v>1</v>
      </c>
      <c r="I15" s="710"/>
    </row>
    <row r="16" spans="1:18" ht="15.75" customHeight="1">
      <c r="A16" s="711" t="s">
        <v>27</v>
      </c>
      <c r="B16" s="712" t="str">
        <f>"Бусад хэлбэрийн нэхэмжилсэн хохирлын дундаж дүн "</f>
        <v xml:space="preserve">Бусад хэлбэрийн нэхэмжилсэн хохирлын дундаж дүн </v>
      </c>
      <c r="C16" s="898"/>
      <c r="D16" s="901">
        <v>0.2</v>
      </c>
      <c r="E16" s="899">
        <f>C16*0.2</f>
        <v>0</v>
      </c>
      <c r="F16" s="710">
        <v>0</v>
      </c>
      <c r="G16" s="710">
        <v>3</v>
      </c>
      <c r="H16" s="710">
        <v>1</v>
      </c>
      <c r="I16" s="710"/>
    </row>
    <row r="17" spans="1:9" ht="15.75" customHeight="1">
      <c r="A17" s="711">
        <v>1.3</v>
      </c>
      <c r="B17" s="712" t="str">
        <f>"Хорооноос тогтоосон дүрмийн сангийн доод хэмжээ"</f>
        <v>Хорооноос тогтоосон дүрмийн сангийн доод хэмжээ</v>
      </c>
      <c r="C17" s="902" t="str">
        <f>""</f>
        <v/>
      </c>
      <c r="D17" s="903"/>
      <c r="E17" s="898"/>
      <c r="F17" s="710">
        <v>0</v>
      </c>
      <c r="G17" s="710">
        <v>2</v>
      </c>
      <c r="H17" s="710">
        <v>1</v>
      </c>
      <c r="I17" s="710"/>
    </row>
    <row r="18" spans="1:9">
      <c r="A18" s="704">
        <v>2</v>
      </c>
      <c r="B18" s="708" t="str">
        <f>"Нийт хөрөнгө"</f>
        <v>Нийт хөрөнгө</v>
      </c>
      <c r="C18" s="715" t="str">
        <f>""</f>
        <v/>
      </c>
      <c r="D18" s="705"/>
      <c r="E18" s="713">
        <f>(i.04101!E47-i.04101!E40-i.04101!E41)</f>
        <v>0</v>
      </c>
      <c r="F18" s="710">
        <v>0</v>
      </c>
      <c r="G18" s="710">
        <v>3</v>
      </c>
      <c r="H18" s="710">
        <v>1</v>
      </c>
      <c r="I18" s="710"/>
    </row>
    <row r="19" spans="1:9">
      <c r="A19" s="704">
        <v>3</v>
      </c>
      <c r="B19" s="708" t="str">
        <f>"Зөвшөөрөгдөхгүй хөрөнгө"</f>
        <v>Зөвшөөрөгдөхгүй хөрөнгө</v>
      </c>
      <c r="C19" s="715" t="str">
        <f>""</f>
        <v/>
      </c>
      <c r="D19" s="705"/>
      <c r="E19" s="709">
        <f>i.04144!K57</f>
        <v>15</v>
      </c>
      <c r="F19" s="710">
        <v>0</v>
      </c>
      <c r="G19" s="710">
        <v>3</v>
      </c>
      <c r="H19" s="710">
        <v>1</v>
      </c>
      <c r="I19" s="710"/>
    </row>
    <row r="20" spans="1:9">
      <c r="A20" s="704">
        <v>4</v>
      </c>
      <c r="B20" s="708" t="str">
        <f>"Зөвшөөрөгдөх хөрөнгө / 4=(2)-(3)/"</f>
        <v>Зөвшөөрөгдөх хөрөнгө / 4=(2)-(3)/</v>
      </c>
      <c r="C20" s="715" t="str">
        <f>""</f>
        <v/>
      </c>
      <c r="D20" s="705"/>
      <c r="E20" s="709">
        <f>E18-E19</f>
        <v>-15</v>
      </c>
      <c r="F20" s="710">
        <v>0</v>
      </c>
      <c r="G20" s="710">
        <v>3</v>
      </c>
      <c r="H20" s="710">
        <v>1</v>
      </c>
      <c r="I20" s="710"/>
    </row>
    <row r="21" spans="1:9" ht="26.25" customHeight="1">
      <c r="A21" s="704">
        <v>5</v>
      </c>
      <c r="B21" s="708" t="str">
        <f>"Өр төлбөр / 5= Нийт өр төлбөр-(ОТХН+ДДХШО)*10%/"</f>
        <v>Өр төлбөр / 5= Нийт өр төлбөр-(ОТХН+ДДХШО)*10%/</v>
      </c>
      <c r="C21" s="715" t="str">
        <f>""</f>
        <v/>
      </c>
      <c r="D21" s="705"/>
      <c r="E21" s="713">
        <f>+i.04101!E85-i.04101!E40-i.04101!E41-(i.04101!E78-i.04101!E40+i.04101!E42)*0.1</f>
        <v>0</v>
      </c>
      <c r="F21" s="710">
        <v>0</v>
      </c>
      <c r="G21" s="710">
        <v>3</v>
      </c>
      <c r="H21" s="710">
        <v>1</v>
      </c>
      <c r="I21" s="710"/>
    </row>
    <row r="22" spans="1:9" ht="26">
      <c r="A22" s="704">
        <v>6</v>
      </c>
      <c r="B22" s="714" t="str">
        <f>"Төлбөрийн чадварын зохистой харьцаа 6= 4/(1+5)≥100%"</f>
        <v>Төлбөрийн чадварын зохистой харьцаа 6= 4/(1+5)≥100%</v>
      </c>
      <c r="C22" s="715" t="str">
        <f>""</f>
        <v/>
      </c>
      <c r="D22" s="714"/>
      <c r="E22" s="709" t="e">
        <f>(E20/(E10+E21))*100</f>
        <v>#DIV/0!</v>
      </c>
      <c r="F22" s="710">
        <v>0</v>
      </c>
      <c r="G22" s="710">
        <v>3</v>
      </c>
      <c r="H22" s="710">
        <v>1</v>
      </c>
      <c r="I22" s="710"/>
    </row>
    <row r="23" spans="1:9">
      <c r="A23" s="674"/>
      <c r="B23" s="674"/>
      <c r="C23" s="667"/>
      <c r="D23" s="667"/>
      <c r="E23" s="667"/>
    </row>
    <row r="24" spans="1:9" s="663" customFormat="1" ht="15" customHeight="1">
      <c r="B24" s="664" t="str">
        <f>+i.04108!C32</f>
        <v>тамга тэмдэг</v>
      </c>
      <c r="F24" s="663">
        <f>+i.04108!G32</f>
        <v>0</v>
      </c>
      <c r="G24" s="663">
        <f>+i.04108!H32</f>
        <v>0</v>
      </c>
      <c r="H24" s="663">
        <f>+i.04108!I32</f>
        <v>0</v>
      </c>
      <c r="I24" s="663">
        <f>+i.04108!J32</f>
        <v>0</v>
      </c>
    </row>
    <row r="25" spans="1:9" s="663" customFormat="1" ht="15" customHeight="1">
      <c r="F25" s="663">
        <f>+i.04108!G33</f>
        <v>0</v>
      </c>
      <c r="G25" s="663">
        <f>+i.04108!H33</f>
        <v>0</v>
      </c>
      <c r="H25" s="663">
        <f>+i.04108!I33</f>
        <v>0</v>
      </c>
      <c r="I25" s="663">
        <f>+i.04108!J33</f>
        <v>0</v>
      </c>
    </row>
    <row r="26" spans="1:9" s="663" customFormat="1" ht="12.75" customHeight="1">
      <c r="B26" s="663" t="str">
        <f>+i.04108!C34</f>
        <v xml:space="preserve">ТАЙЛАН ГАРГАСАН:    </v>
      </c>
    </row>
    <row r="27" spans="1:9" s="663" customFormat="1" ht="12.75" customHeight="1"/>
    <row r="28" spans="1:9" s="663" customFormat="1" ht="12.75" customHeight="1">
      <c r="B28" s="663" t="str">
        <f>+i.04108!C36</f>
        <v xml:space="preserve"> Гүйцэтгэх захирал</v>
      </c>
      <c r="C28" s="663" t="str">
        <f>+i.04108!D36</f>
        <v xml:space="preserve">/................................../   </v>
      </c>
      <c r="E28" s="663" t="str">
        <f>+i.04108!F36</f>
        <v>/................................./</v>
      </c>
    </row>
    <row r="29" spans="1:9" s="663" customFormat="1" ht="12.75" customHeight="1"/>
    <row r="30" spans="1:9" s="663" customFormat="1" ht="12.75" customHeight="1">
      <c r="B30" s="663" t="str">
        <f>+i.04108!C38</f>
        <v xml:space="preserve"> Ерөнхий нягтлан бодогч  </v>
      </c>
      <c r="C30" s="663" t="str">
        <f>+i.04108!D38</f>
        <v xml:space="preserve">/.................................../   </v>
      </c>
      <c r="E30" s="663" t="str">
        <f>+i.04108!F38</f>
        <v>/................................/</v>
      </c>
    </row>
    <row r="31" spans="1:9">
      <c r="A31" s="674"/>
      <c r="B31" s="663"/>
      <c r="C31" s="663"/>
      <c r="D31" s="663"/>
      <c r="E31" s="663"/>
    </row>
    <row r="32" spans="1:9">
      <c r="A32" s="674"/>
      <c r="B32" s="663" t="str">
        <f>+i.04108!C40</f>
        <v>...................................................</v>
      </c>
      <c r="C32" s="663" t="str">
        <f>+i.04108!D40</f>
        <v xml:space="preserve">/................................../   </v>
      </c>
      <c r="D32" s="663"/>
      <c r="E32" s="663" t="str">
        <f>+i.04108!F40</f>
        <v>/................................/</v>
      </c>
    </row>
    <row r="33" spans="1:5">
      <c r="A33" s="674"/>
      <c r="B33" s="667"/>
      <c r="C33" s="667"/>
      <c r="D33" s="667"/>
      <c r="E33" s="667"/>
    </row>
    <row r="34" spans="1:5">
      <c r="A34" s="674"/>
      <c r="B34" s="667"/>
      <c r="C34" s="667"/>
      <c r="D34" s="667"/>
      <c r="E34" s="667"/>
    </row>
    <row r="35" spans="1:5">
      <c r="A35" s="674"/>
      <c r="B35" s="667"/>
      <c r="C35" s="667"/>
      <c r="D35" s="667"/>
      <c r="E35" s="667"/>
    </row>
    <row r="36" spans="1:5">
      <c r="A36" s="674"/>
      <c r="B36" s="667"/>
      <c r="C36" s="667"/>
      <c r="D36" s="667"/>
      <c r="E36" s="667"/>
    </row>
    <row r="37" spans="1:5">
      <c r="A37" s="674"/>
      <c r="B37" s="667"/>
      <c r="C37" s="667"/>
      <c r="D37" s="667"/>
      <c r="E37" s="667"/>
    </row>
    <row r="38" spans="1:5">
      <c r="A38" s="674"/>
      <c r="B38" s="667"/>
      <c r="C38" s="667"/>
      <c r="D38" s="667"/>
      <c r="E38" s="667"/>
    </row>
    <row r="39" spans="1:5">
      <c r="A39" s="674"/>
      <c r="B39" s="667"/>
      <c r="C39" s="667"/>
      <c r="D39" s="667"/>
      <c r="E39" s="667"/>
    </row>
    <row r="40" spans="1:5">
      <c r="A40" s="674"/>
      <c r="B40" s="667"/>
      <c r="C40" s="667"/>
      <c r="D40" s="667"/>
      <c r="E40" s="667"/>
    </row>
    <row r="41" spans="1:5">
      <c r="A41" s="674"/>
      <c r="B41" s="667"/>
      <c r="C41" s="667"/>
      <c r="D41" s="667"/>
      <c r="E41" s="667"/>
    </row>
    <row r="42" spans="1:5">
      <c r="A42" s="674"/>
      <c r="B42" s="667"/>
      <c r="C42" s="667"/>
      <c r="D42" s="667"/>
      <c r="E42" s="667"/>
    </row>
    <row r="43" spans="1:5">
      <c r="A43" s="674"/>
      <c r="B43" s="667"/>
      <c r="C43" s="667"/>
      <c r="D43" s="667"/>
      <c r="E43" s="667"/>
    </row>
    <row r="44" spans="1:5">
      <c r="A44" s="674"/>
      <c r="B44" s="667"/>
      <c r="C44" s="667"/>
      <c r="D44" s="667"/>
      <c r="E44" s="667"/>
    </row>
    <row r="45" spans="1:5">
      <c r="A45" s="674"/>
      <c r="B45" s="667"/>
      <c r="C45" s="667"/>
      <c r="D45" s="667"/>
      <c r="E45" s="667"/>
    </row>
    <row r="46" spans="1:5">
      <c r="A46" s="674"/>
      <c r="B46" s="667"/>
      <c r="C46" s="667"/>
      <c r="D46" s="667"/>
      <c r="E46" s="667"/>
    </row>
    <row r="47" spans="1:5">
      <c r="A47" s="674"/>
      <c r="B47" s="667"/>
      <c r="C47" s="667"/>
      <c r="D47" s="667"/>
      <c r="E47" s="667"/>
    </row>
    <row r="48" spans="1:5">
      <c r="A48" s="674"/>
      <c r="B48" s="667"/>
      <c r="C48" s="667"/>
      <c r="D48" s="667"/>
      <c r="E48" s="667"/>
    </row>
    <row r="49" spans="1:5">
      <c r="A49" s="674"/>
      <c r="B49" s="667"/>
      <c r="C49" s="667"/>
      <c r="D49" s="667"/>
      <c r="E49" s="667"/>
    </row>
    <row r="50" spans="1:5">
      <c r="A50" s="674"/>
      <c r="B50" s="667"/>
      <c r="C50" s="667"/>
      <c r="D50" s="667"/>
      <c r="E50" s="667"/>
    </row>
    <row r="51" spans="1:5">
      <c r="A51" s="674"/>
      <c r="B51" s="667"/>
      <c r="C51" s="667"/>
      <c r="D51" s="667"/>
      <c r="E51" s="667"/>
    </row>
    <row r="52" spans="1:5">
      <c r="A52" s="674"/>
      <c r="B52" s="667"/>
      <c r="C52" s="667"/>
      <c r="D52" s="667"/>
      <c r="E52" s="667"/>
    </row>
    <row r="53" spans="1:5">
      <c r="A53" s="674"/>
      <c r="B53" s="667"/>
      <c r="C53" s="667"/>
      <c r="D53" s="667"/>
      <c r="E53" s="667"/>
    </row>
    <row r="54" spans="1:5">
      <c r="A54" s="674"/>
      <c r="B54" s="667"/>
      <c r="C54" s="667"/>
      <c r="D54" s="667"/>
      <c r="E54" s="667"/>
    </row>
    <row r="55" spans="1:5">
      <c r="A55" s="674"/>
      <c r="B55" s="667"/>
      <c r="C55" s="667"/>
      <c r="D55" s="667"/>
      <c r="E55" s="667"/>
    </row>
    <row r="56" spans="1:5">
      <c r="A56" s="674"/>
      <c r="B56" s="667"/>
      <c r="C56" s="667"/>
      <c r="D56" s="667"/>
      <c r="E56" s="667"/>
    </row>
    <row r="57" spans="1:5">
      <c r="A57" s="674"/>
      <c r="B57" s="667"/>
      <c r="C57" s="667"/>
      <c r="D57" s="667"/>
      <c r="E57" s="667"/>
    </row>
    <row r="58" spans="1:5">
      <c r="A58" s="674"/>
      <c r="B58" s="667"/>
      <c r="C58" s="667"/>
      <c r="D58" s="667"/>
      <c r="E58" s="667"/>
    </row>
    <row r="59" spans="1:5">
      <c r="A59" s="674"/>
      <c r="B59" s="667"/>
      <c r="C59" s="667"/>
      <c r="D59" s="667"/>
      <c r="E59" s="667"/>
    </row>
    <row r="60" spans="1:5">
      <c r="A60" s="674"/>
      <c r="B60" s="667"/>
      <c r="C60" s="667"/>
      <c r="D60" s="667"/>
      <c r="E60" s="667"/>
    </row>
    <row r="61" spans="1:5">
      <c r="A61" s="674"/>
      <c r="B61" s="667"/>
      <c r="C61" s="667"/>
      <c r="D61" s="667"/>
      <c r="E61" s="667"/>
    </row>
    <row r="62" spans="1:5">
      <c r="A62" s="674"/>
      <c r="B62" s="667"/>
      <c r="C62" s="667"/>
      <c r="D62" s="667"/>
      <c r="E62" s="667"/>
    </row>
    <row r="63" spans="1:5">
      <c r="A63" s="674"/>
      <c r="B63" s="667"/>
      <c r="C63" s="667"/>
      <c r="D63" s="667"/>
      <c r="E63" s="667"/>
    </row>
    <row r="64" spans="1:5">
      <c r="A64" s="674"/>
      <c r="B64" s="667"/>
      <c r="C64" s="667"/>
      <c r="D64" s="667"/>
      <c r="E64" s="667"/>
    </row>
    <row r="65" spans="1:5">
      <c r="A65" s="674"/>
      <c r="B65" s="667"/>
      <c r="C65" s="667"/>
      <c r="D65" s="667"/>
      <c r="E65" s="667"/>
    </row>
    <row r="66" spans="1:5">
      <c r="A66" s="674"/>
      <c r="B66" s="667"/>
      <c r="C66" s="667"/>
      <c r="D66" s="667"/>
      <c r="E66" s="667"/>
    </row>
    <row r="67" spans="1:5">
      <c r="A67" s="674"/>
      <c r="B67" s="667"/>
      <c r="C67" s="667"/>
      <c r="D67" s="667"/>
      <c r="E67" s="667"/>
    </row>
    <row r="68" spans="1:5">
      <c r="A68" s="674"/>
      <c r="B68" s="667"/>
      <c r="C68" s="667"/>
      <c r="D68" s="667"/>
      <c r="E68" s="667"/>
    </row>
    <row r="69" spans="1:5">
      <c r="A69" s="674"/>
      <c r="B69" s="667"/>
      <c r="C69" s="667"/>
      <c r="D69" s="667"/>
      <c r="E69" s="667"/>
    </row>
    <row r="70" spans="1:5">
      <c r="A70" s="674"/>
      <c r="B70" s="667"/>
      <c r="C70" s="667"/>
      <c r="D70" s="667"/>
      <c r="E70" s="667"/>
    </row>
    <row r="71" spans="1:5">
      <c r="A71" s="674"/>
      <c r="B71" s="667"/>
      <c r="C71" s="667"/>
      <c r="D71" s="667"/>
      <c r="E71" s="667"/>
    </row>
    <row r="72" spans="1:5">
      <c r="A72" s="674"/>
      <c r="B72" s="667"/>
      <c r="C72" s="667"/>
      <c r="D72" s="667"/>
      <c r="E72" s="667"/>
    </row>
    <row r="73" spans="1:5">
      <c r="A73" s="674"/>
      <c r="B73" s="667"/>
      <c r="C73" s="667"/>
      <c r="D73" s="667"/>
      <c r="E73" s="667"/>
    </row>
    <row r="74" spans="1:5">
      <c r="A74" s="674"/>
      <c r="B74" s="667"/>
      <c r="C74" s="667"/>
      <c r="D74" s="667"/>
      <c r="E74" s="667"/>
    </row>
    <row r="75" spans="1:5">
      <c r="A75" s="674"/>
      <c r="B75" s="667"/>
      <c r="C75" s="667"/>
      <c r="D75" s="667"/>
      <c r="E75" s="667"/>
    </row>
    <row r="76" spans="1:5">
      <c r="A76" s="674"/>
      <c r="B76" s="667"/>
      <c r="C76" s="667"/>
      <c r="D76" s="667"/>
      <c r="E76" s="667"/>
    </row>
    <row r="77" spans="1:5">
      <c r="A77" s="674"/>
      <c r="B77" s="667"/>
      <c r="C77" s="667"/>
      <c r="D77" s="667"/>
      <c r="E77" s="667"/>
    </row>
    <row r="78" spans="1:5">
      <c r="A78" s="674"/>
      <c r="B78" s="667"/>
      <c r="C78" s="667"/>
      <c r="D78" s="667"/>
      <c r="E78" s="667"/>
    </row>
    <row r="79" spans="1:5">
      <c r="A79" s="674"/>
      <c r="B79" s="667"/>
      <c r="C79" s="667"/>
      <c r="D79" s="667"/>
      <c r="E79" s="667"/>
    </row>
    <row r="80" spans="1:5">
      <c r="A80" s="674"/>
      <c r="B80" s="667"/>
      <c r="C80" s="667"/>
      <c r="D80" s="667"/>
      <c r="E80" s="667"/>
    </row>
    <row r="81" spans="1:5">
      <c r="A81" s="674"/>
      <c r="B81" s="667"/>
      <c r="C81" s="667"/>
      <c r="D81" s="667"/>
      <c r="E81" s="667"/>
    </row>
    <row r="82" spans="1:5">
      <c r="A82" s="674"/>
      <c r="B82" s="667"/>
      <c r="C82" s="667"/>
      <c r="D82" s="667"/>
      <c r="E82" s="667"/>
    </row>
    <row r="83" spans="1:5">
      <c r="A83" s="674"/>
      <c r="B83" s="667"/>
      <c r="C83" s="667"/>
      <c r="D83" s="667"/>
      <c r="E83" s="667"/>
    </row>
    <row r="84" spans="1:5">
      <c r="A84" s="674"/>
      <c r="B84" s="667"/>
      <c r="C84" s="667"/>
      <c r="D84" s="667"/>
      <c r="E84" s="667"/>
    </row>
    <row r="85" spans="1:5">
      <c r="A85" s="674"/>
      <c r="B85" s="667"/>
      <c r="C85" s="667"/>
      <c r="D85" s="667"/>
      <c r="E85" s="667"/>
    </row>
    <row r="86" spans="1:5">
      <c r="A86" s="674"/>
      <c r="B86" s="667"/>
      <c r="C86" s="667"/>
      <c r="D86" s="667"/>
      <c r="E86" s="667"/>
    </row>
    <row r="87" spans="1:5">
      <c r="A87" s="674"/>
      <c r="B87" s="667"/>
      <c r="C87" s="667"/>
      <c r="D87" s="667"/>
      <c r="E87" s="667"/>
    </row>
    <row r="88" spans="1:5">
      <c r="A88" s="674"/>
      <c r="B88" s="667"/>
      <c r="C88" s="667"/>
      <c r="D88" s="667"/>
      <c r="E88" s="667"/>
    </row>
    <row r="89" spans="1:5">
      <c r="A89" s="674"/>
      <c r="B89" s="667"/>
      <c r="C89" s="667"/>
      <c r="D89" s="667"/>
      <c r="E89" s="667"/>
    </row>
    <row r="90" spans="1:5">
      <c r="A90" s="674"/>
      <c r="B90" s="667"/>
      <c r="C90" s="667"/>
      <c r="D90" s="667"/>
      <c r="E90" s="667"/>
    </row>
    <row r="91" spans="1:5">
      <c r="A91" s="674"/>
      <c r="B91" s="667"/>
      <c r="C91" s="667"/>
      <c r="D91" s="667"/>
      <c r="E91" s="667"/>
    </row>
    <row r="92" spans="1:5">
      <c r="A92" s="674"/>
      <c r="B92" s="667"/>
      <c r="C92" s="667"/>
      <c r="D92" s="667"/>
      <c r="E92" s="667"/>
    </row>
    <row r="93" spans="1:5">
      <c r="A93" s="674"/>
      <c r="B93" s="667"/>
      <c r="C93" s="667"/>
      <c r="D93" s="667"/>
      <c r="E93" s="667"/>
    </row>
    <row r="94" spans="1:5">
      <c r="A94" s="674"/>
      <c r="B94" s="667"/>
      <c r="C94" s="667"/>
      <c r="D94" s="667"/>
      <c r="E94" s="667"/>
    </row>
    <row r="95" spans="1:5">
      <c r="A95" s="674"/>
      <c r="B95" s="667"/>
      <c r="C95" s="667"/>
      <c r="D95" s="667"/>
      <c r="E95" s="667"/>
    </row>
    <row r="96" spans="1:5">
      <c r="A96" s="674"/>
      <c r="B96" s="667"/>
      <c r="C96" s="667"/>
      <c r="D96" s="667"/>
      <c r="E96" s="667"/>
    </row>
    <row r="97" spans="1:5">
      <c r="A97" s="674"/>
      <c r="B97" s="667"/>
      <c r="C97" s="667"/>
      <c r="D97" s="667"/>
      <c r="E97" s="667"/>
    </row>
    <row r="98" spans="1:5">
      <c r="A98" s="674"/>
      <c r="B98" s="667"/>
      <c r="C98" s="667"/>
      <c r="D98" s="667"/>
      <c r="E98" s="667"/>
    </row>
    <row r="99" spans="1:5">
      <c r="A99" s="674"/>
      <c r="B99" s="667"/>
      <c r="C99" s="667"/>
      <c r="D99" s="667"/>
      <c r="E99" s="667"/>
    </row>
    <row r="100" spans="1:5">
      <c r="A100" s="674"/>
      <c r="B100" s="667"/>
      <c r="C100" s="667"/>
      <c r="D100" s="667"/>
      <c r="E100" s="667"/>
    </row>
    <row r="101" spans="1:5">
      <c r="A101" s="674"/>
      <c r="B101" s="667"/>
      <c r="C101" s="667"/>
      <c r="D101" s="667"/>
      <c r="E101" s="667"/>
    </row>
    <row r="102" spans="1:5">
      <c r="A102" s="674"/>
      <c r="B102" s="667"/>
      <c r="C102" s="667"/>
      <c r="D102" s="667"/>
      <c r="E102" s="667"/>
    </row>
    <row r="103" spans="1:5">
      <c r="A103" s="674"/>
      <c r="B103" s="667"/>
      <c r="C103" s="667"/>
      <c r="D103" s="667"/>
      <c r="E103" s="667"/>
    </row>
    <row r="104" spans="1:5">
      <c r="A104" s="674"/>
      <c r="B104" s="667"/>
      <c r="C104" s="667"/>
      <c r="D104" s="667"/>
      <c r="E104" s="667"/>
    </row>
    <row r="105" spans="1:5">
      <c r="A105" s="674"/>
      <c r="B105" s="667"/>
      <c r="C105" s="667"/>
      <c r="D105" s="667"/>
      <c r="E105" s="667"/>
    </row>
    <row r="106" spans="1:5">
      <c r="A106" s="674"/>
      <c r="B106" s="667"/>
      <c r="C106" s="667"/>
      <c r="D106" s="667"/>
      <c r="E106" s="667"/>
    </row>
    <row r="107" spans="1:5">
      <c r="A107" s="674"/>
      <c r="B107" s="667"/>
      <c r="C107" s="667"/>
      <c r="D107" s="667"/>
      <c r="E107" s="667"/>
    </row>
    <row r="108" spans="1:5">
      <c r="A108" s="674"/>
      <c r="B108" s="667"/>
      <c r="C108" s="667"/>
      <c r="D108" s="667"/>
      <c r="E108" s="667"/>
    </row>
    <row r="109" spans="1:5">
      <c r="A109" s="674"/>
      <c r="B109" s="667"/>
      <c r="C109" s="667"/>
      <c r="D109" s="667"/>
      <c r="E109" s="667"/>
    </row>
    <row r="110" spans="1:5">
      <c r="A110" s="674"/>
      <c r="B110" s="667"/>
      <c r="C110" s="667"/>
      <c r="D110" s="667"/>
      <c r="E110" s="667"/>
    </row>
    <row r="111" spans="1:5">
      <c r="A111" s="674"/>
      <c r="B111" s="667"/>
      <c r="C111" s="667"/>
      <c r="D111" s="667"/>
      <c r="E111" s="667"/>
    </row>
    <row r="112" spans="1:5">
      <c r="A112" s="674"/>
      <c r="B112" s="667"/>
      <c r="C112" s="667"/>
      <c r="D112" s="667"/>
      <c r="E112" s="667"/>
    </row>
    <row r="113" spans="1:5">
      <c r="A113" s="674"/>
      <c r="B113" s="667"/>
      <c r="C113" s="667"/>
      <c r="D113" s="667"/>
      <c r="E113" s="667"/>
    </row>
    <row r="114" spans="1:5">
      <c r="A114" s="674"/>
      <c r="B114" s="667"/>
      <c r="C114" s="667"/>
      <c r="D114" s="667"/>
      <c r="E114" s="667"/>
    </row>
    <row r="115" spans="1:5">
      <c r="A115" s="674"/>
      <c r="B115" s="667"/>
      <c r="C115" s="667"/>
      <c r="D115" s="667"/>
      <c r="E115" s="667"/>
    </row>
    <row r="116" spans="1:5">
      <c r="A116" s="674"/>
      <c r="B116" s="667"/>
      <c r="C116" s="667"/>
      <c r="D116" s="667"/>
      <c r="E116" s="667"/>
    </row>
    <row r="117" spans="1:5">
      <c r="A117" s="674"/>
      <c r="B117" s="667"/>
      <c r="C117" s="667"/>
      <c r="D117" s="667"/>
      <c r="E117" s="667"/>
    </row>
    <row r="118" spans="1:5">
      <c r="A118" s="674"/>
      <c r="B118" s="667"/>
      <c r="C118" s="667"/>
      <c r="D118" s="667"/>
      <c r="E118" s="667"/>
    </row>
    <row r="119" spans="1:5">
      <c r="A119" s="674"/>
      <c r="B119" s="667"/>
      <c r="C119" s="667"/>
      <c r="D119" s="667"/>
      <c r="E119" s="667"/>
    </row>
    <row r="120" spans="1:5">
      <c r="A120" s="674"/>
      <c r="B120" s="667"/>
      <c r="C120" s="667"/>
      <c r="D120" s="667"/>
      <c r="E120" s="667"/>
    </row>
    <row r="121" spans="1:5">
      <c r="A121" s="674"/>
      <c r="B121" s="667"/>
      <c r="C121" s="667"/>
      <c r="D121" s="667"/>
      <c r="E121" s="667"/>
    </row>
    <row r="122" spans="1:5">
      <c r="A122" s="674"/>
      <c r="B122" s="667"/>
      <c r="C122" s="667"/>
      <c r="D122" s="667"/>
      <c r="E122" s="667"/>
    </row>
    <row r="123" spans="1:5">
      <c r="A123" s="674"/>
      <c r="B123" s="667"/>
      <c r="C123" s="667"/>
      <c r="D123" s="667"/>
      <c r="E123" s="667"/>
    </row>
    <row r="124" spans="1:5">
      <c r="A124" s="674"/>
      <c r="B124" s="667"/>
      <c r="C124" s="667"/>
      <c r="D124" s="667"/>
      <c r="E124" s="667"/>
    </row>
    <row r="125" spans="1:5">
      <c r="A125" s="674"/>
      <c r="B125" s="667"/>
      <c r="C125" s="667"/>
      <c r="D125" s="667"/>
      <c r="E125" s="667"/>
    </row>
    <row r="126" spans="1:5">
      <c r="A126" s="674"/>
      <c r="B126" s="667"/>
      <c r="C126" s="667"/>
      <c r="D126" s="667"/>
      <c r="E126" s="667"/>
    </row>
    <row r="127" spans="1:5">
      <c r="A127" s="674"/>
      <c r="B127" s="667"/>
      <c r="C127" s="667"/>
      <c r="D127" s="667"/>
      <c r="E127" s="667"/>
    </row>
    <row r="128" spans="1:5">
      <c r="A128" s="674"/>
      <c r="B128" s="667"/>
      <c r="C128" s="667"/>
      <c r="D128" s="667"/>
      <c r="E128" s="667"/>
    </row>
    <row r="129" spans="1:5">
      <c r="A129" s="674"/>
      <c r="B129" s="667"/>
      <c r="C129" s="667"/>
      <c r="D129" s="667"/>
      <c r="E129" s="667"/>
    </row>
    <row r="130" spans="1:5">
      <c r="A130" s="674"/>
      <c r="B130" s="667"/>
      <c r="C130" s="667"/>
      <c r="D130" s="667"/>
      <c r="E130" s="667"/>
    </row>
    <row r="131" spans="1:5">
      <c r="A131" s="674"/>
      <c r="B131" s="667"/>
      <c r="C131" s="667"/>
      <c r="D131" s="667"/>
      <c r="E131" s="667"/>
    </row>
    <row r="132" spans="1:5">
      <c r="A132" s="674"/>
      <c r="B132" s="667"/>
      <c r="C132" s="667"/>
      <c r="D132" s="667"/>
      <c r="E132" s="667"/>
    </row>
    <row r="133" spans="1:5">
      <c r="A133" s="674"/>
      <c r="B133" s="667"/>
      <c r="C133" s="667"/>
      <c r="D133" s="667"/>
      <c r="E133" s="667"/>
    </row>
    <row r="134" spans="1:5">
      <c r="A134" s="674"/>
      <c r="B134" s="667"/>
      <c r="C134" s="667"/>
      <c r="D134" s="667"/>
      <c r="E134" s="667"/>
    </row>
    <row r="135" spans="1:5">
      <c r="A135" s="674"/>
      <c r="B135" s="667"/>
      <c r="C135" s="667"/>
      <c r="D135" s="667"/>
      <c r="E135" s="667"/>
    </row>
    <row r="136" spans="1:5">
      <c r="A136" s="674"/>
      <c r="B136" s="667"/>
      <c r="C136" s="667"/>
      <c r="D136" s="667"/>
      <c r="E136" s="667"/>
    </row>
    <row r="137" spans="1:5">
      <c r="A137" s="674"/>
      <c r="B137" s="667"/>
      <c r="C137" s="667"/>
      <c r="D137" s="667"/>
      <c r="E137" s="667"/>
    </row>
    <row r="138" spans="1:5">
      <c r="A138" s="674"/>
      <c r="B138" s="667"/>
      <c r="C138" s="667"/>
      <c r="D138" s="667"/>
      <c r="E138" s="667"/>
    </row>
    <row r="139" spans="1:5">
      <c r="A139" s="674"/>
      <c r="B139" s="667"/>
      <c r="C139" s="667"/>
      <c r="D139" s="667"/>
      <c r="E139" s="667"/>
    </row>
    <row r="140" spans="1:5">
      <c r="A140" s="674"/>
      <c r="B140" s="667"/>
      <c r="C140" s="667"/>
      <c r="D140" s="667"/>
      <c r="E140" s="667"/>
    </row>
    <row r="141" spans="1:5">
      <c r="A141" s="674"/>
      <c r="B141" s="667"/>
      <c r="C141" s="667"/>
      <c r="D141" s="667"/>
      <c r="E141" s="667"/>
    </row>
    <row r="142" spans="1:5">
      <c r="A142" s="674"/>
      <c r="B142" s="667"/>
      <c r="C142" s="667"/>
      <c r="D142" s="667"/>
      <c r="E142" s="667"/>
    </row>
    <row r="143" spans="1:5">
      <c r="A143" s="674"/>
      <c r="B143" s="667"/>
      <c r="C143" s="667"/>
      <c r="D143" s="667"/>
      <c r="E143" s="667"/>
    </row>
    <row r="144" spans="1:5">
      <c r="A144" s="674"/>
      <c r="B144" s="667"/>
      <c r="C144" s="667"/>
      <c r="D144" s="667"/>
      <c r="E144" s="667"/>
    </row>
    <row r="145" spans="1:5">
      <c r="A145" s="674"/>
      <c r="B145" s="667"/>
      <c r="C145" s="667"/>
      <c r="D145" s="667"/>
      <c r="E145" s="667"/>
    </row>
    <row r="146" spans="1:5">
      <c r="A146" s="674"/>
      <c r="B146" s="667"/>
      <c r="C146" s="667"/>
      <c r="D146" s="667"/>
      <c r="E146" s="667"/>
    </row>
    <row r="147" spans="1:5">
      <c r="A147" s="674"/>
      <c r="B147" s="667"/>
      <c r="C147" s="667"/>
      <c r="D147" s="667"/>
      <c r="E147" s="667"/>
    </row>
    <row r="148" spans="1:5">
      <c r="A148" s="674"/>
      <c r="B148" s="667"/>
      <c r="C148" s="667"/>
      <c r="D148" s="667"/>
      <c r="E148" s="667"/>
    </row>
    <row r="149" spans="1:5">
      <c r="A149" s="674"/>
      <c r="B149" s="667"/>
      <c r="C149" s="667"/>
      <c r="D149" s="667"/>
      <c r="E149" s="667"/>
    </row>
    <row r="150" spans="1:5">
      <c r="A150" s="674"/>
      <c r="B150" s="667"/>
      <c r="C150" s="667"/>
      <c r="D150" s="667"/>
      <c r="E150" s="667"/>
    </row>
    <row r="151" spans="1:5">
      <c r="A151" s="674"/>
      <c r="B151" s="667"/>
      <c r="C151" s="667"/>
      <c r="D151" s="667"/>
      <c r="E151" s="667"/>
    </row>
    <row r="152" spans="1:5">
      <c r="A152" s="674"/>
      <c r="B152" s="667"/>
      <c r="C152" s="667"/>
      <c r="D152" s="667"/>
      <c r="E152" s="667"/>
    </row>
    <row r="153" spans="1:5">
      <c r="A153" s="674"/>
      <c r="B153" s="667"/>
      <c r="C153" s="667"/>
      <c r="D153" s="667"/>
      <c r="E153" s="667"/>
    </row>
    <row r="154" spans="1:5">
      <c r="A154" s="674"/>
      <c r="B154" s="667"/>
      <c r="C154" s="667"/>
      <c r="D154" s="667"/>
      <c r="E154" s="667"/>
    </row>
    <row r="155" spans="1:5">
      <c r="A155" s="674"/>
      <c r="B155" s="667"/>
      <c r="C155" s="667"/>
      <c r="D155" s="667"/>
      <c r="E155" s="667"/>
    </row>
    <row r="156" spans="1:5">
      <c r="A156" s="674"/>
      <c r="B156" s="667"/>
      <c r="C156" s="667"/>
      <c r="D156" s="667"/>
      <c r="E156" s="667"/>
    </row>
    <row r="157" spans="1:5">
      <c r="A157" s="674"/>
      <c r="B157" s="667"/>
      <c r="C157" s="667"/>
      <c r="D157" s="667"/>
      <c r="E157" s="667"/>
    </row>
    <row r="158" spans="1:5">
      <c r="A158" s="674"/>
      <c r="B158" s="667"/>
      <c r="C158" s="667"/>
      <c r="D158" s="667"/>
      <c r="E158" s="667"/>
    </row>
    <row r="159" spans="1:5">
      <c r="A159" s="674"/>
      <c r="B159" s="667"/>
      <c r="C159" s="667"/>
      <c r="D159" s="667"/>
      <c r="E159" s="667"/>
    </row>
    <row r="160" spans="1:5">
      <c r="A160" s="674"/>
      <c r="B160" s="667"/>
      <c r="C160" s="667"/>
      <c r="D160" s="667"/>
      <c r="E160" s="667"/>
    </row>
    <row r="161" spans="1:5">
      <c r="A161" s="674"/>
      <c r="B161" s="667"/>
      <c r="C161" s="667"/>
      <c r="D161" s="667"/>
      <c r="E161" s="667"/>
    </row>
    <row r="162" spans="1:5">
      <c r="A162" s="674"/>
      <c r="B162" s="667"/>
      <c r="C162" s="667"/>
      <c r="D162" s="667"/>
      <c r="E162" s="667"/>
    </row>
    <row r="163" spans="1:5">
      <c r="A163" s="674"/>
      <c r="B163" s="667"/>
      <c r="C163" s="667"/>
      <c r="D163" s="667"/>
      <c r="E163" s="667"/>
    </row>
    <row r="164" spans="1:5">
      <c r="A164" s="674"/>
      <c r="B164" s="667"/>
      <c r="C164" s="667"/>
      <c r="D164" s="667"/>
      <c r="E164" s="667"/>
    </row>
    <row r="165" spans="1:5">
      <c r="A165" s="674"/>
      <c r="B165" s="667"/>
      <c r="C165" s="667"/>
      <c r="D165" s="667"/>
      <c r="E165" s="667"/>
    </row>
    <row r="166" spans="1:5">
      <c r="A166" s="674"/>
      <c r="B166" s="667"/>
      <c r="C166" s="667"/>
      <c r="D166" s="667"/>
      <c r="E166" s="667"/>
    </row>
    <row r="167" spans="1:5">
      <c r="A167" s="674"/>
      <c r="B167" s="667"/>
      <c r="C167" s="667"/>
      <c r="D167" s="667"/>
      <c r="E167" s="667"/>
    </row>
    <row r="168" spans="1:5">
      <c r="A168" s="674"/>
      <c r="B168" s="667"/>
      <c r="C168" s="667"/>
      <c r="D168" s="667"/>
      <c r="E168" s="667"/>
    </row>
    <row r="169" spans="1:5">
      <c r="A169" s="674"/>
      <c r="B169" s="667"/>
      <c r="C169" s="667"/>
      <c r="D169" s="667"/>
      <c r="E169" s="667"/>
    </row>
    <row r="170" spans="1:5">
      <c r="A170" s="674"/>
      <c r="B170" s="667"/>
      <c r="C170" s="667"/>
      <c r="D170" s="667"/>
      <c r="E170" s="667"/>
    </row>
    <row r="171" spans="1:5">
      <c r="A171" s="674"/>
      <c r="B171" s="667"/>
      <c r="C171" s="667"/>
      <c r="D171" s="667"/>
      <c r="E171" s="667"/>
    </row>
    <row r="172" spans="1:5">
      <c r="A172" s="674"/>
      <c r="B172" s="667"/>
      <c r="C172" s="667"/>
      <c r="D172" s="667"/>
      <c r="E172" s="667"/>
    </row>
    <row r="173" spans="1:5">
      <c r="A173" s="674"/>
      <c r="B173" s="667"/>
      <c r="C173" s="667"/>
      <c r="D173" s="667"/>
      <c r="E173" s="667"/>
    </row>
    <row r="174" spans="1:5">
      <c r="A174" s="674"/>
      <c r="B174" s="667"/>
      <c r="C174" s="667"/>
      <c r="D174" s="667"/>
      <c r="E174" s="667"/>
    </row>
    <row r="175" spans="1:5">
      <c r="A175" s="674"/>
      <c r="B175" s="667"/>
      <c r="C175" s="667"/>
      <c r="D175" s="667"/>
      <c r="E175" s="667"/>
    </row>
    <row r="176" spans="1:5">
      <c r="A176" s="674"/>
      <c r="B176" s="667"/>
      <c r="C176" s="667"/>
      <c r="D176" s="667"/>
      <c r="E176" s="667"/>
    </row>
    <row r="177" spans="1:5">
      <c r="A177" s="674"/>
      <c r="B177" s="667"/>
      <c r="C177" s="667"/>
      <c r="D177" s="667"/>
      <c r="E177" s="667"/>
    </row>
    <row r="178" spans="1:5">
      <c r="A178" s="674"/>
      <c r="B178" s="667"/>
      <c r="C178" s="667"/>
      <c r="D178" s="667"/>
      <c r="E178" s="667"/>
    </row>
    <row r="179" spans="1:5">
      <c r="A179" s="674"/>
      <c r="B179" s="667"/>
      <c r="C179" s="667"/>
      <c r="D179" s="667"/>
      <c r="E179" s="667"/>
    </row>
    <row r="180" spans="1:5">
      <c r="A180" s="674"/>
      <c r="B180" s="667"/>
      <c r="C180" s="667"/>
      <c r="D180" s="667"/>
      <c r="E180" s="667"/>
    </row>
    <row r="181" spans="1:5">
      <c r="A181" s="674"/>
      <c r="B181" s="667"/>
      <c r="C181" s="667"/>
      <c r="D181" s="667"/>
      <c r="E181" s="667"/>
    </row>
    <row r="182" spans="1:5">
      <c r="A182" s="674"/>
      <c r="B182" s="667"/>
      <c r="C182" s="667"/>
      <c r="D182" s="667"/>
      <c r="E182" s="667"/>
    </row>
    <row r="183" spans="1:5">
      <c r="A183" s="674"/>
      <c r="B183" s="667"/>
      <c r="C183" s="667"/>
      <c r="D183" s="667"/>
      <c r="E183" s="667"/>
    </row>
    <row r="184" spans="1:5">
      <c r="A184" s="674"/>
      <c r="B184" s="667"/>
      <c r="C184" s="667"/>
      <c r="D184" s="667"/>
      <c r="E184" s="667"/>
    </row>
    <row r="185" spans="1:5">
      <c r="A185" s="674"/>
      <c r="B185" s="667"/>
      <c r="C185" s="667"/>
      <c r="D185" s="667"/>
      <c r="E185" s="667"/>
    </row>
    <row r="186" spans="1:5">
      <c r="A186" s="674"/>
      <c r="B186" s="667"/>
      <c r="C186" s="667"/>
      <c r="D186" s="667"/>
      <c r="E186" s="667"/>
    </row>
    <row r="187" spans="1:5">
      <c r="A187" s="674"/>
      <c r="B187" s="667"/>
      <c r="C187" s="667"/>
      <c r="D187" s="667"/>
      <c r="E187" s="667"/>
    </row>
    <row r="188" spans="1:5">
      <c r="A188" s="674"/>
      <c r="B188" s="667"/>
      <c r="C188" s="667"/>
      <c r="D188" s="667"/>
      <c r="E188" s="667"/>
    </row>
    <row r="189" spans="1:5">
      <c r="A189" s="674"/>
      <c r="B189" s="667"/>
      <c r="C189" s="667"/>
      <c r="D189" s="667"/>
      <c r="E189" s="667"/>
    </row>
    <row r="190" spans="1:5">
      <c r="A190" s="674"/>
      <c r="B190" s="667"/>
      <c r="C190" s="667"/>
      <c r="D190" s="667"/>
      <c r="E190" s="667"/>
    </row>
    <row r="191" spans="1:5">
      <c r="A191" s="674"/>
      <c r="B191" s="667"/>
      <c r="C191" s="667"/>
      <c r="D191" s="667"/>
      <c r="E191" s="667"/>
    </row>
    <row r="192" spans="1:5">
      <c r="A192" s="674"/>
      <c r="B192" s="667"/>
      <c r="C192" s="667"/>
      <c r="D192" s="667"/>
      <c r="E192" s="667"/>
    </row>
    <row r="193" spans="1:5">
      <c r="A193" s="674"/>
      <c r="B193" s="667"/>
      <c r="C193" s="667"/>
      <c r="D193" s="667"/>
      <c r="E193" s="667"/>
    </row>
    <row r="194" spans="1:5">
      <c r="A194" s="674"/>
      <c r="B194" s="667"/>
      <c r="C194" s="667"/>
      <c r="D194" s="667"/>
      <c r="E194" s="667"/>
    </row>
    <row r="195" spans="1:5">
      <c r="A195" s="674"/>
      <c r="B195" s="667"/>
      <c r="C195" s="667"/>
      <c r="D195" s="667"/>
      <c r="E195" s="667"/>
    </row>
    <row r="196" spans="1:5">
      <c r="A196" s="674"/>
      <c r="B196" s="667"/>
      <c r="C196" s="667"/>
      <c r="D196" s="667"/>
      <c r="E196" s="667"/>
    </row>
    <row r="197" spans="1:5">
      <c r="A197" s="674"/>
      <c r="B197" s="667"/>
      <c r="C197" s="667"/>
      <c r="D197" s="667"/>
      <c r="E197" s="667"/>
    </row>
    <row r="198" spans="1:5">
      <c r="A198" s="674"/>
      <c r="B198" s="667"/>
      <c r="C198" s="667"/>
      <c r="D198" s="667"/>
      <c r="E198" s="667"/>
    </row>
    <row r="199" spans="1:5">
      <c r="A199" s="674"/>
      <c r="B199" s="667"/>
      <c r="C199" s="667"/>
      <c r="D199" s="667"/>
      <c r="E199" s="667"/>
    </row>
    <row r="200" spans="1:5">
      <c r="A200" s="674"/>
      <c r="B200" s="667"/>
      <c r="C200" s="667"/>
      <c r="D200" s="667"/>
      <c r="E200" s="667"/>
    </row>
    <row r="201" spans="1:5">
      <c r="A201" s="674"/>
      <c r="B201" s="667"/>
      <c r="C201" s="667"/>
      <c r="D201" s="667"/>
      <c r="E201" s="667"/>
    </row>
    <row r="202" spans="1:5">
      <c r="A202" s="674"/>
      <c r="B202" s="667"/>
      <c r="C202" s="667"/>
      <c r="D202" s="667"/>
      <c r="E202" s="667"/>
    </row>
    <row r="203" spans="1:5">
      <c r="A203" s="674"/>
      <c r="B203" s="667"/>
      <c r="C203" s="667"/>
      <c r="D203" s="667"/>
      <c r="E203" s="667"/>
    </row>
    <row r="204" spans="1:5">
      <c r="A204" s="674"/>
      <c r="B204" s="667"/>
      <c r="C204" s="667"/>
      <c r="D204" s="667"/>
      <c r="E204" s="667"/>
    </row>
    <row r="205" spans="1:5">
      <c r="A205" s="674"/>
      <c r="B205" s="667"/>
      <c r="C205" s="667"/>
      <c r="D205" s="667"/>
      <c r="E205" s="667"/>
    </row>
    <row r="206" spans="1:5">
      <c r="A206" s="674"/>
      <c r="B206" s="667"/>
      <c r="C206" s="667"/>
      <c r="D206" s="667"/>
      <c r="E206" s="667"/>
    </row>
    <row r="207" spans="1:5">
      <c r="A207" s="674"/>
      <c r="B207" s="667"/>
      <c r="C207" s="667"/>
      <c r="D207" s="667"/>
      <c r="E207" s="667"/>
    </row>
    <row r="208" spans="1:5">
      <c r="A208" s="674"/>
      <c r="B208" s="667"/>
      <c r="C208" s="667"/>
      <c r="D208" s="667"/>
      <c r="E208" s="667"/>
    </row>
    <row r="209" spans="1:5">
      <c r="A209" s="674"/>
      <c r="B209" s="667"/>
      <c r="C209" s="667"/>
      <c r="D209" s="667"/>
      <c r="E209" s="667"/>
    </row>
    <row r="210" spans="1:5">
      <c r="A210" s="674"/>
      <c r="B210" s="667"/>
      <c r="C210" s="667"/>
      <c r="D210" s="667"/>
      <c r="E210" s="667"/>
    </row>
    <row r="211" spans="1:5">
      <c r="A211" s="674"/>
      <c r="B211" s="667"/>
      <c r="C211" s="667"/>
      <c r="D211" s="667"/>
      <c r="E211" s="667"/>
    </row>
    <row r="212" spans="1:5">
      <c r="A212" s="674"/>
      <c r="B212" s="667"/>
      <c r="C212" s="667"/>
      <c r="D212" s="667"/>
      <c r="E212" s="667"/>
    </row>
    <row r="213" spans="1:5">
      <c r="A213" s="674"/>
      <c r="B213" s="667"/>
      <c r="C213" s="667"/>
      <c r="D213" s="667"/>
      <c r="E213" s="667"/>
    </row>
    <row r="214" spans="1:5">
      <c r="A214" s="674"/>
      <c r="B214" s="667"/>
      <c r="C214" s="667"/>
      <c r="D214" s="667"/>
      <c r="E214" s="667"/>
    </row>
    <row r="215" spans="1:5">
      <c r="A215" s="674"/>
      <c r="B215" s="667"/>
      <c r="C215" s="667"/>
      <c r="D215" s="667"/>
      <c r="E215" s="667"/>
    </row>
  </sheetData>
  <sheetProtection password="CA9F" sheet="1"/>
  <mergeCells count="4">
    <mergeCell ref="B1:G1"/>
    <mergeCell ref="A3:E3"/>
    <mergeCell ref="A5:B5"/>
    <mergeCell ref="C5:E5"/>
  </mergeCells>
  <dataValidations count="1">
    <dataValidation type="whole" allowBlank="1" showInputMessage="1" showErrorMessage="1" sqref="E7">
      <formula1>1</formula1>
      <formula2>100000000000</formula2>
    </dataValidation>
  </dataValidations>
  <pageMargins left="0.7" right="0.7" top="0.75" bottom="0.75" header="0.3" footer="0.3"/>
  <pageSetup scale="97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A43" workbookViewId="0">
      <selection activeCell="G77" sqref="G77"/>
    </sheetView>
  </sheetViews>
  <sheetFormatPr defaultColWidth="9.1796875" defaultRowHeight="13"/>
  <cols>
    <col min="1" max="1" width="4.81640625" style="656" customWidth="1"/>
    <col min="2" max="2" width="32.54296875" style="665" customWidth="1"/>
    <col min="3" max="3" width="9.1796875" style="665"/>
    <col min="4" max="4" width="18.1796875" style="665" customWidth="1"/>
    <col min="5" max="5" width="18.54296875" style="665" customWidth="1"/>
    <col min="6" max="6" width="16.7265625" style="665" customWidth="1"/>
    <col min="7" max="7" width="9" style="665" customWidth="1"/>
    <col min="8" max="16384" width="9.1796875" style="665"/>
  </cols>
  <sheetData>
    <row r="1" spans="1:24" s="1038" customFormat="1" ht="36.75" customHeight="1">
      <c r="A1" s="656"/>
      <c r="B1" s="1037"/>
      <c r="D1" s="1198" t="s">
        <v>1014</v>
      </c>
      <c r="E1" s="1198"/>
      <c r="F1" s="1198"/>
      <c r="G1" s="1198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</row>
    <row r="2" spans="1:24" s="1038" customFormat="1">
      <c r="A2" s="1027"/>
      <c r="B2" s="576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1:24" s="1038" customFormat="1" ht="18.75" customHeight="1">
      <c r="A3" s="1174" t="s">
        <v>998</v>
      </c>
      <c r="B3" s="1231"/>
      <c r="C3" s="1231"/>
      <c r="D3" s="1231"/>
      <c r="E3" s="1231"/>
      <c r="F3" s="1231"/>
      <c r="G3" s="1231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</row>
    <row r="4" spans="1:24" s="1038" customFormat="1">
      <c r="A4" s="1027"/>
      <c r="B4" s="576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</row>
    <row r="5" spans="1:24" s="1038" customFormat="1">
      <c r="A5" s="1195" t="str">
        <f>+i.04108!A7</f>
        <v>Даатгагчийн нэр:</v>
      </c>
      <c r="B5" s="1056"/>
      <c r="C5" s="1056"/>
      <c r="D5" s="1029"/>
      <c r="E5" s="242"/>
      <c r="F5" s="1197" t="str">
        <f>+i.04108!F7</f>
        <v>..... оны .... сарын ...-ны өдөр</v>
      </c>
      <c r="G5" s="1197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4" s="1038" customFormat="1">
      <c r="A6" s="1039"/>
      <c r="B6" s="576"/>
      <c r="C6" s="242"/>
      <c r="D6" s="242"/>
      <c r="E6" s="1027"/>
      <c r="F6" s="242"/>
      <c r="G6" s="1028" t="s">
        <v>1</v>
      </c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</row>
    <row r="7" spans="1:24" ht="26">
      <c r="A7" s="815"/>
      <c r="B7" s="426" t="s">
        <v>3</v>
      </c>
      <c r="C7" s="427" t="s">
        <v>4</v>
      </c>
      <c r="D7" s="428" t="s">
        <v>12</v>
      </c>
      <c r="E7" s="428" t="s">
        <v>56</v>
      </c>
      <c r="F7" s="428" t="s">
        <v>518</v>
      </c>
      <c r="G7" s="428" t="s">
        <v>519</v>
      </c>
    </row>
    <row r="8" spans="1:24">
      <c r="A8" s="429" t="s">
        <v>6</v>
      </c>
      <c r="B8" s="428" t="s">
        <v>7</v>
      </c>
      <c r="C8" s="428" t="s">
        <v>8</v>
      </c>
      <c r="D8" s="428">
        <v>1</v>
      </c>
      <c r="E8" s="428">
        <v>2</v>
      </c>
      <c r="F8" s="430">
        <v>3</v>
      </c>
      <c r="G8" s="428">
        <v>4</v>
      </c>
    </row>
    <row r="9" spans="1:24">
      <c r="A9" s="815">
        <v>1</v>
      </c>
      <c r="B9" s="426" t="s">
        <v>14</v>
      </c>
      <c r="C9" s="428">
        <v>1</v>
      </c>
      <c r="D9" s="907"/>
      <c r="E9" s="449"/>
      <c r="F9" s="906">
        <f t="shared" ref="F9:F36" si="0">SUM(D9+E9)</f>
        <v>0</v>
      </c>
      <c r="G9" s="454" t="e">
        <f t="shared" ref="G9:G40" si="1">F9/$F$67</f>
        <v>#DIV/0!</v>
      </c>
      <c r="H9" s="1022" t="e">
        <f>IF(G9&lt;0.02,"", "журамд заасан хувиас хэтрүүлж байршуулсан")</f>
        <v>#DIV/0!</v>
      </c>
    </row>
    <row r="10" spans="1:24">
      <c r="A10" s="815">
        <v>2</v>
      </c>
      <c r="B10" s="433" t="s">
        <v>1042</v>
      </c>
      <c r="C10" s="428">
        <f t="shared" ref="C10:C37" si="2">C9+1</f>
        <v>2</v>
      </c>
      <c r="D10" s="451">
        <f>SUM(D11:D23)</f>
        <v>0</v>
      </c>
      <c r="E10" s="451">
        <f>SUM(M11:M23)</f>
        <v>0</v>
      </c>
      <c r="F10" s="906">
        <f t="shared" si="0"/>
        <v>0</v>
      </c>
      <c r="G10" s="454" t="e">
        <f t="shared" si="1"/>
        <v>#DIV/0!</v>
      </c>
    </row>
    <row r="11" spans="1:24">
      <c r="A11" s="816" t="s">
        <v>87</v>
      </c>
      <c r="B11" s="435" t="str">
        <f>"Ариг банк"</f>
        <v>Ариг банк</v>
      </c>
      <c r="C11" s="436">
        <f t="shared" si="2"/>
        <v>3</v>
      </c>
      <c r="D11" s="854"/>
      <c r="E11" s="856"/>
      <c r="F11" s="855">
        <f t="shared" si="0"/>
        <v>0</v>
      </c>
      <c r="G11" s="454" t="e">
        <f t="shared" si="1"/>
        <v>#DIV/0!</v>
      </c>
    </row>
    <row r="12" spans="1:24">
      <c r="A12" s="816" t="s">
        <v>160</v>
      </c>
      <c r="B12" s="435" t="str">
        <f>"Богд банк"</f>
        <v>Богд банк</v>
      </c>
      <c r="C12" s="436">
        <f t="shared" si="2"/>
        <v>4</v>
      </c>
      <c r="D12" s="854"/>
      <c r="E12" s="838"/>
      <c r="F12" s="855">
        <f t="shared" si="0"/>
        <v>0</v>
      </c>
      <c r="G12" s="454" t="e">
        <f t="shared" si="1"/>
        <v>#DIV/0!</v>
      </c>
    </row>
    <row r="13" spans="1:24">
      <c r="A13" s="816" t="s">
        <v>180</v>
      </c>
      <c r="B13" s="435" t="str">
        <f>"Голомт банк"</f>
        <v>Голомт банк</v>
      </c>
      <c r="C13" s="436">
        <f t="shared" si="2"/>
        <v>5</v>
      </c>
      <c r="D13" s="854"/>
      <c r="E13" s="838"/>
      <c r="F13" s="855">
        <f t="shared" si="0"/>
        <v>0</v>
      </c>
      <c r="G13" s="454" t="e">
        <f t="shared" si="1"/>
        <v>#DIV/0!</v>
      </c>
    </row>
    <row r="14" spans="1:24">
      <c r="A14" s="816" t="s">
        <v>547</v>
      </c>
      <c r="B14" s="435" t="str">
        <f>"Капитрон банк"</f>
        <v>Капитрон банк</v>
      </c>
      <c r="C14" s="436">
        <f t="shared" si="2"/>
        <v>6</v>
      </c>
      <c r="D14" s="854"/>
      <c r="E14" s="838"/>
      <c r="F14" s="855">
        <f t="shared" si="0"/>
        <v>0</v>
      </c>
      <c r="G14" s="454" t="e">
        <f t="shared" si="1"/>
        <v>#DIV/0!</v>
      </c>
    </row>
    <row r="15" spans="1:24">
      <c r="A15" s="816" t="s">
        <v>548</v>
      </c>
      <c r="B15" s="435" t="str">
        <f>"Кредит банк"</f>
        <v>Кредит банк</v>
      </c>
      <c r="C15" s="436">
        <f t="shared" si="2"/>
        <v>7</v>
      </c>
      <c r="D15" s="854"/>
      <c r="E15" s="838"/>
      <c r="F15" s="855">
        <f t="shared" si="0"/>
        <v>0</v>
      </c>
      <c r="G15" s="454" t="e">
        <f t="shared" si="1"/>
        <v>#DIV/0!</v>
      </c>
    </row>
    <row r="16" spans="1:24">
      <c r="A16" s="816" t="s">
        <v>549</v>
      </c>
      <c r="B16" s="435" t="str">
        <f>"Төрийн банк"</f>
        <v>Төрийн банк</v>
      </c>
      <c r="C16" s="436">
        <f t="shared" si="2"/>
        <v>8</v>
      </c>
      <c r="D16" s="854"/>
      <c r="E16" s="838"/>
      <c r="F16" s="855">
        <f t="shared" si="0"/>
        <v>0</v>
      </c>
      <c r="G16" s="454" t="e">
        <f t="shared" si="1"/>
        <v>#DIV/0!</v>
      </c>
    </row>
    <row r="17" spans="1:7">
      <c r="A17" s="816" t="s">
        <v>550</v>
      </c>
      <c r="B17" s="435" t="str">
        <f>"Тээвэр Хөгжлийн банк"</f>
        <v>Тээвэр Хөгжлийн банк</v>
      </c>
      <c r="C17" s="436">
        <f t="shared" si="2"/>
        <v>9</v>
      </c>
      <c r="D17" s="854"/>
      <c r="E17" s="838"/>
      <c r="F17" s="855">
        <f t="shared" si="0"/>
        <v>0</v>
      </c>
      <c r="G17" s="454" t="e">
        <f t="shared" si="1"/>
        <v>#DIV/0!</v>
      </c>
    </row>
    <row r="18" spans="1:7">
      <c r="A18" s="816" t="s">
        <v>551</v>
      </c>
      <c r="B18" s="435" t="str">
        <f>"Улаанбаатар хотын банк"</f>
        <v>Улаанбаатар хотын банк</v>
      </c>
      <c r="C18" s="436">
        <f t="shared" si="2"/>
        <v>10</v>
      </c>
      <c r="D18" s="854"/>
      <c r="E18" s="838"/>
      <c r="F18" s="855">
        <f t="shared" si="0"/>
        <v>0</v>
      </c>
      <c r="G18" s="454" t="e">
        <f t="shared" si="1"/>
        <v>#DIV/0!</v>
      </c>
    </row>
    <row r="19" spans="1:7">
      <c r="A19" s="816" t="s">
        <v>552</v>
      </c>
      <c r="B19" s="435" t="str">
        <f>"Үндэсний хөрөнгө оруулалтын банк"</f>
        <v>Үндэсний хөрөнгө оруулалтын банк</v>
      </c>
      <c r="C19" s="436">
        <f t="shared" si="2"/>
        <v>11</v>
      </c>
      <c r="D19" s="854"/>
      <c r="E19" s="838"/>
      <c r="F19" s="855">
        <f t="shared" si="0"/>
        <v>0</v>
      </c>
      <c r="G19" s="454" t="e">
        <f t="shared" si="1"/>
        <v>#DIV/0!</v>
      </c>
    </row>
    <row r="20" spans="1:7">
      <c r="A20" s="816" t="s">
        <v>553</v>
      </c>
      <c r="B20" s="435" t="str">
        <f>"Хаан банк"</f>
        <v>Хаан банк</v>
      </c>
      <c r="C20" s="436">
        <f t="shared" si="2"/>
        <v>12</v>
      </c>
      <c r="D20" s="854"/>
      <c r="E20" s="838"/>
      <c r="F20" s="855">
        <f t="shared" si="0"/>
        <v>0</v>
      </c>
      <c r="G20" s="454" t="e">
        <f t="shared" si="1"/>
        <v>#DIV/0!</v>
      </c>
    </row>
    <row r="21" spans="1:7">
      <c r="A21" s="816" t="s">
        <v>554</v>
      </c>
      <c r="B21" s="435" t="str">
        <f>"Хас банк"</f>
        <v>Хас банк</v>
      </c>
      <c r="C21" s="436">
        <f t="shared" si="2"/>
        <v>13</v>
      </c>
      <c r="D21" s="854"/>
      <c r="E21" s="838"/>
      <c r="F21" s="855">
        <f t="shared" si="0"/>
        <v>0</v>
      </c>
      <c r="G21" s="454" t="e">
        <f t="shared" si="1"/>
        <v>#DIV/0!</v>
      </c>
    </row>
    <row r="22" spans="1:7">
      <c r="A22" s="816" t="s">
        <v>555</v>
      </c>
      <c r="B22" s="435" t="str">
        <f>"Худалдаа хөгжлийн банк"</f>
        <v>Худалдаа хөгжлийн банк</v>
      </c>
      <c r="C22" s="436">
        <f t="shared" si="2"/>
        <v>14</v>
      </c>
      <c r="D22" s="854"/>
      <c r="E22" s="838"/>
      <c r="F22" s="855">
        <f t="shared" si="0"/>
        <v>0</v>
      </c>
      <c r="G22" s="454" t="e">
        <f t="shared" si="1"/>
        <v>#DIV/0!</v>
      </c>
    </row>
    <row r="23" spans="1:7">
      <c r="A23" s="816" t="s">
        <v>556</v>
      </c>
      <c r="B23" s="435" t="str">
        <f>"Чингис хаан банк"</f>
        <v>Чингис хаан банк</v>
      </c>
      <c r="C23" s="436">
        <f t="shared" si="2"/>
        <v>15</v>
      </c>
      <c r="D23" s="854"/>
      <c r="E23" s="838"/>
      <c r="F23" s="855">
        <f t="shared" si="0"/>
        <v>0</v>
      </c>
      <c r="G23" s="454" t="e">
        <f t="shared" si="1"/>
        <v>#DIV/0!</v>
      </c>
    </row>
    <row r="24" spans="1:7" ht="26">
      <c r="A24" s="815">
        <f>+A10+1</f>
        <v>3</v>
      </c>
      <c r="B24" s="433" t="s">
        <v>1043</v>
      </c>
      <c r="C24" s="428">
        <f>+C23+1</f>
        <v>16</v>
      </c>
      <c r="D24" s="451">
        <f>SUM(D25:D37)</f>
        <v>0</v>
      </c>
      <c r="E24" s="451">
        <f>SUM(E25:E37)</f>
        <v>0</v>
      </c>
      <c r="F24" s="906">
        <f t="shared" si="0"/>
        <v>0</v>
      </c>
      <c r="G24" s="454" t="e">
        <f t="shared" si="1"/>
        <v>#DIV/0!</v>
      </c>
    </row>
    <row r="25" spans="1:7">
      <c r="A25" s="816" t="s">
        <v>361</v>
      </c>
      <c r="B25" s="435" t="str">
        <f>"Ариг банк"</f>
        <v>Ариг банк</v>
      </c>
      <c r="C25" s="436">
        <f t="shared" si="2"/>
        <v>17</v>
      </c>
      <c r="D25" s="854"/>
      <c r="E25" s="856"/>
      <c r="F25" s="855">
        <f t="shared" si="0"/>
        <v>0</v>
      </c>
      <c r="G25" s="454" t="e">
        <f t="shared" si="1"/>
        <v>#DIV/0!</v>
      </c>
    </row>
    <row r="26" spans="1:7">
      <c r="A26" s="816" t="s">
        <v>363</v>
      </c>
      <c r="B26" s="435" t="str">
        <f>"Богд банк"</f>
        <v>Богд банк</v>
      </c>
      <c r="C26" s="436">
        <f t="shared" si="2"/>
        <v>18</v>
      </c>
      <c r="D26" s="854"/>
      <c r="E26" s="856"/>
      <c r="F26" s="855">
        <f t="shared" si="0"/>
        <v>0</v>
      </c>
      <c r="G26" s="454" t="e">
        <f t="shared" si="1"/>
        <v>#DIV/0!</v>
      </c>
    </row>
    <row r="27" spans="1:7">
      <c r="A27" s="816" t="s">
        <v>365</v>
      </c>
      <c r="B27" s="435" t="str">
        <f>"Голомт банк"</f>
        <v>Голомт банк</v>
      </c>
      <c r="C27" s="436">
        <f t="shared" si="2"/>
        <v>19</v>
      </c>
      <c r="D27" s="854"/>
      <c r="E27" s="856"/>
      <c r="F27" s="855">
        <f t="shared" si="0"/>
        <v>0</v>
      </c>
      <c r="G27" s="454" t="e">
        <f t="shared" si="1"/>
        <v>#DIV/0!</v>
      </c>
    </row>
    <row r="28" spans="1:7">
      <c r="A28" s="816" t="s">
        <v>557</v>
      </c>
      <c r="B28" s="435" t="str">
        <f>"Капитрон банк"</f>
        <v>Капитрон банк</v>
      </c>
      <c r="C28" s="436">
        <f t="shared" si="2"/>
        <v>20</v>
      </c>
      <c r="D28" s="854"/>
      <c r="E28" s="856"/>
      <c r="F28" s="855">
        <f t="shared" si="0"/>
        <v>0</v>
      </c>
      <c r="G28" s="454" t="e">
        <f t="shared" si="1"/>
        <v>#DIV/0!</v>
      </c>
    </row>
    <row r="29" spans="1:7">
      <c r="A29" s="816" t="s">
        <v>558</v>
      </c>
      <c r="B29" s="435" t="str">
        <f>"Кредит банк"</f>
        <v>Кредит банк</v>
      </c>
      <c r="C29" s="436">
        <f t="shared" si="2"/>
        <v>21</v>
      </c>
      <c r="D29" s="854"/>
      <c r="E29" s="856"/>
      <c r="F29" s="855">
        <f t="shared" si="0"/>
        <v>0</v>
      </c>
      <c r="G29" s="454" t="e">
        <f t="shared" si="1"/>
        <v>#DIV/0!</v>
      </c>
    </row>
    <row r="30" spans="1:7">
      <c r="A30" s="816" t="s">
        <v>559</v>
      </c>
      <c r="B30" s="435" t="str">
        <f>"Төрийн банк"</f>
        <v>Төрийн банк</v>
      </c>
      <c r="C30" s="436">
        <f t="shared" si="2"/>
        <v>22</v>
      </c>
      <c r="D30" s="854"/>
      <c r="E30" s="856"/>
      <c r="F30" s="855">
        <f t="shared" si="0"/>
        <v>0</v>
      </c>
      <c r="G30" s="454" t="e">
        <f t="shared" si="1"/>
        <v>#DIV/0!</v>
      </c>
    </row>
    <row r="31" spans="1:7">
      <c r="A31" s="816" t="s">
        <v>560</v>
      </c>
      <c r="B31" s="435" t="str">
        <f>"Тээвэр Хөгжлийн банк"</f>
        <v>Тээвэр Хөгжлийн банк</v>
      </c>
      <c r="C31" s="436">
        <f t="shared" si="2"/>
        <v>23</v>
      </c>
      <c r="D31" s="854"/>
      <c r="E31" s="856"/>
      <c r="F31" s="855">
        <f t="shared" si="0"/>
        <v>0</v>
      </c>
      <c r="G31" s="454" t="e">
        <f t="shared" si="1"/>
        <v>#DIV/0!</v>
      </c>
    </row>
    <row r="32" spans="1:7">
      <c r="A32" s="816" t="s">
        <v>561</v>
      </c>
      <c r="B32" s="435" t="str">
        <f>"Улаанбаатар хотын банк"</f>
        <v>Улаанбаатар хотын банк</v>
      </c>
      <c r="C32" s="436">
        <f t="shared" si="2"/>
        <v>24</v>
      </c>
      <c r="D32" s="854"/>
      <c r="E32" s="856"/>
      <c r="F32" s="855">
        <f t="shared" si="0"/>
        <v>0</v>
      </c>
      <c r="G32" s="454" t="e">
        <f t="shared" si="1"/>
        <v>#DIV/0!</v>
      </c>
    </row>
    <row r="33" spans="1:7">
      <c r="A33" s="816" t="s">
        <v>562</v>
      </c>
      <c r="B33" s="435" t="str">
        <f>"Үндэсний хөрөнгө оруулалтын банк"</f>
        <v>Үндэсний хөрөнгө оруулалтын банк</v>
      </c>
      <c r="C33" s="436">
        <f t="shared" si="2"/>
        <v>25</v>
      </c>
      <c r="D33" s="854"/>
      <c r="E33" s="856"/>
      <c r="F33" s="855">
        <f t="shared" si="0"/>
        <v>0</v>
      </c>
      <c r="G33" s="454" t="e">
        <f t="shared" si="1"/>
        <v>#DIV/0!</v>
      </c>
    </row>
    <row r="34" spans="1:7">
      <c r="A34" s="816" t="s">
        <v>563</v>
      </c>
      <c r="B34" s="435" t="str">
        <f>"Хаан банк"</f>
        <v>Хаан банк</v>
      </c>
      <c r="C34" s="436">
        <f t="shared" si="2"/>
        <v>26</v>
      </c>
      <c r="D34" s="854"/>
      <c r="E34" s="856"/>
      <c r="F34" s="855">
        <f t="shared" si="0"/>
        <v>0</v>
      </c>
      <c r="G34" s="454" t="e">
        <f t="shared" si="1"/>
        <v>#DIV/0!</v>
      </c>
    </row>
    <row r="35" spans="1:7">
      <c r="A35" s="816" t="s">
        <v>564</v>
      </c>
      <c r="B35" s="435" t="str">
        <f>"Хас банк"</f>
        <v>Хас банк</v>
      </c>
      <c r="C35" s="436">
        <f t="shared" si="2"/>
        <v>27</v>
      </c>
      <c r="D35" s="854"/>
      <c r="E35" s="856"/>
      <c r="F35" s="855">
        <f t="shared" si="0"/>
        <v>0</v>
      </c>
      <c r="G35" s="454" t="e">
        <f t="shared" si="1"/>
        <v>#DIV/0!</v>
      </c>
    </row>
    <row r="36" spans="1:7">
      <c r="A36" s="816" t="s">
        <v>565</v>
      </c>
      <c r="B36" s="435" t="str">
        <f>"Худалдаа хөгжлийн банк"</f>
        <v>Худалдаа хөгжлийн банк</v>
      </c>
      <c r="C36" s="436">
        <f t="shared" si="2"/>
        <v>28</v>
      </c>
      <c r="D36" s="854"/>
      <c r="E36" s="856"/>
      <c r="F36" s="855">
        <f t="shared" si="0"/>
        <v>0</v>
      </c>
      <c r="G36" s="454" t="e">
        <f t="shared" si="1"/>
        <v>#DIV/0!</v>
      </c>
    </row>
    <row r="37" spans="1:7">
      <c r="A37" s="816" t="s">
        <v>566</v>
      </c>
      <c r="B37" s="435" t="str">
        <f>"Чингис хаан банк"</f>
        <v>Чингис хаан банк</v>
      </c>
      <c r="C37" s="436">
        <f t="shared" si="2"/>
        <v>29</v>
      </c>
      <c r="D37" s="854"/>
      <c r="E37" s="856"/>
      <c r="F37" s="855">
        <f t="shared" ref="F37:F62" si="3">SUM(D37+E37)</f>
        <v>0</v>
      </c>
      <c r="G37" s="454" t="e">
        <f t="shared" si="1"/>
        <v>#DIV/0!</v>
      </c>
    </row>
    <row r="38" spans="1:7" ht="26">
      <c r="A38" s="815">
        <v>4</v>
      </c>
      <c r="B38" s="433" t="s">
        <v>1044</v>
      </c>
      <c r="C38" s="428">
        <f>+C37+1</f>
        <v>30</v>
      </c>
      <c r="D38" s="451">
        <f>SUM(D39:D51)</f>
        <v>0</v>
      </c>
      <c r="E38" s="451">
        <f>SUM(E39:E51)</f>
        <v>0</v>
      </c>
      <c r="F38" s="906">
        <f t="shared" si="3"/>
        <v>0</v>
      </c>
      <c r="G38" s="454" t="e">
        <f t="shared" si="1"/>
        <v>#DIV/0!</v>
      </c>
    </row>
    <row r="39" spans="1:7">
      <c r="A39" s="816" t="s">
        <v>369</v>
      </c>
      <c r="B39" s="435" t="str">
        <f>"Ариг банк"</f>
        <v>Ариг банк</v>
      </c>
      <c r="C39" s="436">
        <f t="shared" ref="C39:C65" si="4">C38+1</f>
        <v>31</v>
      </c>
      <c r="D39" s="856"/>
      <c r="E39" s="854"/>
      <c r="F39" s="855">
        <f t="shared" si="3"/>
        <v>0</v>
      </c>
      <c r="G39" s="454" t="e">
        <f t="shared" si="1"/>
        <v>#DIV/0!</v>
      </c>
    </row>
    <row r="40" spans="1:7">
      <c r="A40" s="816" t="s">
        <v>371</v>
      </c>
      <c r="B40" s="435" t="str">
        <f>"Богд банк"</f>
        <v>Богд банк</v>
      </c>
      <c r="C40" s="436">
        <f t="shared" si="4"/>
        <v>32</v>
      </c>
      <c r="D40" s="857"/>
      <c r="E40" s="854"/>
      <c r="F40" s="855">
        <f t="shared" si="3"/>
        <v>0</v>
      </c>
      <c r="G40" s="454" t="e">
        <f t="shared" si="1"/>
        <v>#DIV/0!</v>
      </c>
    </row>
    <row r="41" spans="1:7">
      <c r="A41" s="816" t="s">
        <v>373</v>
      </c>
      <c r="B41" s="435" t="str">
        <f>"Голомт банк"</f>
        <v>Голомт банк</v>
      </c>
      <c r="C41" s="456">
        <f t="shared" si="4"/>
        <v>33</v>
      </c>
      <c r="D41" s="858"/>
      <c r="E41" s="854"/>
      <c r="F41" s="855">
        <f t="shared" si="3"/>
        <v>0</v>
      </c>
      <c r="G41" s="454" t="e">
        <f t="shared" ref="G41:G67" si="5">F41/$F$67</f>
        <v>#DIV/0!</v>
      </c>
    </row>
    <row r="42" spans="1:7">
      <c r="A42" s="816" t="s">
        <v>567</v>
      </c>
      <c r="B42" s="435" t="str">
        <f>"Капитрон банк"</f>
        <v>Капитрон банк</v>
      </c>
      <c r="C42" s="456">
        <f t="shared" si="4"/>
        <v>34</v>
      </c>
      <c r="D42" s="858"/>
      <c r="E42" s="854"/>
      <c r="F42" s="855">
        <f t="shared" si="3"/>
        <v>0</v>
      </c>
      <c r="G42" s="454" t="e">
        <f t="shared" si="5"/>
        <v>#DIV/0!</v>
      </c>
    </row>
    <row r="43" spans="1:7">
      <c r="A43" s="816" t="s">
        <v>568</v>
      </c>
      <c r="B43" s="435" t="str">
        <f>"Кредит банк"</f>
        <v>Кредит банк</v>
      </c>
      <c r="C43" s="456">
        <f t="shared" si="4"/>
        <v>35</v>
      </c>
      <c r="D43" s="859"/>
      <c r="E43" s="854"/>
      <c r="F43" s="855">
        <f t="shared" si="3"/>
        <v>0</v>
      </c>
      <c r="G43" s="454" t="e">
        <f t="shared" si="5"/>
        <v>#DIV/0!</v>
      </c>
    </row>
    <row r="44" spans="1:7">
      <c r="A44" s="816" t="s">
        <v>569</v>
      </c>
      <c r="B44" s="435" t="str">
        <f>"Төрийн банк"</f>
        <v>Төрийн банк</v>
      </c>
      <c r="C44" s="436">
        <f t="shared" si="4"/>
        <v>36</v>
      </c>
      <c r="D44" s="860"/>
      <c r="E44" s="854"/>
      <c r="F44" s="855">
        <f t="shared" si="3"/>
        <v>0</v>
      </c>
      <c r="G44" s="454" t="e">
        <f t="shared" si="5"/>
        <v>#DIV/0!</v>
      </c>
    </row>
    <row r="45" spans="1:7">
      <c r="A45" s="816" t="s">
        <v>570</v>
      </c>
      <c r="B45" s="435" t="str">
        <f>"Тээвэр Хөгжлийн банк"</f>
        <v>Тээвэр Хөгжлийн банк</v>
      </c>
      <c r="C45" s="436">
        <f t="shared" si="4"/>
        <v>37</v>
      </c>
      <c r="D45" s="856"/>
      <c r="E45" s="854"/>
      <c r="F45" s="855">
        <f>SUM(D45+E45)</f>
        <v>0</v>
      </c>
      <c r="G45" s="454" t="e">
        <f t="shared" si="5"/>
        <v>#DIV/0!</v>
      </c>
    </row>
    <row r="46" spans="1:7">
      <c r="A46" s="816" t="s">
        <v>571</v>
      </c>
      <c r="B46" s="435" t="str">
        <f>"Улаанбаатар хотын банк"</f>
        <v>Улаанбаатар хотын банк</v>
      </c>
      <c r="C46" s="436">
        <f t="shared" si="4"/>
        <v>38</v>
      </c>
      <c r="D46" s="856"/>
      <c r="E46" s="854"/>
      <c r="F46" s="855">
        <f t="shared" si="3"/>
        <v>0</v>
      </c>
      <c r="G46" s="454" t="e">
        <f t="shared" si="5"/>
        <v>#DIV/0!</v>
      </c>
    </row>
    <row r="47" spans="1:7">
      <c r="A47" s="816" t="s">
        <v>572</v>
      </c>
      <c r="B47" s="435" t="str">
        <f>"Үндэсний хөрөнгө оруулалтын банк"</f>
        <v>Үндэсний хөрөнгө оруулалтын банк</v>
      </c>
      <c r="C47" s="436">
        <f t="shared" si="4"/>
        <v>39</v>
      </c>
      <c r="D47" s="856"/>
      <c r="E47" s="854"/>
      <c r="F47" s="855">
        <f t="shared" si="3"/>
        <v>0</v>
      </c>
      <c r="G47" s="454" t="e">
        <f t="shared" si="5"/>
        <v>#DIV/0!</v>
      </c>
    </row>
    <row r="48" spans="1:7">
      <c r="A48" s="816" t="s">
        <v>573</v>
      </c>
      <c r="B48" s="435" t="str">
        <f>"Хаан банк"</f>
        <v>Хаан банк</v>
      </c>
      <c r="C48" s="436">
        <f t="shared" si="4"/>
        <v>40</v>
      </c>
      <c r="D48" s="856"/>
      <c r="E48" s="854"/>
      <c r="F48" s="855">
        <f t="shared" si="3"/>
        <v>0</v>
      </c>
      <c r="G48" s="454" t="e">
        <f t="shared" si="5"/>
        <v>#DIV/0!</v>
      </c>
    </row>
    <row r="49" spans="1:7">
      <c r="A49" s="816" t="s">
        <v>574</v>
      </c>
      <c r="B49" s="435" t="str">
        <f>"Хас банк"</f>
        <v>Хас банк</v>
      </c>
      <c r="C49" s="436">
        <f t="shared" si="4"/>
        <v>41</v>
      </c>
      <c r="D49" s="856"/>
      <c r="E49" s="854"/>
      <c r="F49" s="855">
        <f t="shared" si="3"/>
        <v>0</v>
      </c>
      <c r="G49" s="454" t="e">
        <f t="shared" si="5"/>
        <v>#DIV/0!</v>
      </c>
    </row>
    <row r="50" spans="1:7">
      <c r="A50" s="816" t="s">
        <v>575</v>
      </c>
      <c r="B50" s="435" t="str">
        <f>"Худалдаа хөгжлийн банк"</f>
        <v>Худалдаа хөгжлийн банк</v>
      </c>
      <c r="C50" s="436">
        <f t="shared" si="4"/>
        <v>42</v>
      </c>
      <c r="D50" s="856"/>
      <c r="E50" s="854"/>
      <c r="F50" s="855">
        <f t="shared" si="3"/>
        <v>0</v>
      </c>
      <c r="G50" s="454" t="e">
        <f t="shared" si="5"/>
        <v>#DIV/0!</v>
      </c>
    </row>
    <row r="51" spans="1:7">
      <c r="A51" s="816" t="s">
        <v>576</v>
      </c>
      <c r="B51" s="435" t="str">
        <f>"Чингис хаан банк"</f>
        <v>Чингис хаан банк</v>
      </c>
      <c r="C51" s="436">
        <f t="shared" si="4"/>
        <v>43</v>
      </c>
      <c r="D51" s="856"/>
      <c r="E51" s="854"/>
      <c r="F51" s="855">
        <f t="shared" si="3"/>
        <v>0</v>
      </c>
      <c r="G51" s="454" t="e">
        <f t="shared" si="5"/>
        <v>#DIV/0!</v>
      </c>
    </row>
    <row r="52" spans="1:7" ht="26">
      <c r="A52" s="815">
        <v>5</v>
      </c>
      <c r="B52" s="433" t="s">
        <v>1045</v>
      </c>
      <c r="C52" s="428">
        <f>+C51+1</f>
        <v>44</v>
      </c>
      <c r="D52" s="451">
        <f>SUM(D53:D65)</f>
        <v>0</v>
      </c>
      <c r="E52" s="451">
        <f>SUM(E53:E65)</f>
        <v>0</v>
      </c>
      <c r="F52" s="906">
        <f>SUM(D52+E52)</f>
        <v>0</v>
      </c>
      <c r="G52" s="454" t="e">
        <f t="shared" si="5"/>
        <v>#DIV/0!</v>
      </c>
    </row>
    <row r="53" spans="1:7">
      <c r="A53" s="816" t="s">
        <v>376</v>
      </c>
      <c r="B53" s="435" t="str">
        <f>"Ариг банк"</f>
        <v>Ариг банк</v>
      </c>
      <c r="C53" s="436">
        <f t="shared" si="4"/>
        <v>45</v>
      </c>
      <c r="D53" s="856"/>
      <c r="E53" s="455"/>
      <c r="F53" s="855">
        <f t="shared" si="3"/>
        <v>0</v>
      </c>
      <c r="G53" s="454" t="e">
        <f t="shared" si="5"/>
        <v>#DIV/0!</v>
      </c>
    </row>
    <row r="54" spans="1:7">
      <c r="A54" s="816" t="s">
        <v>378</v>
      </c>
      <c r="B54" s="435" t="str">
        <f>"Богд банк"</f>
        <v>Богд банк</v>
      </c>
      <c r="C54" s="436">
        <f t="shared" si="4"/>
        <v>46</v>
      </c>
      <c r="D54" s="856"/>
      <c r="E54" s="455"/>
      <c r="F54" s="855">
        <f t="shared" si="3"/>
        <v>0</v>
      </c>
      <c r="G54" s="454" t="e">
        <f t="shared" si="5"/>
        <v>#DIV/0!</v>
      </c>
    </row>
    <row r="55" spans="1:7">
      <c r="A55" s="816" t="s">
        <v>380</v>
      </c>
      <c r="B55" s="435" t="str">
        <f>"Голомт банк"</f>
        <v>Голомт банк</v>
      </c>
      <c r="C55" s="436">
        <f t="shared" si="4"/>
        <v>47</v>
      </c>
      <c r="D55" s="856"/>
      <c r="E55" s="455"/>
      <c r="F55" s="855">
        <f t="shared" si="3"/>
        <v>0</v>
      </c>
      <c r="G55" s="454" t="e">
        <f t="shared" si="5"/>
        <v>#DIV/0!</v>
      </c>
    </row>
    <row r="56" spans="1:7">
      <c r="A56" s="816" t="s">
        <v>577</v>
      </c>
      <c r="B56" s="435" t="str">
        <f>"Капитрон банк"</f>
        <v>Капитрон банк</v>
      </c>
      <c r="C56" s="436">
        <f t="shared" si="4"/>
        <v>48</v>
      </c>
      <c r="D56" s="856"/>
      <c r="E56" s="455"/>
      <c r="F56" s="855">
        <f t="shared" si="3"/>
        <v>0</v>
      </c>
      <c r="G56" s="454" t="e">
        <f t="shared" si="5"/>
        <v>#DIV/0!</v>
      </c>
    </row>
    <row r="57" spans="1:7">
      <c r="A57" s="816" t="s">
        <v>578</v>
      </c>
      <c r="B57" s="435" t="str">
        <f>"Кредит банк"</f>
        <v>Кредит банк</v>
      </c>
      <c r="C57" s="436">
        <f t="shared" si="4"/>
        <v>49</v>
      </c>
      <c r="D57" s="856"/>
      <c r="E57" s="455"/>
      <c r="F57" s="855">
        <f t="shared" si="3"/>
        <v>0</v>
      </c>
      <c r="G57" s="454" t="e">
        <f t="shared" si="5"/>
        <v>#DIV/0!</v>
      </c>
    </row>
    <row r="58" spans="1:7">
      <c r="A58" s="816" t="s">
        <v>579</v>
      </c>
      <c r="B58" s="435" t="str">
        <f>"Төрийн банк"</f>
        <v>Төрийн банк</v>
      </c>
      <c r="C58" s="436">
        <f t="shared" si="4"/>
        <v>50</v>
      </c>
      <c r="D58" s="856"/>
      <c r="E58" s="455"/>
      <c r="F58" s="855">
        <f t="shared" si="3"/>
        <v>0</v>
      </c>
      <c r="G58" s="454" t="e">
        <f t="shared" si="5"/>
        <v>#DIV/0!</v>
      </c>
    </row>
    <row r="59" spans="1:7">
      <c r="A59" s="816" t="s">
        <v>580</v>
      </c>
      <c r="B59" s="435" t="str">
        <f>"Тээвэр Хөгжлийн банк"</f>
        <v>Тээвэр Хөгжлийн банк</v>
      </c>
      <c r="C59" s="436">
        <f t="shared" si="4"/>
        <v>51</v>
      </c>
      <c r="D59" s="856"/>
      <c r="E59" s="455"/>
      <c r="F59" s="855">
        <f t="shared" si="3"/>
        <v>0</v>
      </c>
      <c r="G59" s="454" t="e">
        <f t="shared" si="5"/>
        <v>#DIV/0!</v>
      </c>
    </row>
    <row r="60" spans="1:7">
      <c r="A60" s="816" t="s">
        <v>581</v>
      </c>
      <c r="B60" s="435" t="str">
        <f>"Улаанбаатар хотын банк"</f>
        <v>Улаанбаатар хотын банк</v>
      </c>
      <c r="C60" s="436">
        <f t="shared" si="4"/>
        <v>52</v>
      </c>
      <c r="D60" s="856"/>
      <c r="E60" s="455"/>
      <c r="F60" s="855">
        <f t="shared" si="3"/>
        <v>0</v>
      </c>
      <c r="G60" s="454" t="e">
        <f t="shared" si="5"/>
        <v>#DIV/0!</v>
      </c>
    </row>
    <row r="61" spans="1:7">
      <c r="A61" s="816" t="s">
        <v>582</v>
      </c>
      <c r="B61" s="435" t="str">
        <f>"Үндэсний хөрөнгө оруулалтын банк"</f>
        <v>Үндэсний хөрөнгө оруулалтын банк</v>
      </c>
      <c r="C61" s="436">
        <f t="shared" si="4"/>
        <v>53</v>
      </c>
      <c r="D61" s="856"/>
      <c r="E61" s="455"/>
      <c r="F61" s="855">
        <f t="shared" si="3"/>
        <v>0</v>
      </c>
      <c r="G61" s="454" t="e">
        <f t="shared" si="5"/>
        <v>#DIV/0!</v>
      </c>
    </row>
    <row r="62" spans="1:7">
      <c r="A62" s="816" t="s">
        <v>583</v>
      </c>
      <c r="B62" s="435" t="str">
        <f>"Хаан банк"</f>
        <v>Хаан банк</v>
      </c>
      <c r="C62" s="436">
        <f t="shared" si="4"/>
        <v>54</v>
      </c>
      <c r="D62" s="856"/>
      <c r="E62" s="455"/>
      <c r="F62" s="855">
        <f t="shared" si="3"/>
        <v>0</v>
      </c>
      <c r="G62" s="454" t="e">
        <f t="shared" si="5"/>
        <v>#DIV/0!</v>
      </c>
    </row>
    <row r="63" spans="1:7">
      <c r="A63" s="816" t="s">
        <v>584</v>
      </c>
      <c r="B63" s="435" t="str">
        <f>"Хас банк"</f>
        <v>Хас банк</v>
      </c>
      <c r="C63" s="436">
        <f t="shared" si="4"/>
        <v>55</v>
      </c>
      <c r="D63" s="856"/>
      <c r="E63" s="455"/>
      <c r="F63" s="855">
        <f>SUM(D63+E63)</f>
        <v>0</v>
      </c>
      <c r="G63" s="454" t="e">
        <f t="shared" si="5"/>
        <v>#DIV/0!</v>
      </c>
    </row>
    <row r="64" spans="1:7">
      <c r="A64" s="816" t="s">
        <v>585</v>
      </c>
      <c r="B64" s="435" t="str">
        <f>"Худалдаа хөгжлийн банк"</f>
        <v>Худалдаа хөгжлийн банк</v>
      </c>
      <c r="C64" s="436">
        <f t="shared" si="4"/>
        <v>56</v>
      </c>
      <c r="D64" s="856"/>
      <c r="E64" s="455"/>
      <c r="F64" s="855">
        <f>SUM(D64+E64)</f>
        <v>0</v>
      </c>
      <c r="G64" s="454" t="e">
        <f t="shared" si="5"/>
        <v>#DIV/0!</v>
      </c>
    </row>
    <row r="65" spans="1:8">
      <c r="A65" s="816" t="s">
        <v>586</v>
      </c>
      <c r="B65" s="435" t="str">
        <f>"Чингис хаан банк"</f>
        <v>Чингис хаан банк</v>
      </c>
      <c r="C65" s="436">
        <f t="shared" si="4"/>
        <v>57</v>
      </c>
      <c r="D65" s="857"/>
      <c r="E65" s="455"/>
      <c r="F65" s="904">
        <f>SUM(D65+E65)</f>
        <v>0</v>
      </c>
      <c r="G65" s="454" t="e">
        <f t="shared" si="5"/>
        <v>#DIV/0!</v>
      </c>
    </row>
    <row r="66" spans="1:8">
      <c r="A66" s="1030">
        <v>6</v>
      </c>
      <c r="B66" s="596" t="s">
        <v>997</v>
      </c>
      <c r="C66" s="704">
        <f>+C65+1</f>
        <v>58</v>
      </c>
      <c r="D66" s="1036"/>
      <c r="E66" s="1036"/>
      <c r="F66" s="455"/>
      <c r="G66" s="454" t="e">
        <f t="shared" si="5"/>
        <v>#DIV/0!</v>
      </c>
      <c r="H66" s="1022" t="str">
        <f>IF(F66&gt;i.04101!E18, "Алдаатай дүн оруулсан", "")</f>
        <v/>
      </c>
    </row>
    <row r="67" spans="1:8">
      <c r="A67" s="1030">
        <v>7</v>
      </c>
      <c r="B67" s="1031" t="s">
        <v>664</v>
      </c>
      <c r="C67" s="1030">
        <f>+C66+1</f>
        <v>59</v>
      </c>
      <c r="D67" s="1032">
        <f>+D9+D10+D24+D38+D52+D66</f>
        <v>0</v>
      </c>
      <c r="E67" s="1032">
        <f>+E10+E24+E38+E52+E66</f>
        <v>0</v>
      </c>
      <c r="F67" s="908">
        <f>SUM(F9,F10,F24,F38,F52,F66)</f>
        <v>0</v>
      </c>
      <c r="G67" s="454" t="e">
        <f t="shared" si="5"/>
        <v>#DIV/0!</v>
      </c>
    </row>
    <row r="68" spans="1:8">
      <c r="F68" s="1033" t="str">
        <f>IF(F67=i.04101!E78,"","дүн зөрүүтэй байна")</f>
        <v/>
      </c>
    </row>
    <row r="69" spans="1:8">
      <c r="B69" s="1034" t="str">
        <f>+i.04108!C32</f>
        <v>тамга тэмдэг</v>
      </c>
      <c r="F69" s="1035">
        <f>+F67-i.04101!E78</f>
        <v>0</v>
      </c>
    </row>
    <row r="71" spans="1:8">
      <c r="B71" s="665" t="str">
        <f>+i.04108!C34</f>
        <v xml:space="preserve">ТАЙЛАН ГАРГАСАН:    </v>
      </c>
    </row>
    <row r="73" spans="1:8">
      <c r="B73" s="665" t="str">
        <f>+i.04108!C36</f>
        <v xml:space="preserve"> Гүйцэтгэх захирал</v>
      </c>
      <c r="C73" s="665" t="str">
        <f>+i.04108!D36</f>
        <v xml:space="preserve">/................................../   </v>
      </c>
      <c r="E73" s="665" t="str">
        <f>+i.04108!F36</f>
        <v>/................................./</v>
      </c>
    </row>
    <row r="75" spans="1:8">
      <c r="B75" s="665" t="str">
        <f>+i.04108!C38</f>
        <v xml:space="preserve"> Ерөнхий нягтлан бодогч  </v>
      </c>
      <c r="C75" s="665" t="str">
        <f>+i.04108!D38</f>
        <v xml:space="preserve">/.................................../   </v>
      </c>
      <c r="E75" s="665" t="str">
        <f>+i.04108!F38</f>
        <v>/................................/</v>
      </c>
    </row>
    <row r="77" spans="1:8">
      <c r="B77" s="665" t="str">
        <f>+i.04108!C40</f>
        <v>...................................................</v>
      </c>
      <c r="C77" s="665" t="str">
        <f>+i.04108!D40</f>
        <v xml:space="preserve">/................................../   </v>
      </c>
      <c r="E77" s="665" t="str">
        <f>+i.04108!F40</f>
        <v>/................................/</v>
      </c>
    </row>
  </sheetData>
  <sheetProtection password="CA9F" sheet="1"/>
  <mergeCells count="4">
    <mergeCell ref="D1:G1"/>
    <mergeCell ref="A3:G3"/>
    <mergeCell ref="A5:C5"/>
    <mergeCell ref="F5:G5"/>
  </mergeCells>
  <dataValidations count="1">
    <dataValidation type="decimal" allowBlank="1" showInputMessage="1" showErrorMessage="1" sqref="E9:F23 D9:D40 F24:F67 E24:E65 D43:D65">
      <formula1>0</formula1>
      <formula2>1E+27</formula2>
    </dataValidation>
  </dataValidations>
  <pageMargins left="0.7" right="0.7" top="0.75" bottom="0.75" header="0.3" footer="0.3"/>
  <pageSetup scale="82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101"/>
  <sheetViews>
    <sheetView topLeftCell="A61" zoomScaleNormal="100" workbookViewId="0">
      <selection activeCell="D89" sqref="D89"/>
    </sheetView>
  </sheetViews>
  <sheetFormatPr defaultColWidth="9.1796875" defaultRowHeight="13"/>
  <cols>
    <col min="1" max="1" width="4.81640625" style="681" customWidth="1"/>
    <col min="2" max="2" width="35.54296875" style="718" customWidth="1"/>
    <col min="3" max="3" width="6.26953125" style="677" customWidth="1"/>
    <col min="4" max="4" width="16.54296875" style="677" customWidth="1"/>
    <col min="5" max="6" width="16.26953125" style="677" customWidth="1"/>
    <col min="7" max="16384" width="9.1796875" style="677"/>
  </cols>
  <sheetData>
    <row r="1" spans="1:8" ht="42" customHeight="1">
      <c r="A1" s="1234" t="s">
        <v>1025</v>
      </c>
      <c r="B1" s="1234"/>
      <c r="C1" s="1234"/>
      <c r="D1" s="1234"/>
      <c r="E1" s="1234"/>
      <c r="F1" s="1234"/>
      <c r="G1" s="1234"/>
    </row>
    <row r="2" spans="1:8">
      <c r="A2" s="1232" t="s">
        <v>999</v>
      </c>
      <c r="B2" s="1232"/>
      <c r="C2" s="1232"/>
      <c r="D2" s="1232"/>
      <c r="E2" s="1232"/>
      <c r="F2" s="1232"/>
      <c r="G2" s="1232"/>
    </row>
    <row r="3" spans="1:8">
      <c r="A3" s="678"/>
      <c r="B3" s="716"/>
      <c r="C3" s="676"/>
      <c r="D3" s="676"/>
      <c r="E3" s="676"/>
      <c r="F3" s="676"/>
    </row>
    <row r="4" spans="1:8">
      <c r="A4" s="1195" t="str">
        <f>+i.04108!A7</f>
        <v>Даатгагчийн нэр:</v>
      </c>
      <c r="B4" s="1195"/>
      <c r="C4" s="1195"/>
      <c r="D4" s="1195"/>
      <c r="E4" s="284"/>
      <c r="F4" s="1233" t="str">
        <f>+i.04108!F7</f>
        <v>..... оны .... сарын ...-ны өдөр</v>
      </c>
      <c r="G4" s="1233"/>
      <c r="H4" s="284"/>
    </row>
    <row r="5" spans="1:8">
      <c r="A5" s="679"/>
      <c r="C5" s="680"/>
      <c r="D5" s="636"/>
      <c r="E5" s="636"/>
      <c r="G5" s="717" t="s">
        <v>1</v>
      </c>
      <c r="H5" s="284"/>
    </row>
    <row r="6" spans="1:8" s="665" customFormat="1" ht="26">
      <c r="A6" s="425"/>
      <c r="B6" s="426" t="s">
        <v>3</v>
      </c>
      <c r="C6" s="427" t="s">
        <v>987</v>
      </c>
      <c r="D6" s="428" t="s">
        <v>12</v>
      </c>
      <c r="E6" s="428" t="s">
        <v>56</v>
      </c>
      <c r="F6" s="428" t="s">
        <v>518</v>
      </c>
      <c r="G6" s="428" t="s">
        <v>519</v>
      </c>
    </row>
    <row r="7" spans="1:8" s="665" customFormat="1">
      <c r="A7" s="429" t="s">
        <v>6</v>
      </c>
      <c r="B7" s="428" t="s">
        <v>7</v>
      </c>
      <c r="C7" s="428" t="s">
        <v>8</v>
      </c>
      <c r="D7" s="428">
        <v>1</v>
      </c>
      <c r="E7" s="428">
        <v>2</v>
      </c>
      <c r="F7" s="430">
        <v>3</v>
      </c>
      <c r="G7" s="428">
        <v>4</v>
      </c>
    </row>
    <row r="8" spans="1:8" s="665" customFormat="1">
      <c r="A8" s="425">
        <v>1</v>
      </c>
      <c r="B8" s="426" t="s">
        <v>14</v>
      </c>
      <c r="C8" s="428">
        <v>1</v>
      </c>
      <c r="D8" s="905"/>
      <c r="E8" s="449">
        <v>0</v>
      </c>
      <c r="F8" s="450">
        <f>SUM(D8+E8)</f>
        <v>0</v>
      </c>
      <c r="G8" s="454" t="e">
        <f t="shared" ref="G8:G39" si="0">F8/$F$88</f>
        <v>#DIV/0!</v>
      </c>
      <c r="H8" s="1022" t="e">
        <f>+IF(G8&lt;0.02, "","журамд заасан хувиас хэтрүүлж байршуулсан")</f>
        <v>#DIV/0!</v>
      </c>
    </row>
    <row r="9" spans="1:8" s="665" customFormat="1">
      <c r="A9" s="425">
        <v>2</v>
      </c>
      <c r="B9" s="433" t="s">
        <v>520</v>
      </c>
      <c r="C9" s="428">
        <f>C8+1</f>
        <v>2</v>
      </c>
      <c r="D9" s="451">
        <f>SUM(D10:D22)</f>
        <v>0</v>
      </c>
      <c r="E9" s="451">
        <f>SUM(E10:E22)</f>
        <v>0</v>
      </c>
      <c r="F9" s="450">
        <f>SUM(D9+E9)</f>
        <v>0</v>
      </c>
      <c r="G9" s="454" t="e">
        <f t="shared" si="0"/>
        <v>#DIV/0!</v>
      </c>
    </row>
    <row r="10" spans="1:8" s="665" customFormat="1">
      <c r="A10" s="434" t="s">
        <v>87</v>
      </c>
      <c r="B10" s="435" t="str">
        <f>"Ариг банк"</f>
        <v>Ариг банк</v>
      </c>
      <c r="C10" s="436">
        <f t="shared" ref="C10:C64" si="1">C9+1</f>
        <v>3</v>
      </c>
      <c r="D10" s="854"/>
      <c r="E10" s="838"/>
      <c r="F10" s="855">
        <f>SUM(D10+E10)</f>
        <v>0</v>
      </c>
      <c r="G10" s="454" t="e">
        <f t="shared" si="0"/>
        <v>#DIV/0!</v>
      </c>
    </row>
    <row r="11" spans="1:8" s="665" customFormat="1">
      <c r="A11" s="434" t="s">
        <v>160</v>
      </c>
      <c r="B11" s="435" t="str">
        <f>"Богд банк"</f>
        <v>Богд банк</v>
      </c>
      <c r="C11" s="436">
        <f t="shared" si="1"/>
        <v>4</v>
      </c>
      <c r="D11" s="854"/>
      <c r="E11" s="838"/>
      <c r="F11" s="855">
        <f t="shared" ref="F11:F64" si="2">SUM(D11+E11)</f>
        <v>0</v>
      </c>
      <c r="G11" s="454" t="e">
        <f t="shared" si="0"/>
        <v>#DIV/0!</v>
      </c>
    </row>
    <row r="12" spans="1:8" s="665" customFormat="1">
      <c r="A12" s="434" t="s">
        <v>180</v>
      </c>
      <c r="B12" s="435" t="str">
        <f>"Голомт банк"</f>
        <v>Голомт банк</v>
      </c>
      <c r="C12" s="436">
        <f t="shared" si="1"/>
        <v>5</v>
      </c>
      <c r="D12" s="854"/>
      <c r="E12" s="838"/>
      <c r="F12" s="855">
        <f t="shared" si="2"/>
        <v>0</v>
      </c>
      <c r="G12" s="454" t="e">
        <f t="shared" si="0"/>
        <v>#DIV/0!</v>
      </c>
    </row>
    <row r="13" spans="1:8" s="665" customFormat="1">
      <c r="A13" s="434" t="s">
        <v>547</v>
      </c>
      <c r="B13" s="435" t="str">
        <f>"Капитрон банк"</f>
        <v>Капитрон банк</v>
      </c>
      <c r="C13" s="436">
        <f t="shared" si="1"/>
        <v>6</v>
      </c>
      <c r="D13" s="854"/>
      <c r="E13" s="838"/>
      <c r="F13" s="855">
        <f t="shared" si="2"/>
        <v>0</v>
      </c>
      <c r="G13" s="454" t="e">
        <f t="shared" si="0"/>
        <v>#DIV/0!</v>
      </c>
    </row>
    <row r="14" spans="1:8" s="665" customFormat="1">
      <c r="A14" s="434" t="s">
        <v>548</v>
      </c>
      <c r="B14" s="435" t="str">
        <f>"Кредит банк"</f>
        <v>Кредит банк</v>
      </c>
      <c r="C14" s="436">
        <f t="shared" si="1"/>
        <v>7</v>
      </c>
      <c r="D14" s="854"/>
      <c r="E14" s="838"/>
      <c r="F14" s="855">
        <f t="shared" si="2"/>
        <v>0</v>
      </c>
      <c r="G14" s="454" t="e">
        <f t="shared" si="0"/>
        <v>#DIV/0!</v>
      </c>
    </row>
    <row r="15" spans="1:8" s="665" customFormat="1">
      <c r="A15" s="434" t="s">
        <v>549</v>
      </c>
      <c r="B15" s="435" t="str">
        <f>"Төрийн банк"</f>
        <v>Төрийн банк</v>
      </c>
      <c r="C15" s="436">
        <f t="shared" si="1"/>
        <v>8</v>
      </c>
      <c r="D15" s="854"/>
      <c r="E15" s="838"/>
      <c r="F15" s="855">
        <f t="shared" si="2"/>
        <v>0</v>
      </c>
      <c r="G15" s="454" t="e">
        <f t="shared" si="0"/>
        <v>#DIV/0!</v>
      </c>
    </row>
    <row r="16" spans="1:8" s="665" customFormat="1">
      <c r="A16" s="434" t="s">
        <v>550</v>
      </c>
      <c r="B16" s="435" t="str">
        <f>"Тээвэр Хөгжлийн банк"</f>
        <v>Тээвэр Хөгжлийн банк</v>
      </c>
      <c r="C16" s="436">
        <f t="shared" si="1"/>
        <v>9</v>
      </c>
      <c r="D16" s="854"/>
      <c r="E16" s="838"/>
      <c r="F16" s="855">
        <f t="shared" si="2"/>
        <v>0</v>
      </c>
      <c r="G16" s="454" t="e">
        <f t="shared" si="0"/>
        <v>#DIV/0!</v>
      </c>
    </row>
    <row r="17" spans="1:7" s="665" customFormat="1">
      <c r="A17" s="434" t="s">
        <v>551</v>
      </c>
      <c r="B17" s="435" t="str">
        <f>"Улаанбаатар хотын банк"</f>
        <v>Улаанбаатар хотын банк</v>
      </c>
      <c r="C17" s="436">
        <f t="shared" si="1"/>
        <v>10</v>
      </c>
      <c r="D17" s="854"/>
      <c r="E17" s="838"/>
      <c r="F17" s="855">
        <f t="shared" si="2"/>
        <v>0</v>
      </c>
      <c r="G17" s="454" t="e">
        <f t="shared" si="0"/>
        <v>#DIV/0!</v>
      </c>
    </row>
    <row r="18" spans="1:7" s="665" customFormat="1">
      <c r="A18" s="434" t="s">
        <v>552</v>
      </c>
      <c r="B18" s="435" t="str">
        <f>"Үндэсний хөрөнгө оруулалтын банк"</f>
        <v>Үндэсний хөрөнгө оруулалтын банк</v>
      </c>
      <c r="C18" s="436">
        <f t="shared" si="1"/>
        <v>11</v>
      </c>
      <c r="D18" s="854"/>
      <c r="E18" s="838"/>
      <c r="F18" s="855">
        <f t="shared" si="2"/>
        <v>0</v>
      </c>
      <c r="G18" s="454" t="e">
        <f t="shared" si="0"/>
        <v>#DIV/0!</v>
      </c>
    </row>
    <row r="19" spans="1:7" s="665" customFormat="1">
      <c r="A19" s="434" t="s">
        <v>553</v>
      </c>
      <c r="B19" s="435" t="str">
        <f>"Хаан банк"</f>
        <v>Хаан банк</v>
      </c>
      <c r="C19" s="436">
        <f t="shared" si="1"/>
        <v>12</v>
      </c>
      <c r="D19" s="854"/>
      <c r="E19" s="838"/>
      <c r="F19" s="855">
        <f t="shared" si="2"/>
        <v>0</v>
      </c>
      <c r="G19" s="454" t="e">
        <f t="shared" si="0"/>
        <v>#DIV/0!</v>
      </c>
    </row>
    <row r="20" spans="1:7" s="665" customFormat="1">
      <c r="A20" s="434" t="s">
        <v>554</v>
      </c>
      <c r="B20" s="435" t="str">
        <f>"Хас банк"</f>
        <v>Хас банк</v>
      </c>
      <c r="C20" s="436">
        <f t="shared" si="1"/>
        <v>13</v>
      </c>
      <c r="D20" s="854"/>
      <c r="E20" s="838"/>
      <c r="F20" s="855">
        <f t="shared" si="2"/>
        <v>0</v>
      </c>
      <c r="G20" s="454" t="e">
        <f t="shared" si="0"/>
        <v>#DIV/0!</v>
      </c>
    </row>
    <row r="21" spans="1:7" s="665" customFormat="1">
      <c r="A21" s="434" t="s">
        <v>555</v>
      </c>
      <c r="B21" s="435" t="str">
        <f>"Худалдаа хөгжлийн банк"</f>
        <v>Худалдаа хөгжлийн банк</v>
      </c>
      <c r="C21" s="436">
        <f t="shared" si="1"/>
        <v>14</v>
      </c>
      <c r="D21" s="854"/>
      <c r="E21" s="838"/>
      <c r="F21" s="855">
        <f t="shared" si="2"/>
        <v>0</v>
      </c>
      <c r="G21" s="454" t="e">
        <f t="shared" si="0"/>
        <v>#DIV/0!</v>
      </c>
    </row>
    <row r="22" spans="1:7" s="665" customFormat="1">
      <c r="A22" s="434" t="s">
        <v>556</v>
      </c>
      <c r="B22" s="435" t="str">
        <f>"Чингис хаан банк"</f>
        <v>Чингис хаан банк</v>
      </c>
      <c r="C22" s="436">
        <f t="shared" si="1"/>
        <v>15</v>
      </c>
      <c r="D22" s="854"/>
      <c r="E22" s="838"/>
      <c r="F22" s="855">
        <f t="shared" si="2"/>
        <v>0</v>
      </c>
      <c r="G22" s="454" t="e">
        <f t="shared" si="0"/>
        <v>#DIV/0!</v>
      </c>
    </row>
    <row r="23" spans="1:7" s="665" customFormat="1" ht="26">
      <c r="A23" s="425">
        <f>+A9+1</f>
        <v>3</v>
      </c>
      <c r="B23" s="433" t="s">
        <v>521</v>
      </c>
      <c r="C23" s="428">
        <f>+C22+1</f>
        <v>16</v>
      </c>
      <c r="D23" s="451">
        <f>SUM(D24:D36)</f>
        <v>0</v>
      </c>
      <c r="E23" s="451">
        <f>SUM(E24:E36)</f>
        <v>0</v>
      </c>
      <c r="F23" s="450">
        <f t="shared" si="2"/>
        <v>0</v>
      </c>
      <c r="G23" s="454" t="e">
        <f t="shared" si="0"/>
        <v>#DIV/0!</v>
      </c>
    </row>
    <row r="24" spans="1:7" s="665" customFormat="1">
      <c r="A24" s="434" t="s">
        <v>361</v>
      </c>
      <c r="B24" s="435" t="str">
        <f>"Ариг банк"</f>
        <v>Ариг банк</v>
      </c>
      <c r="C24" s="436">
        <f t="shared" si="1"/>
        <v>17</v>
      </c>
      <c r="D24" s="854"/>
      <c r="E24" s="856"/>
      <c r="F24" s="855">
        <f t="shared" si="2"/>
        <v>0</v>
      </c>
      <c r="G24" s="454" t="e">
        <f t="shared" si="0"/>
        <v>#DIV/0!</v>
      </c>
    </row>
    <row r="25" spans="1:7" s="665" customFormat="1">
      <c r="A25" s="434" t="s">
        <v>363</v>
      </c>
      <c r="B25" s="435" t="str">
        <f>"Богд банк"</f>
        <v>Богд банк</v>
      </c>
      <c r="C25" s="436">
        <f t="shared" si="1"/>
        <v>18</v>
      </c>
      <c r="D25" s="854"/>
      <c r="E25" s="856"/>
      <c r="F25" s="855">
        <f t="shared" si="2"/>
        <v>0</v>
      </c>
      <c r="G25" s="454" t="e">
        <f t="shared" si="0"/>
        <v>#DIV/0!</v>
      </c>
    </row>
    <row r="26" spans="1:7" s="665" customFormat="1">
      <c r="A26" s="434" t="s">
        <v>365</v>
      </c>
      <c r="B26" s="435" t="str">
        <f>"Голомт банк"</f>
        <v>Голомт банк</v>
      </c>
      <c r="C26" s="436">
        <f t="shared" si="1"/>
        <v>19</v>
      </c>
      <c r="D26" s="854"/>
      <c r="E26" s="856"/>
      <c r="F26" s="855">
        <f t="shared" si="2"/>
        <v>0</v>
      </c>
      <c r="G26" s="454" t="e">
        <f t="shared" si="0"/>
        <v>#DIV/0!</v>
      </c>
    </row>
    <row r="27" spans="1:7" s="665" customFormat="1">
      <c r="A27" s="434" t="s">
        <v>557</v>
      </c>
      <c r="B27" s="435" t="str">
        <f>"Капитрон банк"</f>
        <v>Капитрон банк</v>
      </c>
      <c r="C27" s="436">
        <f t="shared" si="1"/>
        <v>20</v>
      </c>
      <c r="D27" s="854"/>
      <c r="E27" s="856"/>
      <c r="F27" s="855">
        <f t="shared" si="2"/>
        <v>0</v>
      </c>
      <c r="G27" s="454" t="e">
        <f t="shared" si="0"/>
        <v>#DIV/0!</v>
      </c>
    </row>
    <row r="28" spans="1:7" s="665" customFormat="1">
      <c r="A28" s="434" t="s">
        <v>558</v>
      </c>
      <c r="B28" s="435" t="str">
        <f>"Кредит банк"</f>
        <v>Кредит банк</v>
      </c>
      <c r="C28" s="436">
        <f t="shared" si="1"/>
        <v>21</v>
      </c>
      <c r="D28" s="854"/>
      <c r="E28" s="856"/>
      <c r="F28" s="855">
        <f t="shared" si="2"/>
        <v>0</v>
      </c>
      <c r="G28" s="454" t="e">
        <f t="shared" si="0"/>
        <v>#DIV/0!</v>
      </c>
    </row>
    <row r="29" spans="1:7" s="665" customFormat="1">
      <c r="A29" s="434" t="s">
        <v>559</v>
      </c>
      <c r="B29" s="435" t="str">
        <f>"Төрийн банк"</f>
        <v>Төрийн банк</v>
      </c>
      <c r="C29" s="436">
        <f t="shared" si="1"/>
        <v>22</v>
      </c>
      <c r="D29" s="854"/>
      <c r="E29" s="856"/>
      <c r="F29" s="855">
        <f t="shared" si="2"/>
        <v>0</v>
      </c>
      <c r="G29" s="454" t="e">
        <f t="shared" si="0"/>
        <v>#DIV/0!</v>
      </c>
    </row>
    <row r="30" spans="1:7" s="665" customFormat="1">
      <c r="A30" s="434" t="s">
        <v>560</v>
      </c>
      <c r="B30" s="435" t="str">
        <f>"Тээвэр Хөгжлийн банк"</f>
        <v>Тээвэр Хөгжлийн банк</v>
      </c>
      <c r="C30" s="436">
        <f t="shared" si="1"/>
        <v>23</v>
      </c>
      <c r="D30" s="854"/>
      <c r="E30" s="856"/>
      <c r="F30" s="855">
        <f t="shared" si="2"/>
        <v>0</v>
      </c>
      <c r="G30" s="454" t="e">
        <f t="shared" si="0"/>
        <v>#DIV/0!</v>
      </c>
    </row>
    <row r="31" spans="1:7" s="665" customFormat="1">
      <c r="A31" s="434" t="s">
        <v>561</v>
      </c>
      <c r="B31" s="435" t="str">
        <f>"Улаанбаатар хотын банк"</f>
        <v>Улаанбаатар хотын банк</v>
      </c>
      <c r="C31" s="436">
        <f t="shared" si="1"/>
        <v>24</v>
      </c>
      <c r="D31" s="854"/>
      <c r="E31" s="856"/>
      <c r="F31" s="855">
        <f t="shared" si="2"/>
        <v>0</v>
      </c>
      <c r="G31" s="454" t="e">
        <f t="shared" si="0"/>
        <v>#DIV/0!</v>
      </c>
    </row>
    <row r="32" spans="1:7" s="665" customFormat="1">
      <c r="A32" s="434" t="s">
        <v>562</v>
      </c>
      <c r="B32" s="435" t="str">
        <f>"Үндэсний хөрөнгө оруулалтын банк"</f>
        <v>Үндэсний хөрөнгө оруулалтын банк</v>
      </c>
      <c r="C32" s="436">
        <f t="shared" si="1"/>
        <v>25</v>
      </c>
      <c r="D32" s="854"/>
      <c r="E32" s="856"/>
      <c r="F32" s="855">
        <f t="shared" si="2"/>
        <v>0</v>
      </c>
      <c r="G32" s="454" t="e">
        <f t="shared" si="0"/>
        <v>#DIV/0!</v>
      </c>
    </row>
    <row r="33" spans="1:7" s="665" customFormat="1">
      <c r="A33" s="434" t="s">
        <v>563</v>
      </c>
      <c r="B33" s="435" t="str">
        <f>"Хаан банк"</f>
        <v>Хаан банк</v>
      </c>
      <c r="C33" s="436">
        <f t="shared" si="1"/>
        <v>26</v>
      </c>
      <c r="D33" s="854"/>
      <c r="E33" s="856"/>
      <c r="F33" s="855">
        <f t="shared" si="2"/>
        <v>0</v>
      </c>
      <c r="G33" s="454" t="e">
        <f t="shared" si="0"/>
        <v>#DIV/0!</v>
      </c>
    </row>
    <row r="34" spans="1:7" s="665" customFormat="1">
      <c r="A34" s="434" t="s">
        <v>564</v>
      </c>
      <c r="B34" s="435" t="str">
        <f>"Хас банк"</f>
        <v>Хас банк</v>
      </c>
      <c r="C34" s="436">
        <f t="shared" si="1"/>
        <v>27</v>
      </c>
      <c r="D34" s="854"/>
      <c r="E34" s="856"/>
      <c r="F34" s="855">
        <f t="shared" si="2"/>
        <v>0</v>
      </c>
      <c r="G34" s="454" t="e">
        <f t="shared" si="0"/>
        <v>#DIV/0!</v>
      </c>
    </row>
    <row r="35" spans="1:7" s="665" customFormat="1">
      <c r="A35" s="434" t="s">
        <v>565</v>
      </c>
      <c r="B35" s="435" t="str">
        <f>"Худалдаа хөгжлийн банк"</f>
        <v>Худалдаа хөгжлийн банк</v>
      </c>
      <c r="C35" s="436">
        <f t="shared" si="1"/>
        <v>28</v>
      </c>
      <c r="D35" s="854"/>
      <c r="E35" s="856"/>
      <c r="F35" s="855">
        <f t="shared" si="2"/>
        <v>0</v>
      </c>
      <c r="G35" s="454" t="e">
        <f t="shared" si="0"/>
        <v>#DIV/0!</v>
      </c>
    </row>
    <row r="36" spans="1:7" s="665" customFormat="1">
      <c r="A36" s="434" t="s">
        <v>566</v>
      </c>
      <c r="B36" s="435" t="str">
        <f>"Чингис хаан банк"</f>
        <v>Чингис хаан банк</v>
      </c>
      <c r="C36" s="436">
        <f t="shared" si="1"/>
        <v>29</v>
      </c>
      <c r="D36" s="854"/>
      <c r="E36" s="856"/>
      <c r="F36" s="855">
        <f t="shared" si="2"/>
        <v>0</v>
      </c>
      <c r="G36" s="454" t="e">
        <f t="shared" si="0"/>
        <v>#DIV/0!</v>
      </c>
    </row>
    <row r="37" spans="1:7" s="665" customFormat="1" ht="26">
      <c r="A37" s="425">
        <v>4</v>
      </c>
      <c r="B37" s="433" t="s">
        <v>522</v>
      </c>
      <c r="C37" s="428">
        <f>+C36+1</f>
        <v>30</v>
      </c>
      <c r="D37" s="451">
        <f>SUM(D38:D50)</f>
        <v>0</v>
      </c>
      <c r="E37" s="451">
        <f>SUM(E38:E50)</f>
        <v>0</v>
      </c>
      <c r="F37" s="450">
        <f t="shared" si="2"/>
        <v>0</v>
      </c>
      <c r="G37" s="454" t="e">
        <f t="shared" si="0"/>
        <v>#DIV/0!</v>
      </c>
    </row>
    <row r="38" spans="1:7" s="665" customFormat="1">
      <c r="A38" s="434" t="s">
        <v>369</v>
      </c>
      <c r="B38" s="435" t="str">
        <f>"Ариг банк"</f>
        <v>Ариг банк</v>
      </c>
      <c r="C38" s="436">
        <f t="shared" si="1"/>
        <v>31</v>
      </c>
      <c r="D38" s="856"/>
      <c r="E38" s="909"/>
      <c r="F38" s="855">
        <f t="shared" si="2"/>
        <v>0</v>
      </c>
      <c r="G38" s="454" t="e">
        <f t="shared" si="0"/>
        <v>#DIV/0!</v>
      </c>
    </row>
    <row r="39" spans="1:7" s="665" customFormat="1">
      <c r="A39" s="434" t="s">
        <v>371</v>
      </c>
      <c r="B39" s="435" t="str">
        <f>"Богд банк"</f>
        <v>Богд банк</v>
      </c>
      <c r="C39" s="436">
        <f t="shared" si="1"/>
        <v>32</v>
      </c>
      <c r="D39" s="856"/>
      <c r="E39" s="909"/>
      <c r="F39" s="855">
        <f t="shared" si="2"/>
        <v>0</v>
      </c>
      <c r="G39" s="454" t="e">
        <f t="shared" si="0"/>
        <v>#DIV/0!</v>
      </c>
    </row>
    <row r="40" spans="1:7" s="665" customFormat="1">
      <c r="A40" s="434" t="s">
        <v>373</v>
      </c>
      <c r="B40" s="435" t="str">
        <f>"Голомт банк"</f>
        <v>Голомт банк</v>
      </c>
      <c r="C40" s="456">
        <f t="shared" si="1"/>
        <v>33</v>
      </c>
      <c r="D40" s="856"/>
      <c r="E40" s="909"/>
      <c r="F40" s="855">
        <f t="shared" si="2"/>
        <v>0</v>
      </c>
      <c r="G40" s="454" t="e">
        <f t="shared" ref="G40:G71" si="3">F40/$F$88</f>
        <v>#DIV/0!</v>
      </c>
    </row>
    <row r="41" spans="1:7" s="665" customFormat="1">
      <c r="A41" s="434" t="s">
        <v>567</v>
      </c>
      <c r="B41" s="435" t="str">
        <f>"Капитрон банк"</f>
        <v>Капитрон банк</v>
      </c>
      <c r="C41" s="456">
        <f t="shared" si="1"/>
        <v>34</v>
      </c>
      <c r="D41" s="856"/>
      <c r="E41" s="909"/>
      <c r="F41" s="855">
        <f t="shared" si="2"/>
        <v>0</v>
      </c>
      <c r="G41" s="454" t="e">
        <f t="shared" si="3"/>
        <v>#DIV/0!</v>
      </c>
    </row>
    <row r="42" spans="1:7" s="665" customFormat="1">
      <c r="A42" s="434" t="s">
        <v>568</v>
      </c>
      <c r="B42" s="435" t="str">
        <f>"Кредит банк"</f>
        <v>Кредит банк</v>
      </c>
      <c r="C42" s="456">
        <f t="shared" si="1"/>
        <v>35</v>
      </c>
      <c r="D42" s="856"/>
      <c r="E42" s="909"/>
      <c r="F42" s="855">
        <f t="shared" si="2"/>
        <v>0</v>
      </c>
      <c r="G42" s="454" t="e">
        <f t="shared" si="3"/>
        <v>#DIV/0!</v>
      </c>
    </row>
    <row r="43" spans="1:7" s="665" customFormat="1">
      <c r="A43" s="434" t="s">
        <v>569</v>
      </c>
      <c r="B43" s="435" t="str">
        <f>"Төрийн банк"</f>
        <v>Төрийн банк</v>
      </c>
      <c r="C43" s="436">
        <f t="shared" si="1"/>
        <v>36</v>
      </c>
      <c r="D43" s="856"/>
      <c r="E43" s="909"/>
      <c r="F43" s="855">
        <f t="shared" si="2"/>
        <v>0</v>
      </c>
      <c r="G43" s="454" t="e">
        <f t="shared" si="3"/>
        <v>#DIV/0!</v>
      </c>
    </row>
    <row r="44" spans="1:7" s="665" customFormat="1">
      <c r="A44" s="434" t="s">
        <v>570</v>
      </c>
      <c r="B44" s="435" t="str">
        <f>"Тээвэр Хөгжлийн банк"</f>
        <v>Тээвэр Хөгжлийн банк</v>
      </c>
      <c r="C44" s="436">
        <f t="shared" si="1"/>
        <v>37</v>
      </c>
      <c r="D44" s="856"/>
      <c r="E44" s="909"/>
      <c r="F44" s="855">
        <f t="shared" si="2"/>
        <v>0</v>
      </c>
      <c r="G44" s="454" t="e">
        <f t="shared" si="3"/>
        <v>#DIV/0!</v>
      </c>
    </row>
    <row r="45" spans="1:7" s="665" customFormat="1">
      <c r="A45" s="434" t="s">
        <v>571</v>
      </c>
      <c r="B45" s="435" t="str">
        <f>"Улаанбаатар хотын банк"</f>
        <v>Улаанбаатар хотын банк</v>
      </c>
      <c r="C45" s="436">
        <f t="shared" si="1"/>
        <v>38</v>
      </c>
      <c r="D45" s="856"/>
      <c r="E45" s="909"/>
      <c r="F45" s="855">
        <f t="shared" si="2"/>
        <v>0</v>
      </c>
      <c r="G45" s="454" t="e">
        <f t="shared" si="3"/>
        <v>#DIV/0!</v>
      </c>
    </row>
    <row r="46" spans="1:7" s="665" customFormat="1">
      <c r="A46" s="434" t="s">
        <v>572</v>
      </c>
      <c r="B46" s="435" t="str">
        <f>"Үндэсний хөрөнгө оруулалтын банк"</f>
        <v>Үндэсний хөрөнгө оруулалтын банк</v>
      </c>
      <c r="C46" s="436">
        <f t="shared" si="1"/>
        <v>39</v>
      </c>
      <c r="D46" s="856"/>
      <c r="E46" s="909"/>
      <c r="F46" s="855">
        <f t="shared" si="2"/>
        <v>0</v>
      </c>
      <c r="G46" s="454" t="e">
        <f t="shared" si="3"/>
        <v>#DIV/0!</v>
      </c>
    </row>
    <row r="47" spans="1:7" s="665" customFormat="1">
      <c r="A47" s="434" t="s">
        <v>573</v>
      </c>
      <c r="B47" s="435" t="str">
        <f>"Хаан банк"</f>
        <v>Хаан банк</v>
      </c>
      <c r="C47" s="436">
        <f t="shared" si="1"/>
        <v>40</v>
      </c>
      <c r="D47" s="856"/>
      <c r="E47" s="909"/>
      <c r="F47" s="855">
        <f t="shared" si="2"/>
        <v>0</v>
      </c>
      <c r="G47" s="454" t="e">
        <f t="shared" si="3"/>
        <v>#DIV/0!</v>
      </c>
    </row>
    <row r="48" spans="1:7" s="665" customFormat="1">
      <c r="A48" s="434" t="s">
        <v>574</v>
      </c>
      <c r="B48" s="435" t="str">
        <f>"Хас банк"</f>
        <v>Хас банк</v>
      </c>
      <c r="C48" s="436">
        <f t="shared" si="1"/>
        <v>41</v>
      </c>
      <c r="D48" s="856"/>
      <c r="E48" s="909"/>
      <c r="F48" s="855">
        <f t="shared" si="2"/>
        <v>0</v>
      </c>
      <c r="G48" s="454" t="e">
        <f t="shared" si="3"/>
        <v>#DIV/0!</v>
      </c>
    </row>
    <row r="49" spans="1:8" s="665" customFormat="1">
      <c r="A49" s="434" t="s">
        <v>575</v>
      </c>
      <c r="B49" s="435" t="str">
        <f>"Худалдаа хөгжлийн банк"</f>
        <v>Худалдаа хөгжлийн банк</v>
      </c>
      <c r="C49" s="436">
        <f t="shared" si="1"/>
        <v>42</v>
      </c>
      <c r="D49" s="856"/>
      <c r="E49" s="909"/>
      <c r="F49" s="855">
        <f t="shared" si="2"/>
        <v>0</v>
      </c>
      <c r="G49" s="454" t="e">
        <f t="shared" si="3"/>
        <v>#DIV/0!</v>
      </c>
    </row>
    <row r="50" spans="1:8" s="665" customFormat="1">
      <c r="A50" s="434" t="s">
        <v>576</v>
      </c>
      <c r="B50" s="435" t="str">
        <f>"Чингис хаан банк"</f>
        <v>Чингис хаан банк</v>
      </c>
      <c r="C50" s="436">
        <f t="shared" si="1"/>
        <v>43</v>
      </c>
      <c r="D50" s="856"/>
      <c r="E50" s="909"/>
      <c r="F50" s="855">
        <f t="shared" si="2"/>
        <v>0</v>
      </c>
      <c r="G50" s="454" t="e">
        <f t="shared" si="3"/>
        <v>#DIV/0!</v>
      </c>
    </row>
    <row r="51" spans="1:8" s="665" customFormat="1" ht="26">
      <c r="A51" s="425">
        <v>5</v>
      </c>
      <c r="B51" s="433" t="s">
        <v>523</v>
      </c>
      <c r="C51" s="428">
        <f>+C50+1</f>
        <v>44</v>
      </c>
      <c r="D51" s="451">
        <f>SUM(D52:D64)</f>
        <v>0</v>
      </c>
      <c r="E51" s="451">
        <f>SUM(E52:E64)</f>
        <v>0</v>
      </c>
      <c r="F51" s="450">
        <f t="shared" si="2"/>
        <v>0</v>
      </c>
      <c r="G51" s="454" t="e">
        <f t="shared" si="3"/>
        <v>#DIV/0!</v>
      </c>
      <c r="H51" s="1022" t="e">
        <f>+IF(G51&lt;0.8, "","журамд заасан хувиас хэтрүүлж байршуулсан")</f>
        <v>#DIV/0!</v>
      </c>
    </row>
    <row r="52" spans="1:8" s="665" customFormat="1">
      <c r="A52" s="434" t="s">
        <v>376</v>
      </c>
      <c r="B52" s="435" t="str">
        <f>"Ариг банк"</f>
        <v>Ариг банк</v>
      </c>
      <c r="C52" s="436">
        <f t="shared" si="1"/>
        <v>45</v>
      </c>
      <c r="D52" s="856"/>
      <c r="E52" s="455"/>
      <c r="F52" s="855">
        <f t="shared" si="2"/>
        <v>0</v>
      </c>
      <c r="G52" s="454" t="e">
        <f t="shared" si="3"/>
        <v>#DIV/0!</v>
      </c>
    </row>
    <row r="53" spans="1:8" s="665" customFormat="1">
      <c r="A53" s="434" t="s">
        <v>378</v>
      </c>
      <c r="B53" s="435" t="str">
        <f>"Богд банк"</f>
        <v>Богд банк</v>
      </c>
      <c r="C53" s="436">
        <f t="shared" si="1"/>
        <v>46</v>
      </c>
      <c r="D53" s="856"/>
      <c r="E53" s="455"/>
      <c r="F53" s="855">
        <f t="shared" si="2"/>
        <v>0</v>
      </c>
      <c r="G53" s="454" t="e">
        <f t="shared" si="3"/>
        <v>#DIV/0!</v>
      </c>
    </row>
    <row r="54" spans="1:8" s="665" customFormat="1">
      <c r="A54" s="434" t="s">
        <v>380</v>
      </c>
      <c r="B54" s="435" t="str">
        <f>"Голомт банк"</f>
        <v>Голомт банк</v>
      </c>
      <c r="C54" s="436">
        <f t="shared" si="1"/>
        <v>47</v>
      </c>
      <c r="D54" s="856"/>
      <c r="E54" s="455"/>
      <c r="F54" s="855">
        <f t="shared" si="2"/>
        <v>0</v>
      </c>
      <c r="G54" s="454" t="e">
        <f t="shared" si="3"/>
        <v>#DIV/0!</v>
      </c>
    </row>
    <row r="55" spans="1:8" s="665" customFormat="1">
      <c r="A55" s="434" t="s">
        <v>577</v>
      </c>
      <c r="B55" s="435" t="str">
        <f>"Капитрон банк"</f>
        <v>Капитрон банк</v>
      </c>
      <c r="C55" s="436">
        <f t="shared" si="1"/>
        <v>48</v>
      </c>
      <c r="D55" s="856"/>
      <c r="E55" s="455"/>
      <c r="F55" s="855">
        <f t="shared" si="2"/>
        <v>0</v>
      </c>
      <c r="G55" s="454" t="e">
        <f t="shared" si="3"/>
        <v>#DIV/0!</v>
      </c>
    </row>
    <row r="56" spans="1:8" s="665" customFormat="1">
      <c r="A56" s="434" t="s">
        <v>578</v>
      </c>
      <c r="B56" s="435" t="str">
        <f>"Кредит банк"</f>
        <v>Кредит банк</v>
      </c>
      <c r="C56" s="436">
        <f t="shared" si="1"/>
        <v>49</v>
      </c>
      <c r="D56" s="856"/>
      <c r="E56" s="455"/>
      <c r="F56" s="855">
        <f t="shared" si="2"/>
        <v>0</v>
      </c>
      <c r="G56" s="454" t="e">
        <f t="shared" si="3"/>
        <v>#DIV/0!</v>
      </c>
    </row>
    <row r="57" spans="1:8">
      <c r="A57" s="434" t="s">
        <v>579</v>
      </c>
      <c r="B57" s="435" t="str">
        <f>"Төрийн банк"</f>
        <v>Төрийн банк</v>
      </c>
      <c r="C57" s="436">
        <f t="shared" si="1"/>
        <v>50</v>
      </c>
      <c r="D57" s="856"/>
      <c r="E57" s="455"/>
      <c r="F57" s="855">
        <f t="shared" si="2"/>
        <v>0</v>
      </c>
      <c r="G57" s="454" t="e">
        <f t="shared" si="3"/>
        <v>#DIV/0!</v>
      </c>
    </row>
    <row r="58" spans="1:8">
      <c r="A58" s="434" t="s">
        <v>580</v>
      </c>
      <c r="B58" s="435" t="str">
        <f>"Тээвэр Хөгжлийн банк"</f>
        <v>Тээвэр Хөгжлийн банк</v>
      </c>
      <c r="C58" s="436">
        <f t="shared" si="1"/>
        <v>51</v>
      </c>
      <c r="D58" s="856"/>
      <c r="E58" s="455"/>
      <c r="F58" s="855">
        <f t="shared" si="2"/>
        <v>0</v>
      </c>
      <c r="G58" s="454" t="e">
        <f t="shared" si="3"/>
        <v>#DIV/0!</v>
      </c>
    </row>
    <row r="59" spans="1:8">
      <c r="A59" s="434" t="s">
        <v>581</v>
      </c>
      <c r="B59" s="435" t="str">
        <f>"Улаанбаатар хотын банк"</f>
        <v>Улаанбаатар хотын банк</v>
      </c>
      <c r="C59" s="436">
        <f t="shared" si="1"/>
        <v>52</v>
      </c>
      <c r="D59" s="856"/>
      <c r="E59" s="455"/>
      <c r="F59" s="855">
        <f t="shared" si="2"/>
        <v>0</v>
      </c>
      <c r="G59" s="454" t="e">
        <f t="shared" si="3"/>
        <v>#DIV/0!</v>
      </c>
    </row>
    <row r="60" spans="1:8">
      <c r="A60" s="434" t="s">
        <v>582</v>
      </c>
      <c r="B60" s="435" t="str">
        <f>"Үндэсний хөрөнгө оруулалтын банк"</f>
        <v>Үндэсний хөрөнгө оруулалтын банк</v>
      </c>
      <c r="C60" s="436">
        <f t="shared" si="1"/>
        <v>53</v>
      </c>
      <c r="D60" s="856"/>
      <c r="E60" s="455"/>
      <c r="F60" s="855">
        <f t="shared" si="2"/>
        <v>0</v>
      </c>
      <c r="G60" s="454" t="e">
        <f t="shared" si="3"/>
        <v>#DIV/0!</v>
      </c>
    </row>
    <row r="61" spans="1:8">
      <c r="A61" s="434" t="s">
        <v>583</v>
      </c>
      <c r="B61" s="435" t="str">
        <f>"Хаан банк"</f>
        <v>Хаан банк</v>
      </c>
      <c r="C61" s="436">
        <f t="shared" si="1"/>
        <v>54</v>
      </c>
      <c r="D61" s="856"/>
      <c r="E61" s="455"/>
      <c r="F61" s="855">
        <f t="shared" si="2"/>
        <v>0</v>
      </c>
      <c r="G61" s="454" t="e">
        <f t="shared" si="3"/>
        <v>#DIV/0!</v>
      </c>
    </row>
    <row r="62" spans="1:8">
      <c r="A62" s="434" t="s">
        <v>584</v>
      </c>
      <c r="B62" s="435" t="str">
        <f>"Хас банк"</f>
        <v>Хас банк</v>
      </c>
      <c r="C62" s="436">
        <f t="shared" si="1"/>
        <v>55</v>
      </c>
      <c r="D62" s="856"/>
      <c r="E62" s="455"/>
      <c r="F62" s="855">
        <f t="shared" si="2"/>
        <v>0</v>
      </c>
      <c r="G62" s="454" t="e">
        <f t="shared" si="3"/>
        <v>#DIV/0!</v>
      </c>
    </row>
    <row r="63" spans="1:8">
      <c r="A63" s="434" t="s">
        <v>585</v>
      </c>
      <c r="B63" s="435" t="str">
        <f>"Худалдаа хөгжлийн банк"</f>
        <v>Худалдаа хөгжлийн банк</v>
      </c>
      <c r="C63" s="436">
        <f t="shared" si="1"/>
        <v>56</v>
      </c>
      <c r="D63" s="856"/>
      <c r="E63" s="455"/>
      <c r="F63" s="855">
        <f t="shared" si="2"/>
        <v>0</v>
      </c>
      <c r="G63" s="454" t="e">
        <f t="shared" si="3"/>
        <v>#DIV/0!</v>
      </c>
    </row>
    <row r="64" spans="1:8">
      <c r="A64" s="434" t="s">
        <v>586</v>
      </c>
      <c r="B64" s="435" t="str">
        <f>"Чингис хаан банк"</f>
        <v>Чингис хаан банк</v>
      </c>
      <c r="C64" s="436">
        <f t="shared" si="1"/>
        <v>57</v>
      </c>
      <c r="D64" s="856"/>
      <c r="E64" s="455"/>
      <c r="F64" s="855">
        <f t="shared" si="2"/>
        <v>0</v>
      </c>
      <c r="G64" s="454" t="e">
        <f t="shared" si="3"/>
        <v>#DIV/0!</v>
      </c>
    </row>
    <row r="65" spans="1:8">
      <c r="A65" s="425">
        <f>+A51+1</f>
        <v>6</v>
      </c>
      <c r="B65" s="437" t="s">
        <v>524</v>
      </c>
      <c r="C65" s="428">
        <f>+C64+1</f>
        <v>58</v>
      </c>
      <c r="D65" s="451">
        <f>SUM(D66:D74)</f>
        <v>0</v>
      </c>
      <c r="E65" s="451">
        <f>SUM(E66:E74)</f>
        <v>0</v>
      </c>
      <c r="F65" s="450">
        <f t="shared" ref="F65:F86" si="4">SUM(D65+E65)</f>
        <v>0</v>
      </c>
      <c r="G65" s="454" t="e">
        <f t="shared" si="3"/>
        <v>#DIV/0!</v>
      </c>
    </row>
    <row r="66" spans="1:8">
      <c r="A66" s="434" t="s">
        <v>384</v>
      </c>
      <c r="B66" s="439" t="s">
        <v>525</v>
      </c>
      <c r="C66" s="436">
        <f t="shared" ref="C66:C88" si="5">C65+1</f>
        <v>59</v>
      </c>
      <c r="D66" s="854"/>
      <c r="E66" s="854"/>
      <c r="F66" s="855">
        <f>SUM(D66+E66)</f>
        <v>0</v>
      </c>
      <c r="G66" s="454" t="e">
        <f t="shared" si="3"/>
        <v>#DIV/0!</v>
      </c>
    </row>
    <row r="67" spans="1:8">
      <c r="A67" s="434" t="s">
        <v>385</v>
      </c>
      <c r="B67" s="439" t="s">
        <v>526</v>
      </c>
      <c r="C67" s="436">
        <f t="shared" si="5"/>
        <v>60</v>
      </c>
      <c r="D67" s="854"/>
      <c r="E67" s="854"/>
      <c r="F67" s="855">
        <f t="shared" si="4"/>
        <v>0</v>
      </c>
      <c r="G67" s="454" t="e">
        <f t="shared" si="3"/>
        <v>#DIV/0!</v>
      </c>
      <c r="H67" s="1023" t="e">
        <f>+IF(G67&lt;0.6, "","журамд заасан хувиас хэтрүүлж байршуулсан")</f>
        <v>#DIV/0!</v>
      </c>
    </row>
    <row r="68" spans="1:8">
      <c r="A68" s="434" t="s">
        <v>387</v>
      </c>
      <c r="B68" s="439" t="s">
        <v>527</v>
      </c>
      <c r="C68" s="436">
        <f t="shared" si="5"/>
        <v>61</v>
      </c>
      <c r="D68" s="854"/>
      <c r="E68" s="854"/>
      <c r="F68" s="855">
        <f t="shared" si="4"/>
        <v>0</v>
      </c>
      <c r="G68" s="454" t="e">
        <f t="shared" si="3"/>
        <v>#DIV/0!</v>
      </c>
      <c r="H68" s="1023" t="e">
        <f>+IF(G68&lt;0.6, "","журамд заасан хувиас хэтрүүлж байршуулсан")</f>
        <v>#DIV/0!</v>
      </c>
    </row>
    <row r="69" spans="1:8">
      <c r="A69" s="434" t="s">
        <v>389</v>
      </c>
      <c r="B69" s="439" t="s">
        <v>528</v>
      </c>
      <c r="C69" s="436">
        <f t="shared" si="5"/>
        <v>62</v>
      </c>
      <c r="D69" s="854"/>
      <c r="E69" s="854"/>
      <c r="F69" s="855">
        <f t="shared" si="4"/>
        <v>0</v>
      </c>
      <c r="G69" s="454" t="e">
        <f t="shared" si="3"/>
        <v>#DIV/0!</v>
      </c>
      <c r="H69" s="1023" t="e">
        <f>+IF(G69&lt;0.6, "","журамд заасан хувиас хэтрүүлж байршуулсан")</f>
        <v>#DIV/0!</v>
      </c>
    </row>
    <row r="70" spans="1:8">
      <c r="A70" s="434" t="s">
        <v>391</v>
      </c>
      <c r="B70" s="439" t="s">
        <v>529</v>
      </c>
      <c r="C70" s="436">
        <f t="shared" si="5"/>
        <v>63</v>
      </c>
      <c r="D70" s="854"/>
      <c r="E70" s="854"/>
      <c r="F70" s="855">
        <f t="shared" si="4"/>
        <v>0</v>
      </c>
      <c r="G70" s="454" t="e">
        <f t="shared" si="3"/>
        <v>#DIV/0!</v>
      </c>
      <c r="H70" s="1023" t="e">
        <f>+IF(G70&lt;0.2, "","журамд заасан хувиас хэтрүүлж байршуулсан")</f>
        <v>#DIV/0!</v>
      </c>
    </row>
    <row r="71" spans="1:8">
      <c r="A71" s="434" t="s">
        <v>393</v>
      </c>
      <c r="B71" s="439" t="s">
        <v>530</v>
      </c>
      <c r="C71" s="436">
        <f t="shared" si="5"/>
        <v>64</v>
      </c>
      <c r="D71" s="854"/>
      <c r="E71" s="854"/>
      <c r="F71" s="855">
        <f t="shared" si="4"/>
        <v>0</v>
      </c>
      <c r="G71" s="454" t="e">
        <f t="shared" si="3"/>
        <v>#DIV/0!</v>
      </c>
      <c r="H71" s="1023" t="e">
        <f>+IF(G71&lt;0.1, "","журамд заасан хувиас хэтрүүлж байршуулсан")</f>
        <v>#DIV/0!</v>
      </c>
    </row>
    <row r="72" spans="1:8">
      <c r="A72" s="434" t="s">
        <v>395</v>
      </c>
      <c r="B72" s="439" t="s">
        <v>531</v>
      </c>
      <c r="C72" s="436">
        <f t="shared" si="5"/>
        <v>65</v>
      </c>
      <c r="D72" s="854"/>
      <c r="E72" s="854"/>
      <c r="F72" s="855">
        <f t="shared" si="4"/>
        <v>0</v>
      </c>
      <c r="G72" s="454" t="e">
        <f t="shared" ref="G72:G88" si="6">F72/$F$88</f>
        <v>#DIV/0!</v>
      </c>
      <c r="H72" s="1023" t="e">
        <f>+IF(G72&lt;0.05, "","журамд заасан хувиас хэтрүүлж байршуулсан")</f>
        <v>#DIV/0!</v>
      </c>
    </row>
    <row r="73" spans="1:8" ht="26">
      <c r="A73" s="434" t="s">
        <v>397</v>
      </c>
      <c r="B73" s="439" t="s">
        <v>532</v>
      </c>
      <c r="C73" s="436">
        <f t="shared" si="5"/>
        <v>66</v>
      </c>
      <c r="D73" s="854"/>
      <c r="E73" s="854"/>
      <c r="F73" s="855">
        <f t="shared" si="4"/>
        <v>0</v>
      </c>
      <c r="G73" s="454" t="e">
        <f t="shared" si="6"/>
        <v>#DIV/0!</v>
      </c>
      <c r="H73" s="1023" t="e">
        <f>+IF(G73&lt;0.2, "","журамд заасан хувиас хэтрүүлж байршуулсан")</f>
        <v>#DIV/0!</v>
      </c>
    </row>
    <row r="74" spans="1:8">
      <c r="A74" s="434" t="s">
        <v>399</v>
      </c>
      <c r="B74" s="439" t="s">
        <v>533</v>
      </c>
      <c r="C74" s="436">
        <f t="shared" si="5"/>
        <v>67</v>
      </c>
      <c r="D74" s="854"/>
      <c r="E74" s="854"/>
      <c r="F74" s="855">
        <f t="shared" si="4"/>
        <v>0</v>
      </c>
      <c r="G74" s="454" t="e">
        <f t="shared" si="6"/>
        <v>#DIV/0!</v>
      </c>
    </row>
    <row r="75" spans="1:8">
      <c r="A75" s="425">
        <f>+A65+1</f>
        <v>7</v>
      </c>
      <c r="B75" s="433" t="s">
        <v>534</v>
      </c>
      <c r="C75" s="428">
        <f t="shared" si="5"/>
        <v>68</v>
      </c>
      <c r="D75" s="451">
        <v>0</v>
      </c>
      <c r="E75" s="861"/>
      <c r="F75" s="450">
        <f t="shared" si="4"/>
        <v>0</v>
      </c>
      <c r="G75" s="454" t="e">
        <f t="shared" si="6"/>
        <v>#DIV/0!</v>
      </c>
      <c r="H75" s="1023" t="e">
        <f>+IF(G75&lt;0.1, "","журамд заасан хувиас хэтрүүлж байршуулсан")</f>
        <v>#DIV/0!</v>
      </c>
    </row>
    <row r="76" spans="1:8" ht="26">
      <c r="A76" s="425" t="s">
        <v>403</v>
      </c>
      <c r="B76" s="433" t="s">
        <v>535</v>
      </c>
      <c r="C76" s="428">
        <f t="shared" si="5"/>
        <v>69</v>
      </c>
      <c r="D76" s="451">
        <v>0</v>
      </c>
      <c r="E76" s="451">
        <f>SUM(E77:E86)</f>
        <v>0</v>
      </c>
      <c r="F76" s="906">
        <f t="shared" si="4"/>
        <v>0</v>
      </c>
      <c r="G76" s="454" t="e">
        <f t="shared" si="6"/>
        <v>#DIV/0!</v>
      </c>
      <c r="H76" s="1023" t="e">
        <f>+IF(G76&lt;0.2, "","журамд заасан хувиас хэтрүүлж байршуулсан")</f>
        <v>#DIV/0!</v>
      </c>
    </row>
    <row r="77" spans="1:8">
      <c r="A77" s="818" t="s">
        <v>405</v>
      </c>
      <c r="B77" s="206" t="s">
        <v>542</v>
      </c>
      <c r="C77" s="817">
        <f t="shared" si="5"/>
        <v>70</v>
      </c>
      <c r="D77" s="838"/>
      <c r="E77" s="854"/>
      <c r="F77" s="855">
        <f t="shared" si="4"/>
        <v>0</v>
      </c>
      <c r="G77" s="454" t="e">
        <f t="shared" si="6"/>
        <v>#DIV/0!</v>
      </c>
    </row>
    <row r="78" spans="1:8">
      <c r="A78" s="819">
        <f>+A77+0.1</f>
        <v>8.1999999999999993</v>
      </c>
      <c r="B78" s="206" t="s">
        <v>542</v>
      </c>
      <c r="C78" s="817">
        <f t="shared" si="5"/>
        <v>71</v>
      </c>
      <c r="D78" s="838"/>
      <c r="E78" s="854"/>
      <c r="F78" s="855">
        <f t="shared" si="4"/>
        <v>0</v>
      </c>
      <c r="G78" s="454" t="e">
        <f t="shared" si="6"/>
        <v>#DIV/0!</v>
      </c>
    </row>
    <row r="79" spans="1:8">
      <c r="A79" s="819">
        <f t="shared" ref="A79:A85" si="7">+A78+0.1</f>
        <v>8.2999999999999989</v>
      </c>
      <c r="B79" s="206" t="s">
        <v>542</v>
      </c>
      <c r="C79" s="817">
        <f t="shared" si="5"/>
        <v>72</v>
      </c>
      <c r="D79" s="838"/>
      <c r="E79" s="854"/>
      <c r="F79" s="855">
        <f t="shared" si="4"/>
        <v>0</v>
      </c>
      <c r="G79" s="454" t="e">
        <f t="shared" si="6"/>
        <v>#DIV/0!</v>
      </c>
    </row>
    <row r="80" spans="1:8">
      <c r="A80" s="819">
        <f t="shared" si="7"/>
        <v>8.3999999999999986</v>
      </c>
      <c r="B80" s="206" t="s">
        <v>542</v>
      </c>
      <c r="C80" s="817">
        <f t="shared" si="5"/>
        <v>73</v>
      </c>
      <c r="D80" s="838"/>
      <c r="E80" s="854"/>
      <c r="F80" s="855">
        <f t="shared" si="4"/>
        <v>0</v>
      </c>
      <c r="G80" s="454" t="e">
        <f t="shared" si="6"/>
        <v>#DIV/0!</v>
      </c>
    </row>
    <row r="81" spans="1:8">
      <c r="A81" s="819">
        <f t="shared" si="7"/>
        <v>8.4999999999999982</v>
      </c>
      <c r="B81" s="206" t="s">
        <v>542</v>
      </c>
      <c r="C81" s="817">
        <f t="shared" si="5"/>
        <v>74</v>
      </c>
      <c r="D81" s="838"/>
      <c r="E81" s="854"/>
      <c r="F81" s="855">
        <f t="shared" si="4"/>
        <v>0</v>
      </c>
      <c r="G81" s="454" t="e">
        <f t="shared" si="6"/>
        <v>#DIV/0!</v>
      </c>
    </row>
    <row r="82" spans="1:8">
      <c r="A82" s="819">
        <f t="shared" si="7"/>
        <v>8.5999999999999979</v>
      </c>
      <c r="B82" s="206" t="s">
        <v>542</v>
      </c>
      <c r="C82" s="817">
        <f t="shared" si="5"/>
        <v>75</v>
      </c>
      <c r="D82" s="838"/>
      <c r="E82" s="854"/>
      <c r="F82" s="855">
        <f t="shared" si="4"/>
        <v>0</v>
      </c>
      <c r="G82" s="454" t="e">
        <f t="shared" si="6"/>
        <v>#DIV/0!</v>
      </c>
    </row>
    <row r="83" spans="1:8">
      <c r="A83" s="819">
        <f t="shared" si="7"/>
        <v>8.6999999999999975</v>
      </c>
      <c r="B83" s="206" t="s">
        <v>542</v>
      </c>
      <c r="C83" s="817">
        <f t="shared" si="5"/>
        <v>76</v>
      </c>
      <c r="D83" s="838"/>
      <c r="E83" s="854"/>
      <c r="F83" s="855">
        <f t="shared" si="4"/>
        <v>0</v>
      </c>
      <c r="G83" s="454" t="e">
        <f t="shared" si="6"/>
        <v>#DIV/0!</v>
      </c>
    </row>
    <row r="84" spans="1:8">
      <c r="A84" s="819">
        <f t="shared" si="7"/>
        <v>8.7999999999999972</v>
      </c>
      <c r="B84" s="206" t="s">
        <v>542</v>
      </c>
      <c r="C84" s="817">
        <f t="shared" si="5"/>
        <v>77</v>
      </c>
      <c r="D84" s="838"/>
      <c r="E84" s="854"/>
      <c r="F84" s="855">
        <f t="shared" si="4"/>
        <v>0</v>
      </c>
      <c r="G84" s="454" t="e">
        <f t="shared" si="6"/>
        <v>#DIV/0!</v>
      </c>
    </row>
    <row r="85" spans="1:8">
      <c r="A85" s="819">
        <f t="shared" si="7"/>
        <v>8.8999999999999968</v>
      </c>
      <c r="B85" s="206" t="s">
        <v>542</v>
      </c>
      <c r="C85" s="817">
        <f t="shared" si="5"/>
        <v>78</v>
      </c>
      <c r="D85" s="838"/>
      <c r="E85" s="854"/>
      <c r="F85" s="855">
        <f t="shared" si="4"/>
        <v>0</v>
      </c>
      <c r="G85" s="454" t="e">
        <f t="shared" si="6"/>
        <v>#DIV/0!</v>
      </c>
    </row>
    <row r="86" spans="1:8">
      <c r="A86" s="818">
        <v>8.1</v>
      </c>
      <c r="B86" s="206" t="s">
        <v>542</v>
      </c>
      <c r="C86" s="817">
        <f t="shared" si="5"/>
        <v>79</v>
      </c>
      <c r="D86" s="838"/>
      <c r="E86" s="854"/>
      <c r="F86" s="855">
        <f t="shared" si="4"/>
        <v>0</v>
      </c>
      <c r="G86" s="454" t="e">
        <f t="shared" si="6"/>
        <v>#DIV/0!</v>
      </c>
    </row>
    <row r="87" spans="1:8" ht="26">
      <c r="A87" s="425">
        <f>+A76+1</f>
        <v>9</v>
      </c>
      <c r="B87" s="426" t="s">
        <v>1000</v>
      </c>
      <c r="C87" s="428">
        <f t="shared" si="5"/>
        <v>80</v>
      </c>
      <c r="D87" s="451">
        <v>0</v>
      </c>
      <c r="E87" s="854"/>
      <c r="F87" s="450">
        <f>+D87+E87</f>
        <v>0</v>
      </c>
      <c r="G87" s="1014" t="e">
        <f t="shared" si="6"/>
        <v>#DIV/0!</v>
      </c>
      <c r="H87" s="1023" t="e">
        <f>+IF(G87&lt;0.3, "","журамд заасан хувиас хэтрүүлж байршуулсан")</f>
        <v>#DIV/0!</v>
      </c>
    </row>
    <row r="88" spans="1:8">
      <c r="A88" s="425" t="s">
        <v>411</v>
      </c>
      <c r="B88" s="426" t="s">
        <v>626</v>
      </c>
      <c r="C88" s="428">
        <f t="shared" si="5"/>
        <v>81</v>
      </c>
      <c r="D88" s="452">
        <f>SUM(D8,D9,D23,D37,D51,D65,D75,D76,D87)</f>
        <v>0</v>
      </c>
      <c r="E88" s="452">
        <f>SUM(E8,E9,E23,E37,E51,E65,E75,E76,E87)</f>
        <v>0</v>
      </c>
      <c r="F88" s="910">
        <f>+F8+F9+F23+F37+F51+F65+F75+F76+F87</f>
        <v>0</v>
      </c>
      <c r="G88" s="454" t="e">
        <f t="shared" si="6"/>
        <v>#DIV/0!</v>
      </c>
    </row>
    <row r="89" spans="1:8">
      <c r="A89" s="442"/>
      <c r="B89" s="227"/>
      <c r="C89" s="242"/>
      <c r="D89" s="733"/>
      <c r="E89" s="733"/>
      <c r="F89" s="733">
        <f>+F88-i.04107!G19</f>
        <v>0</v>
      </c>
      <c r="G89" s="790"/>
    </row>
    <row r="90" spans="1:8">
      <c r="B90" s="49" t="s">
        <v>910</v>
      </c>
      <c r="C90" s="951"/>
      <c r="D90" s="951"/>
      <c r="E90" s="951"/>
      <c r="F90" s="244"/>
    </row>
    <row r="91" spans="1:8">
      <c r="B91" s="953" t="str">
        <f>+i.04108!C34</f>
        <v xml:space="preserve">ТАЙЛАН ГАРГАСАН:    </v>
      </c>
      <c r="C91" s="953"/>
      <c r="D91" s="953"/>
      <c r="E91" s="953"/>
      <c r="F91" s="953"/>
    </row>
    <row r="92" spans="1:8">
      <c r="B92" s="953"/>
      <c r="C92" s="953"/>
      <c r="D92" s="953"/>
      <c r="E92" s="953"/>
      <c r="F92" s="953"/>
    </row>
    <row r="93" spans="1:8">
      <c r="B93" s="952" t="str">
        <f>+i.04108!C36</f>
        <v xml:space="preserve"> Гүйцэтгэх захирал</v>
      </c>
      <c r="D93" s="953" t="str">
        <f>+i.04108!D36</f>
        <v xml:space="preserve">/................................../   </v>
      </c>
      <c r="E93" s="953"/>
      <c r="F93" s="953" t="str">
        <f>+i.04108!F36</f>
        <v>/................................./</v>
      </c>
    </row>
    <row r="94" spans="1:8">
      <c r="B94" s="952"/>
      <c r="D94" s="953"/>
      <c r="E94" s="953"/>
      <c r="F94" s="953"/>
    </row>
    <row r="95" spans="1:8">
      <c r="B95" s="952" t="str">
        <f>+i.04108!C38</f>
        <v xml:space="preserve"> Ерөнхий нягтлан бодогч  </v>
      </c>
      <c r="D95" s="953" t="str">
        <f>+i.04108!D38</f>
        <v xml:space="preserve">/.................................../   </v>
      </c>
      <c r="E95" s="953"/>
      <c r="F95" s="953" t="str">
        <f>+i.04108!F38</f>
        <v>/................................/</v>
      </c>
    </row>
    <row r="96" spans="1:8">
      <c r="B96" s="952"/>
      <c r="D96" s="953"/>
      <c r="E96" s="953"/>
      <c r="F96" s="953"/>
    </row>
    <row r="97" spans="2:6">
      <c r="B97" s="952" t="str">
        <f>+i.04108!C40</f>
        <v>...................................................</v>
      </c>
      <c r="D97" s="953" t="str">
        <f>+i.04108!D40</f>
        <v xml:space="preserve">/................................../   </v>
      </c>
      <c r="E97" s="953"/>
      <c r="F97" s="953" t="str">
        <f>+i.04108!F40</f>
        <v>/................................/</v>
      </c>
    </row>
    <row r="98" spans="2:6">
      <c r="B98" s="953"/>
      <c r="C98" s="953"/>
      <c r="D98" s="953"/>
      <c r="E98" s="953"/>
      <c r="F98" s="953"/>
    </row>
    <row r="99" spans="2:6">
      <c r="B99" s="953"/>
      <c r="C99" s="953"/>
      <c r="D99" s="953"/>
      <c r="E99" s="953"/>
      <c r="F99" s="953"/>
    </row>
    <row r="100" spans="2:6">
      <c r="B100" s="953"/>
      <c r="C100" s="953"/>
      <c r="D100" s="953"/>
      <c r="E100" s="953"/>
      <c r="F100" s="953"/>
    </row>
    <row r="101" spans="2:6">
      <c r="B101" s="953"/>
      <c r="C101" s="953"/>
      <c r="D101" s="953"/>
      <c r="E101" s="953"/>
      <c r="F101" s="953"/>
    </row>
  </sheetData>
  <sheetProtection password="CA9F" sheet="1"/>
  <mergeCells count="4">
    <mergeCell ref="A2:G2"/>
    <mergeCell ref="F4:G4"/>
    <mergeCell ref="A4:D4"/>
    <mergeCell ref="A1:G1"/>
  </mergeCells>
  <dataValidations count="1">
    <dataValidation type="decimal" allowBlank="1" showInputMessage="1" showErrorMessage="1" sqref="D8:F88">
      <formula1>0</formula1>
      <formula2>1E+27</formula2>
    </dataValidation>
  </dataValidations>
  <pageMargins left="1.1499999999999999" right="0.7" top="0.75" bottom="0.75" header="0.3" footer="0.3"/>
  <pageSetup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5"/>
  <sheetViews>
    <sheetView workbookViewId="0">
      <selection activeCell="H13" sqref="H13"/>
    </sheetView>
  </sheetViews>
  <sheetFormatPr defaultRowHeight="14.5"/>
  <cols>
    <col min="1" max="1" width="4.453125" style="806" customWidth="1"/>
    <col min="2" max="2" width="25.81640625" customWidth="1"/>
    <col min="3" max="3" width="6.453125" customWidth="1"/>
    <col min="4" max="5" width="16.7265625" customWidth="1"/>
    <col min="10" max="10" width="18.54296875" customWidth="1"/>
    <col min="11" max="11" width="13.26953125" customWidth="1"/>
    <col min="12" max="13" width="16.54296875" customWidth="1"/>
  </cols>
  <sheetData>
    <row r="1" spans="1:28" s="793" customFormat="1" ht="12.75" customHeight="1">
      <c r="A1" s="444"/>
      <c r="B1" s="227"/>
      <c r="C1" s="263"/>
      <c r="D1" s="242"/>
      <c r="E1" s="242"/>
      <c r="F1" s="242"/>
      <c r="G1" s="1198" t="s">
        <v>1015</v>
      </c>
      <c r="H1" s="1198"/>
      <c r="I1" s="1198"/>
      <c r="J1" s="1198"/>
      <c r="K1" s="1198"/>
      <c r="L1" s="1198"/>
      <c r="M1" s="1198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8" s="793" customFormat="1" ht="12.75" customHeight="1">
      <c r="A2" s="444"/>
      <c r="B2" s="227"/>
      <c r="C2" s="263"/>
      <c r="D2" s="242"/>
      <c r="E2" s="242"/>
      <c r="F2" s="242"/>
      <c r="G2" s="1198"/>
      <c r="H2" s="1198"/>
      <c r="I2" s="1198"/>
      <c r="J2" s="1198"/>
      <c r="K2" s="1198"/>
      <c r="L2" s="1198"/>
      <c r="M2" s="1198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8" s="793" customFormat="1" ht="12.75" customHeight="1">
      <c r="A3" s="444"/>
      <c r="B3" s="227"/>
      <c r="C3" s="263"/>
      <c r="D3" s="242"/>
      <c r="E3" s="242"/>
      <c r="F3" s="242"/>
      <c r="G3" s="1198"/>
      <c r="H3" s="1198"/>
      <c r="I3" s="1198"/>
      <c r="J3" s="1198"/>
      <c r="K3" s="1198"/>
      <c r="L3" s="1198"/>
      <c r="M3" s="1198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8" s="793" customFormat="1" ht="12.75" customHeight="1">
      <c r="A4" s="444"/>
      <c r="B4" s="227"/>
      <c r="C4" s="263"/>
      <c r="D4" s="242"/>
      <c r="E4" s="242"/>
      <c r="F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8" s="793" customFormat="1" ht="12.75" customHeight="1">
      <c r="A5" s="1199" t="s">
        <v>996</v>
      </c>
      <c r="B5" s="1173"/>
      <c r="C5" s="1173"/>
      <c r="D5" s="1173"/>
      <c r="E5" s="1173"/>
      <c r="F5" s="1173"/>
      <c r="G5" s="1173"/>
      <c r="H5" s="1173"/>
      <c r="I5" s="1173"/>
      <c r="J5" s="1173"/>
      <c r="K5" s="1173"/>
      <c r="L5" s="1173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8" s="793" customFormat="1" ht="12.75" customHeight="1">
      <c r="A6" s="646"/>
      <c r="B6" s="794"/>
      <c r="C6" s="424"/>
      <c r="D6" s="794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8" s="793" customFormat="1" ht="15.75" customHeight="1">
      <c r="A7" s="1195" t="str">
        <f>+i.04108!A7</f>
        <v>Даатгагчийн нэр:</v>
      </c>
      <c r="B7" s="1196"/>
      <c r="C7" s="1196"/>
      <c r="D7" s="1196"/>
      <c r="E7" s="1196"/>
      <c r="I7" s="640"/>
      <c r="J7" s="1197" t="str">
        <f>+i.04108!F7</f>
        <v>..... оны .... сарын ...-ны өдөр</v>
      </c>
      <c r="K7" s="1197"/>
      <c r="L7" s="1197"/>
      <c r="M7" s="1197"/>
      <c r="N7" s="1208"/>
      <c r="O7" s="1173"/>
      <c r="P7" s="1173"/>
      <c r="Q7" s="1173"/>
      <c r="R7" s="641"/>
      <c r="S7" s="242"/>
      <c r="T7" s="242"/>
      <c r="U7" s="242"/>
      <c r="V7" s="242"/>
      <c r="W7" s="242"/>
      <c r="X7" s="242"/>
      <c r="Y7" s="242"/>
      <c r="Z7" s="242"/>
      <c r="AA7" s="242"/>
      <c r="AB7" s="242"/>
    </row>
    <row r="8" spans="1:28" s="793" customFormat="1" ht="12.75" customHeight="1">
      <c r="A8" s="641"/>
      <c r="B8" s="242"/>
      <c r="C8" s="788"/>
      <c r="D8" s="789"/>
      <c r="E8" s="242"/>
      <c r="F8" s="242"/>
      <c r="I8" s="242"/>
      <c r="J8" s="242"/>
      <c r="K8" s="1242" t="s">
        <v>1</v>
      </c>
      <c r="L8" s="1242"/>
      <c r="M8" s="1242"/>
      <c r="N8" s="242"/>
      <c r="O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</row>
    <row r="9" spans="1:28" ht="15" customHeight="1">
      <c r="A9" s="1239" t="s">
        <v>2</v>
      </c>
      <c r="B9" s="1239" t="s">
        <v>986</v>
      </c>
      <c r="C9" s="1239" t="s">
        <v>987</v>
      </c>
      <c r="D9" s="1239" t="s">
        <v>666</v>
      </c>
      <c r="E9" s="1239" t="s">
        <v>988</v>
      </c>
      <c r="F9" s="1239" t="s">
        <v>989</v>
      </c>
      <c r="G9" s="1237" t="s">
        <v>990</v>
      </c>
      <c r="H9" s="1241"/>
      <c r="I9" s="1238"/>
      <c r="J9" s="1235" t="s">
        <v>991</v>
      </c>
      <c r="K9" s="1235" t="s">
        <v>992</v>
      </c>
      <c r="L9" s="1235" t="s">
        <v>377</v>
      </c>
      <c r="M9" s="1235" t="s">
        <v>995</v>
      </c>
    </row>
    <row r="10" spans="1:28" ht="52">
      <c r="A10" s="1240"/>
      <c r="B10" s="1240"/>
      <c r="C10" s="1240"/>
      <c r="D10" s="1240"/>
      <c r="E10" s="1240"/>
      <c r="F10" s="1240"/>
      <c r="G10" s="810" t="s">
        <v>702</v>
      </c>
      <c r="H10" s="810" t="s">
        <v>993</v>
      </c>
      <c r="I10" s="810" t="s">
        <v>288</v>
      </c>
      <c r="J10" s="1236"/>
      <c r="K10" s="1236"/>
      <c r="L10" s="1236"/>
      <c r="M10" s="1236"/>
    </row>
    <row r="11" spans="1:28">
      <c r="A11" s="810" t="s">
        <v>6</v>
      </c>
      <c r="B11" s="810" t="s">
        <v>7</v>
      </c>
      <c r="C11" s="811" t="s">
        <v>8</v>
      </c>
      <c r="D11" s="810">
        <v>1</v>
      </c>
      <c r="E11" s="810">
        <v>2</v>
      </c>
      <c r="F11" s="810">
        <v>3</v>
      </c>
      <c r="G11" s="810">
        <v>4</v>
      </c>
      <c r="H11" s="810">
        <v>5</v>
      </c>
      <c r="I11" s="810">
        <v>6</v>
      </c>
      <c r="J11" s="810">
        <v>7</v>
      </c>
      <c r="K11" s="810">
        <v>8</v>
      </c>
      <c r="L11" s="810">
        <v>9</v>
      </c>
      <c r="M11" s="810">
        <v>10</v>
      </c>
    </row>
    <row r="12" spans="1:28">
      <c r="A12" s="805">
        <v>1</v>
      </c>
      <c r="B12" s="813"/>
      <c r="C12" s="805">
        <v>1</v>
      </c>
      <c r="D12" s="814"/>
      <c r="E12" s="814"/>
      <c r="F12" s="911"/>
      <c r="G12" s="911"/>
      <c r="H12" s="911"/>
      <c r="I12" s="911"/>
      <c r="J12" s="814"/>
      <c r="K12" s="911"/>
      <c r="L12" s="814"/>
      <c r="M12" s="814"/>
    </row>
    <row r="13" spans="1:28">
      <c r="A13" s="805">
        <f>+A12+1</f>
        <v>2</v>
      </c>
      <c r="B13" s="813"/>
      <c r="C13" s="805">
        <v>2</v>
      </c>
      <c r="D13" s="814"/>
      <c r="E13" s="814"/>
      <c r="F13" s="911"/>
      <c r="G13" s="911"/>
      <c r="H13" s="911"/>
      <c r="I13" s="911"/>
      <c r="J13" s="814"/>
      <c r="K13" s="911"/>
      <c r="L13" s="814"/>
      <c r="M13" s="814"/>
    </row>
    <row r="14" spans="1:28">
      <c r="A14" s="805">
        <f t="shared" ref="A14:A22" si="0">+A13+1</f>
        <v>3</v>
      </c>
      <c r="B14" s="813"/>
      <c r="C14" s="805">
        <v>3</v>
      </c>
      <c r="D14" s="814"/>
      <c r="E14" s="814"/>
      <c r="F14" s="911"/>
      <c r="G14" s="911"/>
      <c r="H14" s="911"/>
      <c r="I14" s="911"/>
      <c r="J14" s="814"/>
      <c r="K14" s="911"/>
      <c r="L14" s="814"/>
      <c r="M14" s="814"/>
    </row>
    <row r="15" spans="1:28">
      <c r="A15" s="805">
        <f t="shared" si="0"/>
        <v>4</v>
      </c>
      <c r="B15" s="813"/>
      <c r="C15" s="805">
        <v>4</v>
      </c>
      <c r="D15" s="814"/>
      <c r="E15" s="814"/>
      <c r="F15" s="911"/>
      <c r="G15" s="911"/>
      <c r="H15" s="911"/>
      <c r="I15" s="911"/>
      <c r="J15" s="814"/>
      <c r="K15" s="911"/>
      <c r="L15" s="814"/>
      <c r="M15" s="814"/>
    </row>
    <row r="16" spans="1:28">
      <c r="A16" s="805">
        <f t="shared" si="0"/>
        <v>5</v>
      </c>
      <c r="B16" s="813"/>
      <c r="C16" s="805">
        <v>5</v>
      </c>
      <c r="D16" s="814"/>
      <c r="E16" s="814"/>
      <c r="F16" s="911"/>
      <c r="G16" s="911"/>
      <c r="H16" s="911"/>
      <c r="I16" s="911"/>
      <c r="J16" s="814"/>
      <c r="K16" s="911"/>
      <c r="L16" s="814"/>
      <c r="M16" s="814"/>
    </row>
    <row r="17" spans="1:13">
      <c r="A17" s="805">
        <f t="shared" si="0"/>
        <v>6</v>
      </c>
      <c r="B17" s="813"/>
      <c r="C17" s="805">
        <v>6</v>
      </c>
      <c r="D17" s="814"/>
      <c r="E17" s="814"/>
      <c r="F17" s="911"/>
      <c r="G17" s="911"/>
      <c r="H17" s="911"/>
      <c r="I17" s="911"/>
      <c r="J17" s="814"/>
      <c r="K17" s="911"/>
      <c r="L17" s="814"/>
      <c r="M17" s="814"/>
    </row>
    <row r="18" spans="1:13">
      <c r="A18" s="805">
        <f t="shared" si="0"/>
        <v>7</v>
      </c>
      <c r="B18" s="813"/>
      <c r="C18" s="805">
        <v>7</v>
      </c>
      <c r="D18" s="814"/>
      <c r="E18" s="814"/>
      <c r="F18" s="911"/>
      <c r="G18" s="911"/>
      <c r="H18" s="911"/>
      <c r="I18" s="911"/>
      <c r="J18" s="814"/>
      <c r="K18" s="911"/>
      <c r="L18" s="814"/>
      <c r="M18" s="814"/>
    </row>
    <row r="19" spans="1:13">
      <c r="A19" s="805">
        <f t="shared" si="0"/>
        <v>8</v>
      </c>
      <c r="B19" s="813"/>
      <c r="C19" s="805">
        <v>8</v>
      </c>
      <c r="D19" s="814"/>
      <c r="E19" s="814"/>
      <c r="F19" s="911"/>
      <c r="G19" s="911"/>
      <c r="H19" s="911"/>
      <c r="I19" s="911"/>
      <c r="J19" s="814"/>
      <c r="K19" s="911"/>
      <c r="L19" s="814"/>
      <c r="M19" s="814"/>
    </row>
    <row r="20" spans="1:13">
      <c r="A20" s="805">
        <f>+A19+1</f>
        <v>9</v>
      </c>
      <c r="B20" s="813"/>
      <c r="C20" s="805">
        <v>9</v>
      </c>
      <c r="D20" s="814"/>
      <c r="E20" s="814"/>
      <c r="F20" s="911"/>
      <c r="G20" s="911"/>
      <c r="H20" s="911"/>
      <c r="I20" s="911"/>
      <c r="J20" s="814"/>
      <c r="K20" s="911"/>
      <c r="L20" s="814"/>
      <c r="M20" s="814"/>
    </row>
    <row r="21" spans="1:13">
      <c r="A21" s="805">
        <f t="shared" si="0"/>
        <v>10</v>
      </c>
      <c r="B21" s="813"/>
      <c r="C21" s="805">
        <v>10</v>
      </c>
      <c r="D21" s="814"/>
      <c r="E21" s="814"/>
      <c r="F21" s="911"/>
      <c r="G21" s="911"/>
      <c r="H21" s="911"/>
      <c r="I21" s="911"/>
      <c r="J21" s="814"/>
      <c r="K21" s="911"/>
      <c r="L21" s="814"/>
      <c r="M21" s="814"/>
    </row>
    <row r="22" spans="1:13">
      <c r="A22" s="805">
        <f t="shared" si="0"/>
        <v>11</v>
      </c>
      <c r="B22" s="813"/>
      <c r="C22" s="805">
        <v>11</v>
      </c>
      <c r="D22" s="814"/>
      <c r="E22" s="814"/>
      <c r="F22" s="911"/>
      <c r="G22" s="911"/>
      <c r="H22" s="911"/>
      <c r="I22" s="911"/>
      <c r="J22" s="814"/>
      <c r="K22" s="911"/>
      <c r="L22" s="814"/>
      <c r="M22" s="814"/>
    </row>
    <row r="23" spans="1:13">
      <c r="A23" s="1237" t="s">
        <v>994</v>
      </c>
      <c r="B23" s="1238"/>
      <c r="C23" s="810">
        <v>12</v>
      </c>
      <c r="D23" s="812">
        <f>+SUM(D12:D22)</f>
        <v>0</v>
      </c>
      <c r="E23" s="812">
        <f t="shared" ref="E23:M23" si="1">+SUM(E12:E22)</f>
        <v>0</v>
      </c>
      <c r="F23" s="912">
        <f t="shared" si="1"/>
        <v>0</v>
      </c>
      <c r="G23" s="912">
        <f t="shared" si="1"/>
        <v>0</v>
      </c>
      <c r="H23" s="912">
        <f t="shared" si="1"/>
        <v>0</v>
      </c>
      <c r="I23" s="912">
        <f t="shared" si="1"/>
        <v>0</v>
      </c>
      <c r="J23" s="812">
        <f t="shared" si="1"/>
        <v>0</v>
      </c>
      <c r="K23" s="912">
        <f t="shared" si="1"/>
        <v>0</v>
      </c>
      <c r="L23" s="812">
        <f t="shared" si="1"/>
        <v>0</v>
      </c>
      <c r="M23" s="812">
        <f t="shared" si="1"/>
        <v>0</v>
      </c>
    </row>
    <row r="26" spans="1:13" s="809" customFormat="1" ht="14">
      <c r="A26" s="807"/>
      <c r="B26" s="808" t="str">
        <f>+i.04108!C32</f>
        <v>тамга тэмдэг</v>
      </c>
    </row>
    <row r="27" spans="1:13" s="809" customFormat="1" ht="14">
      <c r="A27" s="807"/>
    </row>
    <row r="28" spans="1:13" s="809" customFormat="1" ht="14">
      <c r="A28" s="807"/>
      <c r="B28" s="809" t="str">
        <f>+i.04108!C34</f>
        <v xml:space="preserve">ТАЙЛАН ГАРГАСАН:    </v>
      </c>
    </row>
    <row r="29" spans="1:13" s="809" customFormat="1" ht="14">
      <c r="A29" s="807"/>
    </row>
    <row r="30" spans="1:13" s="809" customFormat="1" ht="14">
      <c r="A30" s="807"/>
      <c r="B30" s="809" t="str">
        <f>+i.04108!C36</f>
        <v xml:space="preserve"> Гүйцэтгэх захирал</v>
      </c>
      <c r="C30" s="809" t="str">
        <f>+i.04108!D36</f>
        <v xml:space="preserve">/................................../   </v>
      </c>
      <c r="F30" s="809" t="str">
        <f>+i.04108!F36</f>
        <v>/................................./</v>
      </c>
    </row>
    <row r="31" spans="1:13" s="809" customFormat="1" ht="14">
      <c r="A31" s="807"/>
    </row>
    <row r="32" spans="1:13" s="809" customFormat="1" ht="14">
      <c r="A32" s="807"/>
      <c r="B32" s="809" t="str">
        <f>+i.04108!C38</f>
        <v xml:space="preserve"> Ерөнхий нягтлан бодогч  </v>
      </c>
      <c r="C32" s="809" t="str">
        <f>+i.04108!D38</f>
        <v xml:space="preserve">/.................................../   </v>
      </c>
      <c r="F32" s="809" t="str">
        <f>+i.04108!F38</f>
        <v>/................................/</v>
      </c>
    </row>
    <row r="33" spans="2:8">
      <c r="B33" s="809"/>
      <c r="C33" s="809"/>
      <c r="D33" s="809"/>
      <c r="E33" s="809"/>
      <c r="F33" s="809"/>
      <c r="G33" s="809"/>
      <c r="H33" s="809"/>
    </row>
    <row r="34" spans="2:8">
      <c r="B34" s="809" t="str">
        <f>+i.04108!C40</f>
        <v>...................................................</v>
      </c>
      <c r="C34" s="809" t="str">
        <f>+i.04108!D40</f>
        <v xml:space="preserve">/................................../   </v>
      </c>
      <c r="D34" s="809"/>
      <c r="E34" s="809"/>
      <c r="F34" s="809" t="str">
        <f>+i.04108!F40</f>
        <v>/................................/</v>
      </c>
      <c r="G34" s="809"/>
      <c r="H34" s="809"/>
    </row>
    <row r="35" spans="2:8">
      <c r="B35" s="809"/>
      <c r="C35" s="809"/>
      <c r="D35" s="809"/>
      <c r="E35" s="809"/>
      <c r="F35" s="809"/>
      <c r="G35" s="809"/>
      <c r="H35" s="809"/>
    </row>
  </sheetData>
  <sheetProtection password="CA9F" sheet="1"/>
  <mergeCells count="18">
    <mergeCell ref="G1:M3"/>
    <mergeCell ref="G9:I9"/>
    <mergeCell ref="J9:J10"/>
    <mergeCell ref="N7:Q7"/>
    <mergeCell ref="A5:L5"/>
    <mergeCell ref="A7:E7"/>
    <mergeCell ref="J7:M7"/>
    <mergeCell ref="K8:M8"/>
    <mergeCell ref="K9:K10"/>
    <mergeCell ref="L9:L10"/>
    <mergeCell ref="M9:M10"/>
    <mergeCell ref="A23:B23"/>
    <mergeCell ref="A9:A10"/>
    <mergeCell ref="B9:B10"/>
    <mergeCell ref="C9:C10"/>
    <mergeCell ref="D9:D10"/>
    <mergeCell ref="E9:E10"/>
    <mergeCell ref="F9:F10"/>
  </mergeCells>
  <dataValidations count="5">
    <dataValidation type="decimal" allowBlank="1" showInputMessage="1" showErrorMessage="1" sqref="D12:E22">
      <formula1>0</formula1>
      <formula2>1.11111111111111E+37</formula2>
    </dataValidation>
    <dataValidation type="whole" allowBlank="1" showInputMessage="1" showErrorMessage="1" sqref="F12:I22">
      <formula1>0</formula1>
      <formula2>1111111111111</formula2>
    </dataValidation>
    <dataValidation type="decimal" allowBlank="1" showInputMessage="1" showErrorMessage="1" sqref="J12:J22">
      <formula1>0</formula1>
      <formula2>1.11111111111111E+36</formula2>
    </dataValidation>
    <dataValidation type="whole" allowBlank="1" showInputMessage="1" showErrorMessage="1" sqref="K12:K22">
      <formula1>0</formula1>
      <formula2>1.11111111111111E+28</formula2>
    </dataValidation>
    <dataValidation type="decimal" allowBlank="1" showInputMessage="1" showErrorMessage="1" sqref="L12:M22">
      <formula1>0</formula1>
      <formula2>1.11111111111111E+39</formula2>
    </dataValidation>
  </dataValidations>
  <pageMargins left="0.7" right="0.7" top="0.75" bottom="0.75" header="0.3" footer="0.3"/>
  <pageSetup scale="70" fitToWidth="0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E40"/>
  <sheetViews>
    <sheetView workbookViewId="0">
      <selection activeCell="C9" sqref="C9"/>
    </sheetView>
  </sheetViews>
  <sheetFormatPr defaultColWidth="8.81640625" defaultRowHeight="13"/>
  <cols>
    <col min="1" max="1" width="4.7265625" style="25" customWidth="1"/>
    <col min="2" max="2" width="49.54296875" style="25" customWidth="1"/>
    <col min="3" max="3" width="22.54296875" style="25" customWidth="1"/>
    <col min="4" max="16384" width="8.81640625" style="25"/>
  </cols>
  <sheetData>
    <row r="1" spans="1:5" s="29" customFormat="1" ht="25.5" customHeight="1">
      <c r="A1" s="1244" t="s">
        <v>911</v>
      </c>
      <c r="B1" s="1244"/>
      <c r="C1" s="1244"/>
      <c r="D1" s="59"/>
    </row>
    <row r="2" spans="1:5" s="29" customFormat="1" ht="15" customHeight="1">
      <c r="B2" s="59"/>
      <c r="C2" s="59"/>
      <c r="D2" s="59"/>
    </row>
    <row r="3" spans="1:5" s="29" customFormat="1" ht="25.5" customHeight="1">
      <c r="A3" s="1243" t="str">
        <f>+i.04108!A7</f>
        <v>Даатгагчийн нэр:</v>
      </c>
      <c r="B3" s="1243"/>
      <c r="C3" s="751" t="str">
        <f>+i.04108!F7</f>
        <v>..... оны .... сарын ...-ны өдөр</v>
      </c>
      <c r="D3" s="752"/>
      <c r="E3" s="753"/>
    </row>
    <row r="4" spans="1:5" s="29" customFormat="1" ht="15" customHeight="1">
      <c r="A4" s="59"/>
      <c r="B4" s="59"/>
      <c r="C4" s="127"/>
      <c r="D4" s="754"/>
      <c r="E4" s="753"/>
    </row>
    <row r="5" spans="1:5">
      <c r="A5" s="109" t="s">
        <v>719</v>
      </c>
      <c r="B5" s="109" t="s">
        <v>3</v>
      </c>
      <c r="C5" s="109" t="str">
        <f>+i.04101a!D7</f>
        <v>... оны ..-р сарын ..</v>
      </c>
      <c r="D5" s="760"/>
      <c r="E5" s="760"/>
    </row>
    <row r="6" spans="1:5">
      <c r="A6" s="914">
        <v>1</v>
      </c>
      <c r="B6" s="915" t="s">
        <v>955</v>
      </c>
      <c r="C6" s="123"/>
      <c r="D6" s="760"/>
      <c r="E6" s="760"/>
    </row>
    <row r="7" spans="1:5" ht="15" customHeight="1">
      <c r="A7" s="761">
        <v>1.1000000000000001</v>
      </c>
      <c r="B7" s="762" t="s">
        <v>929</v>
      </c>
      <c r="C7" s="919" t="e">
        <f>+i.04101!E44/i.04101!E47</f>
        <v>#DIV/0!</v>
      </c>
      <c r="D7" s="760"/>
      <c r="E7" s="760"/>
    </row>
    <row r="8" spans="1:5">
      <c r="A8" s="761">
        <v>1.2</v>
      </c>
      <c r="B8" s="762" t="s">
        <v>930</v>
      </c>
      <c r="C8" s="919" t="e">
        <f>+(i.04101a!D82+i.04101a!D84+i.04101a!D86+i.04101a!D88+i.04101a!D90+i.04101a!D92+i.04101a!D94+i.04101a!D96+i.04101a!D99+i.04101a!D101+i.04101a!D103+i.04101a!D105+i.04101a!D107+i.04101a!D109)/(i.04101a!D81+i.04101a!D83+i.04101a!D85+i.04101a!D87+i.04101a!D89+i.04101a!D91+i.04101a!D93+i.04101a!D95+i.04101a!D98+i.04101a!D100+i.04101a!D102+i.04101a!D104+i.04101a!D106+i.04101a!D108)</f>
        <v>#DIV/0!</v>
      </c>
      <c r="D8" s="760"/>
      <c r="E8" s="760"/>
    </row>
    <row r="9" spans="1:5">
      <c r="A9" s="761">
        <v>1.3</v>
      </c>
      <c r="B9" s="763" t="s">
        <v>931</v>
      </c>
      <c r="C9" s="922" t="e">
        <f>+(i.04101!E47-i.04101!D47)/i.04101!D47</f>
        <v>#DIV/0!</v>
      </c>
      <c r="D9" s="760"/>
      <c r="E9" s="760"/>
    </row>
    <row r="10" spans="1:5">
      <c r="A10" s="914">
        <v>2</v>
      </c>
      <c r="B10" s="212" t="s">
        <v>956</v>
      </c>
      <c r="C10" s="916"/>
      <c r="D10" s="760"/>
      <c r="E10" s="760"/>
    </row>
    <row r="11" spans="1:5" ht="15" customHeight="1">
      <c r="A11" s="766">
        <v>2.1</v>
      </c>
      <c r="B11" s="762" t="s">
        <v>932</v>
      </c>
      <c r="C11" s="919" t="e">
        <f>+i.04101!E95/i.04101!E96</f>
        <v>#DIV/0!</v>
      </c>
    </row>
    <row r="12" spans="1:5">
      <c r="A12" s="761">
        <f>+A11+0.1</f>
        <v>2.2000000000000002</v>
      </c>
      <c r="B12" s="762" t="s">
        <v>933</v>
      </c>
      <c r="C12" s="922" t="e">
        <f>+(i.04101!E16+i.04101!E21+i.04101!E24+i.04101!E32+i.04101!E38+i.04101!E43)/(i.04101!E54+i.04101!E62+i.04101!E75)</f>
        <v>#DIV/0!</v>
      </c>
    </row>
    <row r="13" spans="1:5">
      <c r="A13" s="761">
        <f>+A12+0.1</f>
        <v>2.3000000000000003</v>
      </c>
      <c r="B13" s="762" t="s">
        <v>950</v>
      </c>
      <c r="C13" s="923" t="e">
        <f>+(i.04101!E76+i.04101!E77+i.04101!E78+i.04101!E84)/i.04101!E95</f>
        <v>#DIV/0!</v>
      </c>
    </row>
    <row r="14" spans="1:5">
      <c r="A14" s="761">
        <f>+A13+0.1</f>
        <v>2.4000000000000004</v>
      </c>
      <c r="B14" s="763" t="s">
        <v>934</v>
      </c>
      <c r="C14" s="920" t="e">
        <f>+i.04101!E84/i.04101!E96</f>
        <v>#DIV/0!</v>
      </c>
    </row>
    <row r="15" spans="1:5">
      <c r="A15" s="914">
        <v>3</v>
      </c>
      <c r="B15" s="212" t="s">
        <v>957</v>
      </c>
      <c r="C15" s="917"/>
    </row>
    <row r="16" spans="1:5" ht="15" customHeight="1">
      <c r="A16" s="766">
        <v>3.1</v>
      </c>
      <c r="B16" s="762" t="s">
        <v>935</v>
      </c>
      <c r="C16" s="924">
        <f>+i.04102!E42-i.04102!D42</f>
        <v>0</v>
      </c>
    </row>
    <row r="17" spans="1:3">
      <c r="A17" s="761">
        <f t="shared" ref="A17:A22" si="0">+A16+0.1</f>
        <v>3.2</v>
      </c>
      <c r="B17" s="762" t="s">
        <v>936</v>
      </c>
      <c r="C17" s="925" t="e">
        <f>+i.04102!E38/i.04102!E15</f>
        <v>#DIV/0!</v>
      </c>
    </row>
    <row r="18" spans="1:3">
      <c r="A18" s="761">
        <f t="shared" si="0"/>
        <v>3.3000000000000003</v>
      </c>
      <c r="B18" s="762" t="s">
        <v>937</v>
      </c>
      <c r="C18" s="920" t="e">
        <f>+i.04102!E27/i.04102!E9</f>
        <v>#DIV/0!</v>
      </c>
    </row>
    <row r="19" spans="1:3">
      <c r="A19" s="761">
        <f t="shared" si="0"/>
        <v>3.4000000000000004</v>
      </c>
      <c r="B19" s="762" t="s">
        <v>938</v>
      </c>
      <c r="C19" s="920" t="e">
        <f>+i.04102!E42/i.04101!E95</f>
        <v>#DIV/0!</v>
      </c>
    </row>
    <row r="20" spans="1:3">
      <c r="A20" s="761">
        <f t="shared" si="0"/>
        <v>3.5000000000000004</v>
      </c>
      <c r="B20" s="762" t="s">
        <v>939</v>
      </c>
      <c r="C20" s="920" t="e">
        <f>+i.04102!E12/i.04102!E9</f>
        <v>#DIV/0!</v>
      </c>
    </row>
    <row r="21" spans="1:3">
      <c r="A21" s="761">
        <f t="shared" si="0"/>
        <v>3.6000000000000005</v>
      </c>
      <c r="B21" s="762" t="s">
        <v>940</v>
      </c>
      <c r="C21" s="920" t="e">
        <f>+i.04102!E42/i.04102!E15</f>
        <v>#DIV/0!</v>
      </c>
    </row>
    <row r="22" spans="1:3">
      <c r="A22" s="761">
        <f t="shared" si="0"/>
        <v>3.7000000000000006</v>
      </c>
      <c r="B22" s="763" t="s">
        <v>941</v>
      </c>
      <c r="C22" s="921" t="e">
        <f>+i.04102!E42/i.04101!E47</f>
        <v>#DIV/0!</v>
      </c>
    </row>
    <row r="23" spans="1:3">
      <c r="A23" s="914">
        <v>4</v>
      </c>
      <c r="B23" s="212" t="s">
        <v>958</v>
      </c>
      <c r="C23" s="918"/>
    </row>
    <row r="24" spans="1:3">
      <c r="A24" s="761">
        <v>4.0999999999999996</v>
      </c>
      <c r="B24" s="762" t="s">
        <v>942</v>
      </c>
      <c r="C24" s="920" t="e">
        <f>+i.04102!E16/i.04102!E15</f>
        <v>#DIV/0!</v>
      </c>
    </row>
    <row r="25" spans="1:3">
      <c r="A25" s="761">
        <f>+A24+0.1</f>
        <v>4.1999999999999993</v>
      </c>
      <c r="B25" s="762" t="s">
        <v>899</v>
      </c>
      <c r="C25" s="927" t="e">
        <f>+(i.04102!E24+i.04102!E31+i.04102!E32+i.04102!E33+i.04102!E34)/i.04102!E15</f>
        <v>#DIV/0!</v>
      </c>
    </row>
    <row r="26" spans="1:3">
      <c r="A26" s="761">
        <f t="shared" ref="A26:A31" si="1">+A25+0.1</f>
        <v>4.2999999999999989</v>
      </c>
      <c r="B26" s="762" t="s">
        <v>900</v>
      </c>
      <c r="C26" s="920" t="e">
        <f>+C24+C25</f>
        <v>#DIV/0!</v>
      </c>
    </row>
    <row r="27" spans="1:3">
      <c r="A27" s="761">
        <f t="shared" si="1"/>
        <v>4.3999999999999986</v>
      </c>
      <c r="B27" s="767" t="s">
        <v>943</v>
      </c>
      <c r="C27" s="928" t="e">
        <f>+(i.04102!E16+i.04102!E24+i.04102!E31+i.04102!E32+i.04102!E33+i.04102!E34)/(i.04102!E15+i.04102!E26)</f>
        <v>#DIV/0!</v>
      </c>
    </row>
    <row r="28" spans="1:3">
      <c r="A28" s="761">
        <f t="shared" si="1"/>
        <v>4.4999999999999982</v>
      </c>
      <c r="B28" s="762" t="s">
        <v>952</v>
      </c>
      <c r="C28" s="926"/>
    </row>
    <row r="29" spans="1:3">
      <c r="A29" s="761">
        <f t="shared" si="1"/>
        <v>4.5999999999999979</v>
      </c>
      <c r="B29" s="762" t="s">
        <v>951</v>
      </c>
      <c r="C29" s="920" t="e">
        <f>+i.04101!E87/i.04102!E9</f>
        <v>#DIV/0!</v>
      </c>
    </row>
    <row r="30" spans="1:3">
      <c r="A30" s="761">
        <f t="shared" si="1"/>
        <v>4.6999999999999975</v>
      </c>
      <c r="B30" s="762" t="s">
        <v>944</v>
      </c>
      <c r="C30" s="920" t="e">
        <f>+i.04101!E87/i.04101!E84</f>
        <v>#DIV/0!</v>
      </c>
    </row>
    <row r="31" spans="1:3">
      <c r="A31" s="761">
        <f t="shared" si="1"/>
        <v>4.7999999999999972</v>
      </c>
      <c r="B31" s="763" t="s">
        <v>945</v>
      </c>
      <c r="C31" s="921" t="e">
        <f>+i.04101!E87/i.04102!E16</f>
        <v>#DIV/0!</v>
      </c>
    </row>
    <row r="32" spans="1:3">
      <c r="A32" s="914">
        <v>5</v>
      </c>
      <c r="B32" s="212" t="s">
        <v>959</v>
      </c>
      <c r="C32" s="918"/>
    </row>
    <row r="33" spans="1:3" ht="15" customHeight="1">
      <c r="A33" s="766">
        <v>5.0999999999999996</v>
      </c>
      <c r="B33" s="765" t="s">
        <v>946</v>
      </c>
      <c r="C33" s="929"/>
    </row>
    <row r="34" spans="1:3" ht="26">
      <c r="A34" s="764">
        <f>+A33+0.1</f>
        <v>5.1999999999999993</v>
      </c>
      <c r="B34" s="765" t="s">
        <v>953</v>
      </c>
      <c r="C34" s="913"/>
    </row>
    <row r="35" spans="1:3" ht="26">
      <c r="A35" s="764">
        <f>+A34+0.1</f>
        <v>5.2999999999999989</v>
      </c>
      <c r="B35" s="765" t="s">
        <v>947</v>
      </c>
      <c r="C35" s="913"/>
    </row>
    <row r="36" spans="1:3" ht="26">
      <c r="A36" s="764">
        <f>+A35+0.1</f>
        <v>5.3999999999999986</v>
      </c>
      <c r="B36" s="765" t="s">
        <v>948</v>
      </c>
      <c r="C36" s="913"/>
    </row>
    <row r="37" spans="1:3">
      <c r="A37" s="914">
        <v>6</v>
      </c>
      <c r="B37" s="212" t="s">
        <v>960</v>
      </c>
      <c r="C37" s="930"/>
    </row>
    <row r="38" spans="1:3">
      <c r="A38" s="766">
        <v>6.1</v>
      </c>
      <c r="B38" s="762" t="s">
        <v>954</v>
      </c>
      <c r="C38" s="920" t="e">
        <f>+i.04102!E9/((i.04101!E16+i.04101!E21+i.04101!E24+i.04101!E32+i.04101!E38+i.04101!E43+i.04101!D16+i.04101!D21+i.04101!D24+i.04101!D32+i.04101!D38+i.04101!D43)/2)</f>
        <v>#DIV/0!</v>
      </c>
    </row>
    <row r="39" spans="1:3">
      <c r="A39" s="761">
        <f>+A38+0.1</f>
        <v>6.1999999999999993</v>
      </c>
      <c r="B39" s="762" t="s">
        <v>949</v>
      </c>
      <c r="C39" s="920" t="e">
        <f>+i.04102!E9/((i.04101!E21+i.04101!E23+i.04101!E26+i.04101!E27+i.04101!D21+i.04101!D23+i.04101!D26+i.04101!D27)/2)</f>
        <v>#DIV/0!</v>
      </c>
    </row>
    <row r="40" spans="1:3">
      <c r="A40" s="761">
        <f>+A39+0.1</f>
        <v>6.2999999999999989</v>
      </c>
      <c r="B40" s="762" t="s">
        <v>938</v>
      </c>
      <c r="C40" s="927" t="e">
        <f>+i.04102!E42/i.04101!E95</f>
        <v>#DIV/0!</v>
      </c>
    </row>
  </sheetData>
  <sheetProtection password="CA9F" sheet="1"/>
  <mergeCells count="2">
    <mergeCell ref="A3:B3"/>
    <mergeCell ref="A1:C1"/>
  </mergeCells>
  <dataValidations count="1">
    <dataValidation type="whole" allowBlank="1" showInputMessage="1" showErrorMessage="1" sqref="C4">
      <formula1>1</formula1>
      <formula2>100000000000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24"/>
  <sheetViews>
    <sheetView workbookViewId="0">
      <selection activeCell="I14" sqref="I14"/>
    </sheetView>
  </sheetViews>
  <sheetFormatPr defaultColWidth="8.81640625" defaultRowHeight="13"/>
  <cols>
    <col min="1" max="1" width="4.1796875" style="665" customWidth="1"/>
    <col min="2" max="2" width="38" style="665" bestFit="1" customWidth="1"/>
    <col min="3" max="3" width="22.1796875" style="665" customWidth="1"/>
    <col min="4" max="16384" width="8.81640625" style="665"/>
  </cols>
  <sheetData>
    <row r="1" spans="1:3" ht="15" customHeight="1">
      <c r="A1" s="1245" t="s">
        <v>912</v>
      </c>
      <c r="B1" s="1245"/>
      <c r="C1" s="1245"/>
    </row>
    <row r="2" spans="1:3" ht="15" customHeight="1">
      <c r="A2" s="755"/>
      <c r="B2" s="755"/>
      <c r="C2" s="755"/>
    </row>
    <row r="3" spans="1:3" ht="15" customHeight="1">
      <c r="A3" s="1246" t="str">
        <f>+i.04108!A7</f>
        <v>Даатгагчийн нэр:</v>
      </c>
      <c r="B3" s="1246"/>
      <c r="C3" s="656" t="str">
        <f>+i.04108!F7</f>
        <v>..... оны .... сарын ...-ны өдөр</v>
      </c>
    </row>
    <row r="5" spans="1:3">
      <c r="A5" s="939" t="s">
        <v>2</v>
      </c>
      <c r="B5" s="940" t="s">
        <v>3</v>
      </c>
      <c r="C5" s="939" t="str">
        <f>+i.04101a!D7</f>
        <v>... оны ..-р сарын ..</v>
      </c>
    </row>
    <row r="6" spans="1:3">
      <c r="A6" s="687">
        <v>1</v>
      </c>
      <c r="B6" s="934" t="s">
        <v>927</v>
      </c>
      <c r="C6" s="688"/>
    </row>
    <row r="7" spans="1:3">
      <c r="A7" s="758">
        <v>1.1000000000000001</v>
      </c>
      <c r="B7" s="759" t="s">
        <v>894</v>
      </c>
      <c r="C7" s="931" t="e">
        <f>+(i.04102!E9-i.04102!D9)/i.04102!D9</f>
        <v>#DIV/0!</v>
      </c>
    </row>
    <row r="8" spans="1:3">
      <c r="A8" s="758">
        <v>1.2</v>
      </c>
      <c r="B8" s="759" t="s">
        <v>895</v>
      </c>
      <c r="C8" s="931" t="e">
        <f>+(i.04102!E12-i.04102!D12)/i.04102!D12</f>
        <v>#DIV/0!</v>
      </c>
    </row>
    <row r="9" spans="1:3">
      <c r="A9" s="687">
        <v>2</v>
      </c>
      <c r="B9" s="687" t="s">
        <v>928</v>
      </c>
      <c r="C9" s="935"/>
    </row>
    <row r="10" spans="1:3">
      <c r="A10" s="757">
        <v>2.1</v>
      </c>
      <c r="B10" s="759" t="s">
        <v>896</v>
      </c>
      <c r="C10" s="932" t="e">
        <f>+i.04102!E9/i.04101!E95</f>
        <v>#DIV/0!</v>
      </c>
    </row>
    <row r="11" spans="1:3">
      <c r="A11" s="757">
        <v>2.2000000000000002</v>
      </c>
      <c r="B11" s="759" t="s">
        <v>897</v>
      </c>
      <c r="C11" s="932" t="e">
        <f>+i.04102!E12/i.04101!E95</f>
        <v>#DIV/0!</v>
      </c>
    </row>
    <row r="12" spans="1:3">
      <c r="A12" s="756">
        <v>3</v>
      </c>
      <c r="B12" s="756" t="s">
        <v>898</v>
      </c>
      <c r="C12" s="931" t="e">
        <f>+i.04off1!C24</f>
        <v>#DIV/0!</v>
      </c>
    </row>
    <row r="13" spans="1:3">
      <c r="A13" s="756">
        <f t="shared" ref="A13:A24" si="0">+A12+1</f>
        <v>4</v>
      </c>
      <c r="B13" s="756" t="s">
        <v>899</v>
      </c>
      <c r="C13" s="931" t="e">
        <f>+i.04off1!C25</f>
        <v>#DIV/0!</v>
      </c>
    </row>
    <row r="14" spans="1:3">
      <c r="A14" s="756">
        <f t="shared" si="0"/>
        <v>5</v>
      </c>
      <c r="B14" s="756" t="s">
        <v>900</v>
      </c>
      <c r="C14" s="931" t="e">
        <f>+i.04off1!C26</f>
        <v>#DIV/0!</v>
      </c>
    </row>
    <row r="15" spans="1:3">
      <c r="A15" s="756">
        <f t="shared" si="0"/>
        <v>6</v>
      </c>
      <c r="B15" s="756" t="s">
        <v>901</v>
      </c>
      <c r="C15" s="931" t="e">
        <f>+i.04102!E12/i.04102!E9</f>
        <v>#DIV/0!</v>
      </c>
    </row>
    <row r="16" spans="1:3">
      <c r="A16" s="756">
        <f t="shared" si="0"/>
        <v>7</v>
      </c>
      <c r="B16" s="756" t="s">
        <v>902</v>
      </c>
      <c r="C16" s="933"/>
    </row>
    <row r="17" spans="1:3">
      <c r="A17" s="756">
        <f t="shared" si="0"/>
        <v>8</v>
      </c>
      <c r="B17" s="756" t="s">
        <v>903</v>
      </c>
      <c r="C17" s="931" t="e">
        <f>+i.04101!E18/i.04101!E95</f>
        <v>#DIV/0!</v>
      </c>
    </row>
    <row r="18" spans="1:3">
      <c r="A18" s="756">
        <f t="shared" si="0"/>
        <v>9</v>
      </c>
      <c r="B18" s="756" t="s">
        <v>904</v>
      </c>
      <c r="C18" s="933"/>
    </row>
    <row r="19" spans="1:3">
      <c r="A19" s="756">
        <f t="shared" si="0"/>
        <v>10</v>
      </c>
      <c r="B19" s="756" t="s">
        <v>905</v>
      </c>
      <c r="C19" s="931" t="e">
        <f>+i.04101!E95/i.04101!E85</f>
        <v>#DIV/0!</v>
      </c>
    </row>
    <row r="20" spans="1:3">
      <c r="A20" s="756">
        <f t="shared" si="0"/>
        <v>11</v>
      </c>
      <c r="B20" s="756" t="s">
        <v>906</v>
      </c>
      <c r="C20" s="933"/>
    </row>
    <row r="21" spans="1:3">
      <c r="A21" s="756">
        <f t="shared" si="0"/>
        <v>12</v>
      </c>
      <c r="B21" s="756" t="s">
        <v>907</v>
      </c>
      <c r="C21" s="937" t="e">
        <f>+(i.04101!E16+i.04101!E34+i.04101!E35)/i.04101!E85</f>
        <v>#DIV/0!</v>
      </c>
    </row>
    <row r="22" spans="1:3">
      <c r="A22" s="756">
        <f t="shared" si="0"/>
        <v>13</v>
      </c>
      <c r="B22" s="756" t="s">
        <v>908</v>
      </c>
      <c r="C22" s="938" t="e">
        <f>+i.04101!E84/i.04101!E95</f>
        <v>#DIV/0!</v>
      </c>
    </row>
    <row r="23" spans="1:3">
      <c r="A23" s="756">
        <f t="shared" si="0"/>
        <v>14</v>
      </c>
      <c r="B23" s="756" t="s">
        <v>961</v>
      </c>
      <c r="C23" s="931" t="e">
        <f>+i.04102!E12/(i.04101!D95+i.04101!E95)/2</f>
        <v>#DIV/0!</v>
      </c>
    </row>
    <row r="24" spans="1:3" ht="26">
      <c r="A24" s="756">
        <f t="shared" si="0"/>
        <v>15</v>
      </c>
      <c r="B24" s="756" t="s">
        <v>909</v>
      </c>
      <c r="C24" s="936"/>
    </row>
  </sheetData>
  <sheetProtection password="CA9F" sheet="1"/>
  <mergeCells count="2">
    <mergeCell ref="A1:C1"/>
    <mergeCell ref="A3:B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04"/>
  <sheetViews>
    <sheetView topLeftCell="A7" zoomScale="115" zoomScaleNormal="115" workbookViewId="0">
      <selection activeCell="D27" sqref="D27"/>
    </sheetView>
  </sheetViews>
  <sheetFormatPr defaultColWidth="9.1796875" defaultRowHeight="13"/>
  <cols>
    <col min="1" max="1" width="83.26953125" style="295" bestFit="1" customWidth="1"/>
    <col min="2" max="2" width="9.54296875" style="296" customWidth="1"/>
    <col min="3" max="4" width="18.26953125" style="297" customWidth="1"/>
    <col min="5" max="16384" width="9.1796875" style="34"/>
  </cols>
  <sheetData>
    <row r="1" spans="1:25" ht="18.75" customHeight="1">
      <c r="A1" s="47"/>
      <c r="B1" s="1047"/>
      <c r="C1" s="1047"/>
      <c r="D1" s="1047"/>
      <c r="E1" s="288"/>
      <c r="F1" s="33"/>
      <c r="G1" s="33"/>
      <c r="H1" s="33"/>
    </row>
    <row r="2" spans="1:25" ht="29.25" customHeight="1">
      <c r="A2" s="1048" t="s">
        <v>422</v>
      </c>
      <c r="B2" s="1048"/>
      <c r="C2" s="1048"/>
      <c r="D2" s="1048"/>
      <c r="E2" s="289"/>
    </row>
    <row r="3" spans="1:25">
      <c r="A3" s="284" t="str">
        <f>+i.04108!A7</f>
        <v>Даатгагчийн нэр:</v>
      </c>
      <c r="B3" s="286"/>
      <c r="C3" s="1042" t="str">
        <f>+i.04108!F7</f>
        <v>..... оны .... сарын ...-ны өдөр</v>
      </c>
      <c r="D3" s="1042"/>
    </row>
    <row r="4" spans="1:25">
      <c r="A4" s="227"/>
      <c r="B4" s="286"/>
      <c r="C4" s="285"/>
      <c r="D4" s="290" t="s">
        <v>1</v>
      </c>
    </row>
    <row r="5" spans="1:25" ht="26">
      <c r="A5" s="847" t="s">
        <v>3</v>
      </c>
      <c r="B5" s="848" t="s">
        <v>918</v>
      </c>
      <c r="C5" s="849" t="str">
        <f>+i.04101a!C7</f>
        <v>... оны ..-р сарын ..</v>
      </c>
      <c r="D5" s="849" t="str">
        <f>+i.04101a!D7</f>
        <v>... оны ..-р сарын ..</v>
      </c>
      <c r="E5" s="289"/>
    </row>
    <row r="6" spans="1:25" s="225" customFormat="1" ht="12.75" customHeight="1">
      <c r="A6" s="291" t="s">
        <v>293</v>
      </c>
      <c r="B6" s="292">
        <v>5110</v>
      </c>
      <c r="C6" s="287"/>
      <c r="D6" s="942">
        <f>i.04112!E32</f>
        <v>0</v>
      </c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</row>
    <row r="7" spans="1:25" s="225" customFormat="1" ht="12.75" customHeight="1">
      <c r="A7" s="291" t="s">
        <v>294</v>
      </c>
      <c r="B7" s="292">
        <v>5120</v>
      </c>
      <c r="C7" s="287"/>
      <c r="D7" s="942">
        <f>i.04112!H32</f>
        <v>0</v>
      </c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</row>
    <row r="8" spans="1:25">
      <c r="A8" s="291" t="s">
        <v>919</v>
      </c>
      <c r="B8" s="292">
        <v>5210</v>
      </c>
      <c r="C8" s="287"/>
      <c r="D8" s="942">
        <f>i.04115!I28</f>
        <v>0</v>
      </c>
    </row>
    <row r="9" spans="1:25">
      <c r="A9" s="291" t="s">
        <v>920</v>
      </c>
      <c r="B9" s="292">
        <v>5220</v>
      </c>
      <c r="C9" s="287"/>
      <c r="D9" s="942">
        <f>i.04112!O32</f>
        <v>0</v>
      </c>
    </row>
    <row r="10" spans="1:25">
      <c r="A10" s="291" t="s">
        <v>295</v>
      </c>
      <c r="B10" s="292">
        <v>5230</v>
      </c>
      <c r="C10" s="287"/>
      <c r="D10" s="942">
        <f>i.04112!P32</f>
        <v>0</v>
      </c>
    </row>
    <row r="11" spans="1:25">
      <c r="A11" s="291" t="s">
        <v>296</v>
      </c>
      <c r="B11" s="292">
        <v>5310</v>
      </c>
      <c r="C11" s="287"/>
      <c r="D11" s="287"/>
    </row>
    <row r="12" spans="1:25">
      <c r="A12" s="291" t="s">
        <v>297</v>
      </c>
      <c r="B12" s="292">
        <v>5311</v>
      </c>
      <c r="C12" s="287"/>
      <c r="D12" s="287"/>
    </row>
    <row r="13" spans="1:25">
      <c r="A13" s="291" t="s">
        <v>298</v>
      </c>
      <c r="B13" s="292">
        <v>5320</v>
      </c>
      <c r="C13" s="287"/>
      <c r="D13" s="287"/>
    </row>
    <row r="14" spans="1:25">
      <c r="A14" s="291" t="s">
        <v>299</v>
      </c>
      <c r="B14" s="292">
        <v>5410</v>
      </c>
      <c r="C14" s="287"/>
      <c r="D14" s="287"/>
    </row>
    <row r="15" spans="1:25">
      <c r="A15" s="291" t="s">
        <v>300</v>
      </c>
      <c r="B15" s="292">
        <v>5510</v>
      </c>
      <c r="C15" s="287"/>
      <c r="D15" s="287"/>
    </row>
    <row r="16" spans="1:25">
      <c r="A16" s="291" t="s">
        <v>301</v>
      </c>
      <c r="B16" s="292">
        <v>5610</v>
      </c>
      <c r="C16" s="287"/>
      <c r="D16" s="287"/>
    </row>
    <row r="17" spans="1:4">
      <c r="A17" s="291" t="s">
        <v>302</v>
      </c>
      <c r="B17" s="292">
        <v>5620</v>
      </c>
      <c r="C17" s="287"/>
      <c r="D17" s="287"/>
    </row>
    <row r="18" spans="1:4">
      <c r="A18" s="291" t="s">
        <v>303</v>
      </c>
      <c r="B18" s="292">
        <v>5630</v>
      </c>
      <c r="C18" s="287"/>
      <c r="D18" s="287"/>
    </row>
    <row r="19" spans="1:4">
      <c r="A19" s="291" t="s">
        <v>304</v>
      </c>
      <c r="B19" s="292">
        <v>5640</v>
      </c>
      <c r="C19" s="287"/>
      <c r="D19" s="287"/>
    </row>
    <row r="20" spans="1:4">
      <c r="A20" s="291" t="s">
        <v>305</v>
      </c>
      <c r="B20" s="292">
        <v>5650</v>
      </c>
      <c r="C20" s="287"/>
      <c r="D20" s="287"/>
    </row>
    <row r="21" spans="1:4">
      <c r="A21" s="291" t="s">
        <v>306</v>
      </c>
      <c r="B21" s="292">
        <v>5710</v>
      </c>
      <c r="C21" s="287"/>
      <c r="D21" s="287"/>
    </row>
    <row r="22" spans="1:4">
      <c r="A22" s="291" t="s">
        <v>307</v>
      </c>
      <c r="B22" s="292">
        <v>5720</v>
      </c>
      <c r="C22" s="287"/>
      <c r="D22" s="287"/>
    </row>
    <row r="23" spans="1:4">
      <c r="A23" s="291" t="s">
        <v>308</v>
      </c>
      <c r="B23" s="292">
        <v>5730</v>
      </c>
      <c r="C23" s="287"/>
      <c r="D23" s="287"/>
    </row>
    <row r="24" spans="1:4">
      <c r="A24" s="291" t="s">
        <v>309</v>
      </c>
      <c r="B24" s="292">
        <v>5740</v>
      </c>
      <c r="C24" s="287"/>
      <c r="D24" s="287"/>
    </row>
    <row r="25" spans="1:4">
      <c r="A25" s="291" t="s">
        <v>310</v>
      </c>
      <c r="B25" s="292">
        <v>5750</v>
      </c>
      <c r="C25" s="287"/>
      <c r="D25" s="287"/>
    </row>
    <row r="26" spans="1:4">
      <c r="A26" s="291" t="s">
        <v>311</v>
      </c>
      <c r="B26" s="292">
        <v>5760</v>
      </c>
      <c r="C26" s="287"/>
      <c r="D26" s="287"/>
    </row>
    <row r="27" spans="1:4">
      <c r="A27" s="291" t="s">
        <v>312</v>
      </c>
      <c r="B27" s="292">
        <v>6010</v>
      </c>
      <c r="C27" s="287"/>
      <c r="D27" s="287"/>
    </row>
    <row r="28" spans="1:4">
      <c r="A28" s="291" t="s">
        <v>313</v>
      </c>
      <c r="B28" s="292">
        <v>6021</v>
      </c>
      <c r="C28" s="287"/>
      <c r="D28" s="287"/>
    </row>
    <row r="29" spans="1:4">
      <c r="A29" s="291" t="s">
        <v>921</v>
      </c>
      <c r="B29" s="292">
        <v>6110</v>
      </c>
      <c r="C29" s="287"/>
      <c r="D29" s="942">
        <f>i.04111!F31-i.04111!G31</f>
        <v>0</v>
      </c>
    </row>
    <row r="30" spans="1:4">
      <c r="A30" s="291" t="s">
        <v>922</v>
      </c>
      <c r="B30" s="292">
        <v>6210</v>
      </c>
      <c r="C30" s="287"/>
      <c r="D30" s="287"/>
    </row>
    <row r="31" spans="1:4">
      <c r="A31" s="291" t="s">
        <v>314</v>
      </c>
      <c r="B31" s="292">
        <v>6310</v>
      </c>
      <c r="C31" s="287"/>
      <c r="D31" s="942">
        <f>i.04112!N32</f>
        <v>0</v>
      </c>
    </row>
    <row r="32" spans="1:4">
      <c r="A32" s="291" t="s">
        <v>315</v>
      </c>
      <c r="B32" s="292">
        <v>6420</v>
      </c>
      <c r="C32" s="287"/>
      <c r="D32" s="942">
        <f>i.04108!F30-i.04108!G30</f>
        <v>0</v>
      </c>
    </row>
    <row r="33" spans="1:4">
      <c r="A33" s="291" t="s">
        <v>316</v>
      </c>
      <c r="B33" s="292">
        <v>6421</v>
      </c>
      <c r="C33" s="287"/>
      <c r="D33" s="287"/>
    </row>
    <row r="34" spans="1:4">
      <c r="A34" s="291" t="s">
        <v>317</v>
      </c>
      <c r="B34" s="292">
        <v>6430</v>
      </c>
      <c r="C34" s="287"/>
      <c r="D34" s="942">
        <f>i.04109!F30-i.04109!G30</f>
        <v>0</v>
      </c>
    </row>
    <row r="35" spans="1:4">
      <c r="A35" s="291" t="s">
        <v>318</v>
      </c>
      <c r="B35" s="292">
        <v>6510</v>
      </c>
      <c r="C35" s="287"/>
      <c r="D35" s="942">
        <f>i.04112!T32</f>
        <v>0</v>
      </c>
    </row>
    <row r="36" spans="1:4">
      <c r="A36" s="291" t="s">
        <v>923</v>
      </c>
      <c r="B36" s="292">
        <v>6610</v>
      </c>
      <c r="C36" s="287"/>
      <c r="D36" s="942">
        <f>i.04107!E18-i.04107!F18</f>
        <v>0</v>
      </c>
    </row>
    <row r="37" spans="1:4">
      <c r="A37" s="291" t="s">
        <v>319</v>
      </c>
      <c r="B37" s="292">
        <v>6710</v>
      </c>
      <c r="C37" s="287"/>
      <c r="D37" s="287"/>
    </row>
    <row r="38" spans="1:4">
      <c r="A38" s="291" t="s">
        <v>320</v>
      </c>
      <c r="B38" s="292">
        <v>6720</v>
      </c>
      <c r="C38" s="287"/>
      <c r="D38" s="287"/>
    </row>
    <row r="39" spans="1:4">
      <c r="A39" s="291" t="s">
        <v>321</v>
      </c>
      <c r="B39" s="292">
        <v>6810</v>
      </c>
      <c r="C39" s="287"/>
      <c r="D39" s="942">
        <f>i.04112!W32</f>
        <v>0</v>
      </c>
    </row>
    <row r="40" spans="1:4">
      <c r="A40" s="291" t="s">
        <v>322</v>
      </c>
      <c r="B40" s="292">
        <v>6820</v>
      </c>
      <c r="C40" s="287"/>
      <c r="D40" s="942">
        <f>i.04112!X32</f>
        <v>0</v>
      </c>
    </row>
    <row r="41" spans="1:4">
      <c r="A41" s="291" t="s">
        <v>323</v>
      </c>
      <c r="B41" s="292">
        <v>7010</v>
      </c>
      <c r="C41" s="287"/>
      <c r="D41" s="287"/>
    </row>
    <row r="42" spans="1:4">
      <c r="A42" s="291" t="s">
        <v>324</v>
      </c>
      <c r="B42" s="292">
        <v>7011</v>
      </c>
      <c r="C42" s="287"/>
      <c r="D42" s="287"/>
    </row>
    <row r="43" spans="1:4">
      <c r="A43" s="291" t="s">
        <v>325</v>
      </c>
      <c r="B43" s="292">
        <v>7012</v>
      </c>
      <c r="C43" s="287"/>
      <c r="D43" s="287"/>
    </row>
    <row r="44" spans="1:4">
      <c r="A44" s="291" t="s">
        <v>326</v>
      </c>
      <c r="B44" s="292">
        <v>7013</v>
      </c>
      <c r="C44" s="287"/>
      <c r="D44" s="287"/>
    </row>
    <row r="45" spans="1:4">
      <c r="A45" s="291" t="s">
        <v>327</v>
      </c>
      <c r="B45" s="292">
        <v>7014</v>
      </c>
      <c r="C45" s="287"/>
      <c r="D45" s="287"/>
    </row>
    <row r="46" spans="1:4">
      <c r="A46" s="291" t="s">
        <v>328</v>
      </c>
      <c r="B46" s="292">
        <v>7015</v>
      </c>
      <c r="C46" s="287"/>
      <c r="D46" s="287"/>
    </row>
    <row r="47" spans="1:4">
      <c r="A47" s="291" t="s">
        <v>329</v>
      </c>
      <c r="B47" s="292">
        <v>7016</v>
      </c>
      <c r="C47" s="287"/>
      <c r="D47" s="287"/>
    </row>
    <row r="48" spans="1:4">
      <c r="A48" s="291" t="s">
        <v>330</v>
      </c>
      <c r="B48" s="292">
        <v>7017</v>
      </c>
      <c r="C48" s="287"/>
      <c r="D48" s="287"/>
    </row>
    <row r="49" spans="1:4">
      <c r="A49" s="291" t="s">
        <v>331</v>
      </c>
      <c r="B49" s="292">
        <v>7018</v>
      </c>
      <c r="C49" s="287"/>
      <c r="D49" s="287"/>
    </row>
    <row r="50" spans="1:4">
      <c r="A50" s="291" t="s">
        <v>332</v>
      </c>
      <c r="B50" s="292">
        <v>7019</v>
      </c>
      <c r="C50" s="287"/>
      <c r="D50" s="287"/>
    </row>
    <row r="51" spans="1:4">
      <c r="A51" s="291" t="s">
        <v>333</v>
      </c>
      <c r="B51" s="292">
        <v>7020</v>
      </c>
      <c r="C51" s="287"/>
      <c r="D51" s="287"/>
    </row>
    <row r="52" spans="1:4">
      <c r="A52" s="291" t="s">
        <v>334</v>
      </c>
      <c r="B52" s="292">
        <v>7021</v>
      </c>
      <c r="C52" s="287"/>
      <c r="D52" s="287"/>
    </row>
    <row r="53" spans="1:4">
      <c r="A53" s="291" t="s">
        <v>335</v>
      </c>
      <c r="B53" s="292">
        <v>7022</v>
      </c>
      <c r="C53" s="287"/>
      <c r="D53" s="287"/>
    </row>
    <row r="54" spans="1:4">
      <c r="A54" s="291" t="s">
        <v>336</v>
      </c>
      <c r="B54" s="292">
        <v>7023</v>
      </c>
      <c r="C54" s="287"/>
      <c r="D54" s="287"/>
    </row>
    <row r="55" spans="1:4">
      <c r="A55" s="291" t="s">
        <v>337</v>
      </c>
      <c r="B55" s="292">
        <v>7024</v>
      </c>
      <c r="C55" s="287"/>
      <c r="D55" s="287"/>
    </row>
    <row r="56" spans="1:4">
      <c r="A56" s="291" t="s">
        <v>338</v>
      </c>
      <c r="B56" s="292">
        <v>7025</v>
      </c>
      <c r="C56" s="287"/>
      <c r="D56" s="287"/>
    </row>
    <row r="57" spans="1:4">
      <c r="A57" s="291" t="s">
        <v>339</v>
      </c>
      <c r="B57" s="292">
        <v>7026</v>
      </c>
      <c r="C57" s="287"/>
      <c r="D57" s="287"/>
    </row>
    <row r="58" spans="1:4">
      <c r="A58" s="291" t="s">
        <v>340</v>
      </c>
      <c r="B58" s="292">
        <v>7027</v>
      </c>
      <c r="C58" s="287"/>
      <c r="D58" s="287"/>
    </row>
    <row r="59" spans="1:4">
      <c r="A59" s="291" t="s">
        <v>341</v>
      </c>
      <c r="B59" s="292">
        <v>7028</v>
      </c>
      <c r="C59" s="287"/>
      <c r="D59" s="287"/>
    </row>
    <row r="60" spans="1:4">
      <c r="A60" s="291" t="s">
        <v>342</v>
      </c>
      <c r="B60" s="292">
        <v>7029</v>
      </c>
      <c r="C60" s="287"/>
      <c r="D60" s="287"/>
    </row>
    <row r="61" spans="1:4">
      <c r="A61" s="291" t="s">
        <v>323</v>
      </c>
      <c r="B61" s="292">
        <v>7110</v>
      </c>
      <c r="C61" s="287"/>
      <c r="D61" s="287"/>
    </row>
    <row r="62" spans="1:4">
      <c r="A62" s="291" t="s">
        <v>324</v>
      </c>
      <c r="B62" s="292">
        <v>7111</v>
      </c>
      <c r="C62" s="287"/>
      <c r="D62" s="287"/>
    </row>
    <row r="63" spans="1:4">
      <c r="A63" s="291" t="s">
        <v>325</v>
      </c>
      <c r="B63" s="292">
        <v>7112</v>
      </c>
      <c r="C63" s="287"/>
      <c r="D63" s="287"/>
    </row>
    <row r="64" spans="1:4">
      <c r="A64" s="291" t="s">
        <v>326</v>
      </c>
      <c r="B64" s="292">
        <v>7113</v>
      </c>
      <c r="C64" s="287"/>
      <c r="D64" s="287"/>
    </row>
    <row r="65" spans="1:4">
      <c r="A65" s="291" t="s">
        <v>327</v>
      </c>
      <c r="B65" s="292">
        <v>7114</v>
      </c>
      <c r="C65" s="287"/>
      <c r="D65" s="287"/>
    </row>
    <row r="66" spans="1:4">
      <c r="A66" s="291" t="s">
        <v>328</v>
      </c>
      <c r="B66" s="292">
        <v>7115</v>
      </c>
      <c r="C66" s="287"/>
      <c r="D66" s="287"/>
    </row>
    <row r="67" spans="1:4">
      <c r="A67" s="291" t="s">
        <v>329</v>
      </c>
      <c r="B67" s="292">
        <v>7116</v>
      </c>
      <c r="C67" s="287"/>
      <c r="D67" s="287"/>
    </row>
    <row r="68" spans="1:4">
      <c r="A68" s="291" t="s">
        <v>330</v>
      </c>
      <c r="B68" s="292">
        <v>7117</v>
      </c>
      <c r="C68" s="287"/>
      <c r="D68" s="287"/>
    </row>
    <row r="69" spans="1:4">
      <c r="A69" s="291" t="s">
        <v>331</v>
      </c>
      <c r="B69" s="292">
        <v>7118</v>
      </c>
      <c r="C69" s="287"/>
      <c r="D69" s="287"/>
    </row>
    <row r="70" spans="1:4">
      <c r="A70" s="291" t="s">
        <v>332</v>
      </c>
      <c r="B70" s="292">
        <v>7119</v>
      </c>
      <c r="C70" s="287"/>
      <c r="D70" s="287"/>
    </row>
    <row r="71" spans="1:4">
      <c r="A71" s="291" t="s">
        <v>333</v>
      </c>
      <c r="B71" s="292">
        <v>7120</v>
      </c>
      <c r="C71" s="287"/>
      <c r="D71" s="287"/>
    </row>
    <row r="72" spans="1:4">
      <c r="A72" s="291" t="s">
        <v>334</v>
      </c>
      <c r="B72" s="292">
        <v>7121</v>
      </c>
      <c r="C72" s="287"/>
      <c r="D72" s="287"/>
    </row>
    <row r="73" spans="1:4">
      <c r="A73" s="291" t="s">
        <v>335</v>
      </c>
      <c r="B73" s="292">
        <v>7122</v>
      </c>
      <c r="C73" s="287"/>
      <c r="D73" s="287"/>
    </row>
    <row r="74" spans="1:4">
      <c r="A74" s="291" t="s">
        <v>336</v>
      </c>
      <c r="B74" s="292">
        <v>7123</v>
      </c>
      <c r="C74" s="287"/>
      <c r="D74" s="287"/>
    </row>
    <row r="75" spans="1:4">
      <c r="A75" s="291" t="s">
        <v>337</v>
      </c>
      <c r="B75" s="292">
        <v>7124</v>
      </c>
      <c r="C75" s="287"/>
      <c r="D75" s="287"/>
    </row>
    <row r="76" spans="1:4">
      <c r="A76" s="291" t="s">
        <v>338</v>
      </c>
      <c r="B76" s="292">
        <v>7125</v>
      </c>
      <c r="C76" s="287"/>
      <c r="D76" s="287"/>
    </row>
    <row r="77" spans="1:4">
      <c r="A77" s="291" t="s">
        <v>339</v>
      </c>
      <c r="B77" s="292">
        <v>7126</v>
      </c>
      <c r="C77" s="287"/>
      <c r="D77" s="287"/>
    </row>
    <row r="78" spans="1:4">
      <c r="A78" s="291" t="s">
        <v>340</v>
      </c>
      <c r="B78" s="292">
        <v>7127</v>
      </c>
      <c r="C78" s="287"/>
      <c r="D78" s="287"/>
    </row>
    <row r="79" spans="1:4">
      <c r="A79" s="291" t="s">
        <v>341</v>
      </c>
      <c r="B79" s="292">
        <v>7128</v>
      </c>
      <c r="C79" s="287"/>
      <c r="D79" s="287"/>
    </row>
    <row r="80" spans="1:4">
      <c r="A80" s="291" t="s">
        <v>342</v>
      </c>
      <c r="B80" s="292">
        <v>7129</v>
      </c>
      <c r="C80" s="287"/>
      <c r="D80" s="287"/>
    </row>
    <row r="81" spans="1:4">
      <c r="A81" s="291" t="s">
        <v>924</v>
      </c>
      <c r="B81" s="292">
        <v>7210</v>
      </c>
      <c r="C81" s="287"/>
      <c r="D81" s="287"/>
    </row>
    <row r="82" spans="1:4">
      <c r="A82" s="291" t="s">
        <v>343</v>
      </c>
      <c r="B82" s="292">
        <v>7310</v>
      </c>
      <c r="C82" s="287"/>
      <c r="D82" s="287"/>
    </row>
    <row r="83" spans="1:4">
      <c r="A83" s="291" t="s">
        <v>344</v>
      </c>
      <c r="B83" s="292">
        <v>7410</v>
      </c>
      <c r="C83" s="287"/>
      <c r="D83" s="287"/>
    </row>
    <row r="84" spans="1:4">
      <c r="A84" s="291" t="s">
        <v>345</v>
      </c>
      <c r="B84" s="292">
        <v>7510</v>
      </c>
      <c r="C84" s="287"/>
      <c r="D84" s="287"/>
    </row>
    <row r="85" spans="1:4">
      <c r="A85" s="291" t="s">
        <v>346</v>
      </c>
      <c r="B85" s="292">
        <v>7610</v>
      </c>
      <c r="C85" s="287"/>
      <c r="D85" s="287"/>
    </row>
    <row r="86" spans="1:4">
      <c r="A86" s="291" t="s">
        <v>925</v>
      </c>
      <c r="B86" s="292">
        <v>7620</v>
      </c>
      <c r="C86" s="287"/>
      <c r="D86" s="287"/>
    </row>
    <row r="87" spans="1:4">
      <c r="A87" s="291" t="s">
        <v>347</v>
      </c>
      <c r="B87" s="292">
        <v>7630</v>
      </c>
      <c r="C87" s="287"/>
      <c r="D87" s="287"/>
    </row>
    <row r="88" spans="1:4">
      <c r="A88" s="291" t="s">
        <v>348</v>
      </c>
      <c r="B88" s="292">
        <v>7640</v>
      </c>
      <c r="C88" s="287"/>
      <c r="D88" s="287"/>
    </row>
    <row r="89" spans="1:4">
      <c r="A89" s="291" t="s">
        <v>349</v>
      </c>
      <c r="B89" s="292">
        <v>7650</v>
      </c>
      <c r="C89" s="287"/>
      <c r="D89" s="287"/>
    </row>
    <row r="90" spans="1:4">
      <c r="A90" s="291" t="s">
        <v>350</v>
      </c>
      <c r="B90" s="292">
        <v>7660</v>
      </c>
      <c r="C90" s="287"/>
      <c r="D90" s="287"/>
    </row>
    <row r="91" spans="1:4">
      <c r="A91" s="291" t="s">
        <v>351</v>
      </c>
      <c r="B91" s="292">
        <v>7670</v>
      </c>
      <c r="C91" s="287"/>
      <c r="D91" s="287"/>
    </row>
    <row r="92" spans="1:4">
      <c r="A92" s="291" t="s">
        <v>352</v>
      </c>
      <c r="B92" s="292">
        <v>7680</v>
      </c>
      <c r="C92" s="287"/>
      <c r="D92" s="287"/>
    </row>
    <row r="93" spans="1:4">
      <c r="A93" s="291" t="s">
        <v>406</v>
      </c>
      <c r="B93" s="292">
        <v>9110</v>
      </c>
      <c r="C93" s="287"/>
      <c r="D93" s="287"/>
    </row>
    <row r="94" spans="1:4">
      <c r="A94" s="182"/>
      <c r="B94" s="293"/>
      <c r="C94" s="35"/>
      <c r="D94" s="35"/>
    </row>
    <row r="95" spans="1:4">
      <c r="A95" s="225" t="str">
        <f>+i.04108!C32</f>
        <v>тамга тэмдэг</v>
      </c>
      <c r="B95" s="294"/>
      <c r="C95" s="225"/>
      <c r="D95" s="225"/>
    </row>
    <row r="96" spans="1:4">
      <c r="A96" s="225"/>
      <c r="B96" s="294"/>
      <c r="C96" s="225"/>
      <c r="D96" s="225"/>
    </row>
    <row r="97" spans="1:4">
      <c r="A97" s="225" t="str">
        <f>+i.04108!C34</f>
        <v xml:space="preserve">ТАЙЛАН ГАРГАСАН:    </v>
      </c>
      <c r="B97" s="294"/>
      <c r="C97" s="225"/>
      <c r="D97" s="225"/>
    </row>
    <row r="98" spans="1:4">
      <c r="A98" s="225"/>
      <c r="B98" s="294"/>
      <c r="C98" s="225"/>
      <c r="D98" s="225"/>
    </row>
    <row r="99" spans="1:4">
      <c r="A99" s="225" t="str">
        <f>+i.04108!C36</f>
        <v xml:space="preserve"> Гүйцэтгэх захирал</v>
      </c>
      <c r="B99" s="294" t="str">
        <f>+i.04108!D36</f>
        <v xml:space="preserve">/................................../   </v>
      </c>
      <c r="C99" s="225"/>
      <c r="D99" s="225" t="str">
        <f>+i.04108!F36</f>
        <v>/................................./</v>
      </c>
    </row>
    <row r="100" spans="1:4">
      <c r="A100" s="225"/>
      <c r="B100" s="294"/>
      <c r="C100" s="225"/>
      <c r="D100" s="225"/>
    </row>
    <row r="101" spans="1:4">
      <c r="A101" s="225" t="str">
        <f>+i.04108!C38</f>
        <v xml:space="preserve"> Ерөнхий нягтлан бодогч  </v>
      </c>
      <c r="B101" s="294" t="str">
        <f>+i.04108!D38</f>
        <v xml:space="preserve">/.................................../   </v>
      </c>
      <c r="C101" s="225"/>
      <c r="D101" s="225" t="str">
        <f>+i.04108!F38</f>
        <v>/................................/</v>
      </c>
    </row>
    <row r="102" spans="1:4">
      <c r="A102" s="225"/>
      <c r="B102" s="294"/>
      <c r="C102" s="225"/>
      <c r="D102" s="225"/>
    </row>
    <row r="103" spans="1:4">
      <c r="A103" s="225" t="str">
        <f>+i.04108!C40</f>
        <v>...................................................</v>
      </c>
      <c r="B103" s="294" t="str">
        <f>+i.04108!D40</f>
        <v xml:space="preserve">/................................../   </v>
      </c>
      <c r="C103" s="225"/>
      <c r="D103" s="225" t="str">
        <f>+i.04108!F40</f>
        <v>/................................/</v>
      </c>
    </row>
    <row r="104" spans="1:4">
      <c r="A104" s="225"/>
      <c r="B104" s="294"/>
      <c r="C104" s="225"/>
      <c r="D104" s="225"/>
    </row>
  </sheetData>
  <sheetProtection password="CA9F" sheet="1"/>
  <mergeCells count="3">
    <mergeCell ref="B1:D1"/>
    <mergeCell ref="A2:D2"/>
    <mergeCell ref="C3:D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58"/>
  <sheetViews>
    <sheetView workbookViewId="0">
      <selection activeCell="D39" sqref="D39"/>
    </sheetView>
  </sheetViews>
  <sheetFormatPr defaultColWidth="9.1796875" defaultRowHeight="13"/>
  <cols>
    <col min="1" max="1" width="4.453125" style="323" customWidth="1"/>
    <col min="2" max="2" width="43.81640625" style="324" customWidth="1"/>
    <col min="3" max="3" width="8.1796875" style="324" customWidth="1"/>
    <col min="4" max="5" width="17" style="321" customWidth="1"/>
    <col min="6" max="7" width="9.1796875" style="34" customWidth="1"/>
    <col min="8" max="16384" width="9.1796875" style="34"/>
  </cols>
  <sheetData>
    <row r="1" spans="1:22" ht="49.5" customHeight="1">
      <c r="A1" s="302"/>
      <c r="B1" s="303"/>
      <c r="C1" s="1049"/>
      <c r="D1" s="1049"/>
      <c r="E1" s="1049"/>
      <c r="F1" s="288"/>
    </row>
    <row r="2" spans="1:22">
      <c r="A2" s="1041" t="s">
        <v>353</v>
      </c>
      <c r="B2" s="1041"/>
      <c r="C2" s="1041"/>
      <c r="D2" s="1041"/>
      <c r="E2" s="1041"/>
      <c r="F2" s="289"/>
    </row>
    <row r="3" spans="1:22">
      <c r="A3" s="35"/>
      <c r="B3" s="35"/>
      <c r="C3" s="35"/>
      <c r="D3" s="35"/>
      <c r="E3" s="35"/>
      <c r="F3" s="289"/>
    </row>
    <row r="4" spans="1:22" s="225" customFormat="1" ht="12.75" customHeight="1">
      <c r="A4" s="1050" t="str">
        <f>+i.04108!A7</f>
        <v>Даатгагчийн нэр:</v>
      </c>
      <c r="B4" s="1050"/>
      <c r="C4" s="1050"/>
      <c r="D4" s="1042" t="str">
        <f>+i.04108!F7</f>
        <v>..... оны .... сарын ...-ны өдөр</v>
      </c>
      <c r="E4" s="10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</row>
    <row r="5" spans="1:22" s="225" customFormat="1" ht="12.75" customHeight="1">
      <c r="A5" s="305"/>
      <c r="D5" s="263"/>
      <c r="E5" s="306" t="s">
        <v>1</v>
      </c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</row>
    <row r="6" spans="1:22" ht="26">
      <c r="A6" s="850" t="s">
        <v>2</v>
      </c>
      <c r="B6" s="845" t="s">
        <v>3</v>
      </c>
      <c r="C6" s="845" t="s">
        <v>4</v>
      </c>
      <c r="D6" s="845" t="str">
        <f>+i.04101a!C7</f>
        <v>... оны ..-р сарын ..</v>
      </c>
      <c r="E6" s="845" t="str">
        <f>+i.04101a!D7</f>
        <v>... оны ..-р сарын ..</v>
      </c>
    </row>
    <row r="7" spans="1:22">
      <c r="A7" s="851" t="s">
        <v>6</v>
      </c>
      <c r="B7" s="835" t="s">
        <v>7</v>
      </c>
      <c r="C7" s="835" t="s">
        <v>8</v>
      </c>
      <c r="D7" s="835">
        <v>1</v>
      </c>
      <c r="E7" s="835">
        <v>2</v>
      </c>
    </row>
    <row r="8" spans="1:22">
      <c r="A8" s="307">
        <v>1</v>
      </c>
      <c r="B8" s="308" t="s">
        <v>354</v>
      </c>
      <c r="C8" s="309">
        <v>1</v>
      </c>
      <c r="D8" s="326"/>
      <c r="E8" s="326"/>
    </row>
    <row r="9" spans="1:22">
      <c r="A9" s="310" t="s">
        <v>11</v>
      </c>
      <c r="B9" s="311" t="s">
        <v>355</v>
      </c>
      <c r="C9" s="312">
        <f>+C8+1</f>
        <v>2</v>
      </c>
      <c r="D9" s="852">
        <f>+i.04102a!C6</f>
        <v>0</v>
      </c>
      <c r="E9" s="852">
        <f>+i.04102a!D6</f>
        <v>0</v>
      </c>
    </row>
    <row r="10" spans="1:22">
      <c r="A10" s="310" t="s">
        <v>23</v>
      </c>
      <c r="B10" s="311" t="s">
        <v>294</v>
      </c>
      <c r="C10" s="312">
        <f t="shared" ref="C10:C47" si="0">+C9+1</f>
        <v>3</v>
      </c>
      <c r="D10" s="852">
        <f>+i.04102a!C7</f>
        <v>0</v>
      </c>
      <c r="E10" s="852">
        <f>+i.04102a!D7</f>
        <v>0</v>
      </c>
    </row>
    <row r="11" spans="1:22">
      <c r="A11" s="310" t="s">
        <v>33</v>
      </c>
      <c r="B11" s="311" t="s">
        <v>356</v>
      </c>
      <c r="C11" s="312">
        <f t="shared" si="0"/>
        <v>4</v>
      </c>
      <c r="D11" s="852">
        <f>+i.04102a!C27-i.04102a!C28</f>
        <v>0</v>
      </c>
      <c r="E11" s="852">
        <f>+i.04102a!D27-i.04102a!D28</f>
        <v>0</v>
      </c>
    </row>
    <row r="12" spans="1:22">
      <c r="A12" s="307" t="s">
        <v>85</v>
      </c>
      <c r="B12" s="308" t="s">
        <v>357</v>
      </c>
      <c r="C12" s="309">
        <f t="shared" si="0"/>
        <v>5</v>
      </c>
      <c r="D12" s="327">
        <f>D9-D10-D11</f>
        <v>0</v>
      </c>
      <c r="E12" s="327">
        <f>E9-E10-E11</f>
        <v>0</v>
      </c>
    </row>
    <row r="13" spans="1:22" ht="26">
      <c r="A13" s="310" t="s">
        <v>87</v>
      </c>
      <c r="B13" s="311" t="s">
        <v>358</v>
      </c>
      <c r="C13" s="312">
        <f t="shared" si="0"/>
        <v>6</v>
      </c>
      <c r="D13" s="852">
        <f>+i.04102a!C29</f>
        <v>0</v>
      </c>
      <c r="E13" s="852">
        <f>+i.04102a!D29</f>
        <v>0</v>
      </c>
    </row>
    <row r="14" spans="1:22" ht="26">
      <c r="A14" s="310" t="s">
        <v>160</v>
      </c>
      <c r="B14" s="311" t="s">
        <v>359</v>
      </c>
      <c r="C14" s="312">
        <f t="shared" si="0"/>
        <v>7</v>
      </c>
      <c r="D14" s="852">
        <f>+i.04102a!C30</f>
        <v>0</v>
      </c>
      <c r="E14" s="852">
        <f>+i.04102a!D30</f>
        <v>0</v>
      </c>
    </row>
    <row r="15" spans="1:22">
      <c r="A15" s="307" t="s">
        <v>360</v>
      </c>
      <c r="B15" s="313" t="s">
        <v>1102</v>
      </c>
      <c r="C15" s="309">
        <f>+C14+1</f>
        <v>8</v>
      </c>
      <c r="D15" s="328">
        <f>D12-D13+D14</f>
        <v>0</v>
      </c>
      <c r="E15" s="328">
        <f>E12-E13+E14</f>
        <v>0</v>
      </c>
    </row>
    <row r="16" spans="1:22">
      <c r="A16" s="310" t="s">
        <v>361</v>
      </c>
      <c r="B16" s="314" t="s">
        <v>362</v>
      </c>
      <c r="C16" s="312">
        <f>+C15+1</f>
        <v>9</v>
      </c>
      <c r="D16" s="852">
        <f>+i.04102a!C31</f>
        <v>0</v>
      </c>
      <c r="E16" s="852">
        <f>+i.04102a!D31</f>
        <v>0</v>
      </c>
    </row>
    <row r="17" spans="1:5">
      <c r="A17" s="310" t="s">
        <v>363</v>
      </c>
      <c r="B17" s="314" t="s">
        <v>364</v>
      </c>
      <c r="C17" s="312">
        <f t="shared" si="0"/>
        <v>10</v>
      </c>
      <c r="D17" s="852">
        <f>+i.04102a!C9</f>
        <v>0</v>
      </c>
      <c r="E17" s="852">
        <f>+i.04102a!D9</f>
        <v>0</v>
      </c>
    </row>
    <row r="18" spans="1:5">
      <c r="A18" s="310" t="s">
        <v>365</v>
      </c>
      <c r="B18" s="315" t="s">
        <v>366</v>
      </c>
      <c r="C18" s="312">
        <f t="shared" si="0"/>
        <v>11</v>
      </c>
      <c r="D18" s="852">
        <f>+i.04102a!C10</f>
        <v>0</v>
      </c>
      <c r="E18" s="852">
        <f>+i.04102a!D10</f>
        <v>0</v>
      </c>
    </row>
    <row r="19" spans="1:5">
      <c r="A19" s="307" t="s">
        <v>367</v>
      </c>
      <c r="B19" s="316" t="s">
        <v>368</v>
      </c>
      <c r="C19" s="309">
        <f t="shared" si="0"/>
        <v>12</v>
      </c>
      <c r="D19" s="327">
        <f>D16-D17-D18</f>
        <v>0</v>
      </c>
      <c r="E19" s="327">
        <f>E16-E17-E18</f>
        <v>0</v>
      </c>
    </row>
    <row r="20" spans="1:5">
      <c r="A20" s="310" t="s">
        <v>369</v>
      </c>
      <c r="B20" s="311" t="s">
        <v>370</v>
      </c>
      <c r="C20" s="312">
        <f t="shared" si="0"/>
        <v>13</v>
      </c>
      <c r="D20" s="852">
        <f>+i.04102a!C32+i.04102a!C34+i.04102a!C33+i.04102a!C36</f>
        <v>0</v>
      </c>
      <c r="E20" s="852">
        <f>+i.04102a!D32+i.04102a!D34+i.04102a!D33+i.04102a!D36</f>
        <v>0</v>
      </c>
    </row>
    <row r="21" spans="1:5" ht="26">
      <c r="A21" s="310" t="s">
        <v>371</v>
      </c>
      <c r="B21" s="311" t="s">
        <v>372</v>
      </c>
      <c r="C21" s="312">
        <f t="shared" si="0"/>
        <v>14</v>
      </c>
      <c r="D21" s="852">
        <f>+i.04102a!C37+i.04102a!C38</f>
        <v>0</v>
      </c>
      <c r="E21" s="852">
        <f>+i.04102a!D37+i.04102a!D38</f>
        <v>0</v>
      </c>
    </row>
    <row r="22" spans="1:5">
      <c r="A22" s="310" t="s">
        <v>373</v>
      </c>
      <c r="B22" s="314" t="s">
        <v>374</v>
      </c>
      <c r="C22" s="312">
        <f t="shared" si="0"/>
        <v>15</v>
      </c>
      <c r="D22" s="852">
        <f>+i.04102a!C35</f>
        <v>0</v>
      </c>
      <c r="E22" s="852">
        <f>+i.04102a!D35</f>
        <v>0</v>
      </c>
    </row>
    <row r="23" spans="1:5">
      <c r="A23" s="307" t="s">
        <v>375</v>
      </c>
      <c r="B23" s="313" t="s">
        <v>423</v>
      </c>
      <c r="C23" s="309">
        <f>+C22+1</f>
        <v>16</v>
      </c>
      <c r="D23" s="328">
        <f>SUM(D19:D22)</f>
        <v>0</v>
      </c>
      <c r="E23" s="328">
        <f>SUM(E19:E22)</f>
        <v>0</v>
      </c>
    </row>
    <row r="24" spans="1:5">
      <c r="A24" s="310" t="s">
        <v>376</v>
      </c>
      <c r="B24" s="311" t="s">
        <v>377</v>
      </c>
      <c r="C24" s="312">
        <f t="shared" si="0"/>
        <v>17</v>
      </c>
      <c r="D24" s="852">
        <f>+i.04102a!C39+i.04102a!C40</f>
        <v>0</v>
      </c>
      <c r="E24" s="852">
        <f>+i.04102a!D39+i.04102a!D40</f>
        <v>0</v>
      </c>
    </row>
    <row r="25" spans="1:5">
      <c r="A25" s="310" t="s">
        <v>378</v>
      </c>
      <c r="B25" s="311" t="s">
        <v>379</v>
      </c>
      <c r="C25" s="312">
        <f t="shared" si="0"/>
        <v>18</v>
      </c>
      <c r="D25" s="852">
        <f>+i.04102a!C8</f>
        <v>0</v>
      </c>
      <c r="E25" s="852">
        <f>+i.04102a!D8</f>
        <v>0</v>
      </c>
    </row>
    <row r="26" spans="1:5">
      <c r="A26" s="310" t="s">
        <v>380</v>
      </c>
      <c r="B26" s="311" t="s">
        <v>381</v>
      </c>
      <c r="C26" s="312">
        <f>+C25+1</f>
        <v>19</v>
      </c>
      <c r="D26" s="852">
        <f>+i.04102a!C11+i.04102a!C12+i.04102a!C13+i.04102a!C14+i.04102a!C82+i.04102a!C83</f>
        <v>0</v>
      </c>
      <c r="E26" s="852">
        <f>+i.04102a!D11+i.04102a!D12+i.04102a!D13+i.04102a!D14+i.04102a!D82+i.04102a!D83</f>
        <v>0</v>
      </c>
    </row>
    <row r="27" spans="1:5" ht="26">
      <c r="A27" s="307" t="s">
        <v>382</v>
      </c>
      <c r="B27" s="313" t="s">
        <v>383</v>
      </c>
      <c r="C27" s="309">
        <f t="shared" si="0"/>
        <v>20</v>
      </c>
      <c r="D27" s="328">
        <f>SUM(D15,D25,D26)-D23-D24</f>
        <v>0</v>
      </c>
      <c r="E27" s="328">
        <f>SUM(E15,E25,E26)-E23-E24</f>
        <v>0</v>
      </c>
    </row>
    <row r="28" spans="1:5">
      <c r="A28" s="310" t="s">
        <v>384</v>
      </c>
      <c r="B28" s="311" t="s">
        <v>300</v>
      </c>
      <c r="C28" s="312">
        <f t="shared" si="0"/>
        <v>21</v>
      </c>
      <c r="D28" s="852">
        <f>+i.04102a!C15</f>
        <v>0</v>
      </c>
      <c r="E28" s="852">
        <f>+i.04102a!D15</f>
        <v>0</v>
      </c>
    </row>
    <row r="29" spans="1:5">
      <c r="A29" s="310" t="s">
        <v>385</v>
      </c>
      <c r="B29" s="311" t="s">
        <v>386</v>
      </c>
      <c r="C29" s="312">
        <f t="shared" si="0"/>
        <v>22</v>
      </c>
      <c r="D29" s="852">
        <f>+i.04102a!C16+i.04102a!C17</f>
        <v>0</v>
      </c>
      <c r="E29" s="852">
        <f>+i.04102a!D16+i.04102a!D17</f>
        <v>0</v>
      </c>
    </row>
    <row r="30" spans="1:5">
      <c r="A30" s="310" t="s">
        <v>387</v>
      </c>
      <c r="B30" s="311" t="s">
        <v>388</v>
      </c>
      <c r="C30" s="312">
        <f t="shared" si="0"/>
        <v>23</v>
      </c>
      <c r="D30" s="852">
        <f>+i.04102a!C18+i.04102a!C19+i.04102a!C20+i.04102a!C23+i.04102a!C24+i.04102a!C25+i.04102a!C26</f>
        <v>0</v>
      </c>
      <c r="E30" s="852">
        <f>+i.04102a!D18+i.04102a!D19+i.04102a!D20+i.04102a!D23+i.04102a!D24+i.04102a!D25+i.04102a!D26</f>
        <v>0</v>
      </c>
    </row>
    <row r="31" spans="1:5">
      <c r="A31" s="310" t="s">
        <v>389</v>
      </c>
      <c r="B31" s="311" t="s">
        <v>390</v>
      </c>
      <c r="C31" s="312">
        <f t="shared" si="0"/>
        <v>24</v>
      </c>
      <c r="D31" s="852">
        <f>+SUM(i.04102a!C41:C60)</f>
        <v>0</v>
      </c>
      <c r="E31" s="852">
        <f>+SUM(i.04102a!D41:D60)</f>
        <v>0</v>
      </c>
    </row>
    <row r="32" spans="1:5">
      <c r="A32" s="310" t="s">
        <v>391</v>
      </c>
      <c r="B32" s="311" t="s">
        <v>392</v>
      </c>
      <c r="C32" s="312">
        <f t="shared" si="0"/>
        <v>25</v>
      </c>
      <c r="D32" s="852">
        <f>+SUM(i.04102a!C61:C80)</f>
        <v>0</v>
      </c>
      <c r="E32" s="852">
        <f>+SUM(i.04102a!D61:D80)</f>
        <v>0</v>
      </c>
    </row>
    <row r="33" spans="1:7">
      <c r="A33" s="310" t="s">
        <v>393</v>
      </c>
      <c r="B33" s="311" t="s">
        <v>394</v>
      </c>
      <c r="C33" s="312">
        <f t="shared" si="0"/>
        <v>26</v>
      </c>
      <c r="D33" s="852">
        <f>+i.04102a!C81</f>
        <v>0</v>
      </c>
      <c r="E33" s="852">
        <f>+i.04102a!D81</f>
        <v>0</v>
      </c>
    </row>
    <row r="34" spans="1:7">
      <c r="A34" s="310" t="s">
        <v>395</v>
      </c>
      <c r="B34" s="311" t="s">
        <v>396</v>
      </c>
      <c r="C34" s="312">
        <f t="shared" si="0"/>
        <v>27</v>
      </c>
      <c r="D34" s="852">
        <f>+i.04102a!C84+i.04102a!C85+i.04102a!C86+i.04102a!C89+i.04102a!C90+i.04102a!C91+i.04102a!C92</f>
        <v>0</v>
      </c>
      <c r="E34" s="852">
        <f>+i.04102a!D84+i.04102a!D85+i.04102a!D86+i.04102a!D89+i.04102a!D90+i.04102a!D91+i.04102a!D92</f>
        <v>0</v>
      </c>
    </row>
    <row r="35" spans="1:7">
      <c r="A35" s="310" t="s">
        <v>397</v>
      </c>
      <c r="B35" s="311" t="s">
        <v>398</v>
      </c>
      <c r="C35" s="312">
        <f t="shared" si="0"/>
        <v>28</v>
      </c>
      <c r="D35" s="852">
        <f>+i.04102a!C21-i.04102a!C87</f>
        <v>0</v>
      </c>
      <c r="E35" s="852">
        <f>+i.04102a!D21-i.04102a!D87</f>
        <v>0</v>
      </c>
    </row>
    <row r="36" spans="1:7" ht="26">
      <c r="A36" s="310" t="s">
        <v>399</v>
      </c>
      <c r="B36" s="311" t="s">
        <v>400</v>
      </c>
      <c r="C36" s="312">
        <f t="shared" si="0"/>
        <v>29</v>
      </c>
      <c r="D36" s="852">
        <f>+i.04102a!C22-i.04102a!C88</f>
        <v>0</v>
      </c>
      <c r="E36" s="852">
        <f>+i.04102a!D22-i.04102a!D88</f>
        <v>0</v>
      </c>
    </row>
    <row r="37" spans="1:7" ht="26">
      <c r="A37" s="317" t="s">
        <v>401</v>
      </c>
      <c r="B37" s="313" t="s">
        <v>402</v>
      </c>
      <c r="C37" s="309">
        <f t="shared" si="0"/>
        <v>30</v>
      </c>
      <c r="D37" s="328">
        <f>SUM(D28,D29,D30,D35,D36)-D31-D32-D33-D34</f>
        <v>0</v>
      </c>
      <c r="E37" s="328">
        <f>SUM(E28,E29,E30,E35,E36)-E31-E32-E33-E34</f>
        <v>0</v>
      </c>
      <c r="G37" s="325"/>
    </row>
    <row r="38" spans="1:7" ht="26">
      <c r="A38" s="317" t="s">
        <v>403</v>
      </c>
      <c r="B38" s="313" t="s">
        <v>404</v>
      </c>
      <c r="C38" s="309">
        <f>+C37+1</f>
        <v>31</v>
      </c>
      <c r="D38" s="328">
        <f>SUM(D27,D37)</f>
        <v>0</v>
      </c>
      <c r="E38" s="328">
        <f>SUM(E27,E37)</f>
        <v>0</v>
      </c>
    </row>
    <row r="39" spans="1:7">
      <c r="A39" s="310" t="s">
        <v>405</v>
      </c>
      <c r="B39" s="311" t="s">
        <v>406</v>
      </c>
      <c r="C39" s="312">
        <f t="shared" si="0"/>
        <v>32</v>
      </c>
      <c r="D39" s="852">
        <f>+i.04102a!C93</f>
        <v>0</v>
      </c>
      <c r="E39" s="852">
        <f>+i.04102a!D93</f>
        <v>0</v>
      </c>
    </row>
    <row r="40" spans="1:7">
      <c r="A40" s="317" t="s">
        <v>407</v>
      </c>
      <c r="B40" s="313" t="s">
        <v>408</v>
      </c>
      <c r="C40" s="309">
        <f>+C39+1</f>
        <v>33</v>
      </c>
      <c r="D40" s="328">
        <f>D38-D39</f>
        <v>0</v>
      </c>
      <c r="E40" s="328">
        <f>E38-E39</f>
        <v>0</v>
      </c>
    </row>
    <row r="41" spans="1:7" ht="26">
      <c r="A41" s="310" t="s">
        <v>409</v>
      </c>
      <c r="B41" s="311" t="s">
        <v>410</v>
      </c>
      <c r="C41" s="312">
        <f t="shared" si="0"/>
        <v>34</v>
      </c>
      <c r="D41" s="853"/>
      <c r="E41" s="853"/>
    </row>
    <row r="42" spans="1:7" ht="26">
      <c r="A42" s="317" t="s">
        <v>411</v>
      </c>
      <c r="B42" s="313" t="s">
        <v>412</v>
      </c>
      <c r="C42" s="309">
        <f t="shared" si="0"/>
        <v>35</v>
      </c>
      <c r="D42" s="328">
        <f>SUM(D40:D41)</f>
        <v>0</v>
      </c>
      <c r="E42" s="328">
        <f>SUM(E40:E41)</f>
        <v>0</v>
      </c>
    </row>
    <row r="43" spans="1:7">
      <c r="A43" s="310" t="s">
        <v>413</v>
      </c>
      <c r="B43" s="311" t="s">
        <v>414</v>
      </c>
      <c r="C43" s="312">
        <f t="shared" si="0"/>
        <v>36</v>
      </c>
      <c r="D43" s="853"/>
      <c r="E43" s="853"/>
    </row>
    <row r="44" spans="1:7">
      <c r="A44" s="310" t="s">
        <v>415</v>
      </c>
      <c r="B44" s="311" t="s">
        <v>416</v>
      </c>
      <c r="C44" s="312">
        <f t="shared" si="0"/>
        <v>37</v>
      </c>
      <c r="D44" s="853"/>
      <c r="E44" s="853"/>
    </row>
    <row r="45" spans="1:7">
      <c r="A45" s="310" t="s">
        <v>417</v>
      </c>
      <c r="B45" s="311" t="s">
        <v>288</v>
      </c>
      <c r="C45" s="312">
        <f t="shared" si="0"/>
        <v>38</v>
      </c>
      <c r="D45" s="853"/>
      <c r="E45" s="853"/>
    </row>
    <row r="46" spans="1:7">
      <c r="A46" s="317" t="s">
        <v>418</v>
      </c>
      <c r="B46" s="313" t="s">
        <v>419</v>
      </c>
      <c r="C46" s="309">
        <f t="shared" si="0"/>
        <v>39</v>
      </c>
      <c r="D46" s="328">
        <f>SUM(D42:D45)</f>
        <v>0</v>
      </c>
      <c r="E46" s="328">
        <f>SUM(E42:E45)</f>
        <v>0</v>
      </c>
    </row>
    <row r="47" spans="1:7">
      <c r="A47" s="310" t="s">
        <v>420</v>
      </c>
      <c r="B47" s="311" t="s">
        <v>421</v>
      </c>
      <c r="C47" s="312">
        <f t="shared" si="0"/>
        <v>40</v>
      </c>
      <c r="D47" s="853"/>
      <c r="E47" s="853"/>
    </row>
    <row r="49" spans="1:21" ht="15" customHeight="1">
      <c r="A49" s="329"/>
      <c r="B49" s="330" t="str">
        <f>+i.04108!C32</f>
        <v>тамга тэмдэг</v>
      </c>
      <c r="C49" s="330"/>
      <c r="D49" s="330"/>
      <c r="E49" s="330"/>
    </row>
    <row r="50" spans="1:21" s="318" customFormat="1" ht="14.5">
      <c r="A50" s="329"/>
      <c r="B50" s="330"/>
      <c r="C50" s="330"/>
      <c r="D50" s="330"/>
      <c r="E50" s="330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</row>
    <row r="51" spans="1:21" s="318" customFormat="1" ht="14.5">
      <c r="A51" s="319"/>
      <c r="B51" s="329" t="str">
        <f>+i.04108!C34</f>
        <v xml:space="preserve">ТАЙЛАН ГАРГАСАН:    </v>
      </c>
      <c r="C51" s="329"/>
      <c r="D51" s="329"/>
      <c r="E51" s="329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</row>
    <row r="52" spans="1:21" s="318" customFormat="1" ht="14.5">
      <c r="A52" s="329"/>
      <c r="B52" s="329"/>
      <c r="C52" s="329"/>
      <c r="D52" s="329"/>
      <c r="E52" s="329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</row>
    <row r="53" spans="1:21" s="318" customFormat="1" ht="15" customHeight="1">
      <c r="A53" s="329"/>
      <c r="B53" s="329" t="str">
        <f>+i.04108!C36</f>
        <v xml:space="preserve"> Гүйцэтгэх захирал</v>
      </c>
      <c r="C53" s="329" t="str">
        <f>+i.04108!D36</f>
        <v xml:space="preserve">/................................../   </v>
      </c>
      <c r="D53" s="329"/>
      <c r="E53" s="329" t="str">
        <f>+i.04108!F36</f>
        <v>/................................./</v>
      </c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</row>
    <row r="54" spans="1:21" s="318" customFormat="1" ht="14.5">
      <c r="A54" s="49"/>
      <c r="B54" s="329"/>
      <c r="C54" s="329"/>
      <c r="D54" s="329"/>
      <c r="E54" s="329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</row>
    <row r="55" spans="1:21" s="318" customFormat="1" ht="14.5">
      <c r="A55" s="32"/>
      <c r="B55" s="329" t="str">
        <f>+i.04108!C38</f>
        <v xml:space="preserve"> Ерөнхий нягтлан бодогч  </v>
      </c>
      <c r="C55" s="329" t="str">
        <f>+i.04108!D38</f>
        <v xml:space="preserve">/.................................../   </v>
      </c>
      <c r="D55" s="329"/>
      <c r="E55" s="329" t="str">
        <f>+i.04108!F38</f>
        <v>/................................/</v>
      </c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</row>
    <row r="56" spans="1:21">
      <c r="A56" s="320"/>
      <c r="B56" s="329"/>
      <c r="C56" s="329"/>
      <c r="D56" s="329"/>
      <c r="E56" s="329"/>
      <c r="F56" s="33"/>
    </row>
    <row r="57" spans="1:21" s="32" customFormat="1">
      <c r="A57" s="322"/>
      <c r="B57" s="329" t="str">
        <f>+i.04108!C40</f>
        <v>...................................................</v>
      </c>
      <c r="C57" s="329" t="str">
        <f>+i.04108!D40</f>
        <v xml:space="preserve">/................................../   </v>
      </c>
      <c r="D57" s="329"/>
      <c r="E57" s="329" t="str">
        <f>+i.04108!F40</f>
        <v>/................................/</v>
      </c>
    </row>
    <row r="58" spans="1:21">
      <c r="B58" s="330"/>
      <c r="C58" s="330"/>
      <c r="D58" s="330"/>
      <c r="E58" s="330"/>
    </row>
  </sheetData>
  <sheetProtection password="CA9F" sheet="1"/>
  <mergeCells count="4">
    <mergeCell ref="C1:E1"/>
    <mergeCell ref="A2:E2"/>
    <mergeCell ref="A4:C4"/>
    <mergeCell ref="D4:E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A34"/>
  <sheetViews>
    <sheetView workbookViewId="0">
      <selection activeCell="E16" sqref="E16"/>
    </sheetView>
  </sheetViews>
  <sheetFormatPr defaultColWidth="8.81640625" defaultRowHeight="10.5"/>
  <cols>
    <col min="1" max="1" width="2.453125" style="363" customWidth="1"/>
    <col min="2" max="2" width="19.81640625" style="343" customWidth="1"/>
    <col min="3" max="3" width="14.7265625" style="364" customWidth="1"/>
    <col min="4" max="11" width="14.7265625" style="363" customWidth="1"/>
    <col min="12" max="16384" width="8.81640625" style="336"/>
  </cols>
  <sheetData>
    <row r="1" spans="1:27" s="245" customFormat="1" ht="43.5" customHeight="1">
      <c r="A1" s="331"/>
      <c r="B1" s="332"/>
      <c r="C1" s="333"/>
      <c r="D1" s="334"/>
      <c r="E1" s="334"/>
      <c r="F1" s="334"/>
      <c r="G1" s="335"/>
      <c r="H1" s="334"/>
      <c r="I1" s="1051"/>
      <c r="J1" s="1051"/>
      <c r="K1" s="1051"/>
    </row>
    <row r="2" spans="1:27">
      <c r="A2" s="1052" t="s">
        <v>424</v>
      </c>
      <c r="B2" s="1052"/>
      <c r="C2" s="1052"/>
      <c r="D2" s="1052"/>
      <c r="E2" s="1052"/>
      <c r="F2" s="1052"/>
      <c r="G2" s="1052"/>
      <c r="H2" s="1052"/>
      <c r="I2" s="1052"/>
      <c r="J2" s="1052"/>
      <c r="K2" s="1052"/>
    </row>
    <row r="3" spans="1:27" s="338" customFormat="1" ht="15" customHeight="1">
      <c r="A3" s="1053" t="str">
        <f>+i.04108!A7</f>
        <v>Даатгагчийн нэр:</v>
      </c>
      <c r="B3" s="1053"/>
      <c r="C3" s="1053"/>
      <c r="D3" s="337"/>
      <c r="J3" s="1054" t="str">
        <f>+i.04108!F7</f>
        <v>..... оны .... сарын ...-ны өдөр</v>
      </c>
      <c r="K3" s="1054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</row>
    <row r="4" spans="1:27" s="338" customFormat="1">
      <c r="A4" s="339"/>
      <c r="B4" s="229"/>
      <c r="D4" s="337"/>
      <c r="E4" s="340"/>
      <c r="K4" s="341" t="s">
        <v>1</v>
      </c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</row>
    <row r="5" spans="1:27" s="343" customFormat="1" ht="21">
      <c r="A5" s="342" t="s">
        <v>2</v>
      </c>
      <c r="B5" s="342" t="s">
        <v>425</v>
      </c>
      <c r="C5" s="342" t="s">
        <v>426</v>
      </c>
      <c r="D5" s="342" t="s">
        <v>165</v>
      </c>
      <c r="E5" s="342" t="s">
        <v>167</v>
      </c>
      <c r="F5" s="342" t="s">
        <v>169</v>
      </c>
      <c r="G5" s="342" t="s">
        <v>427</v>
      </c>
      <c r="H5" s="342" t="s">
        <v>173</v>
      </c>
      <c r="I5" s="342" t="s">
        <v>175</v>
      </c>
      <c r="J5" s="342" t="s">
        <v>428</v>
      </c>
      <c r="K5" s="342" t="s">
        <v>429</v>
      </c>
    </row>
    <row r="6" spans="1:27">
      <c r="A6" s="344" t="s">
        <v>6</v>
      </c>
      <c r="B6" s="345" t="s">
        <v>7</v>
      </c>
      <c r="C6" s="344">
        <v>1</v>
      </c>
      <c r="D6" s="344">
        <v>2</v>
      </c>
      <c r="E6" s="344">
        <v>3</v>
      </c>
      <c r="F6" s="344">
        <v>4</v>
      </c>
      <c r="G6" s="344">
        <v>5</v>
      </c>
      <c r="H6" s="344">
        <v>6</v>
      </c>
      <c r="I6" s="344">
        <v>7</v>
      </c>
      <c r="J6" s="344">
        <v>8</v>
      </c>
      <c r="K6" s="344">
        <v>9</v>
      </c>
    </row>
    <row r="7" spans="1:27" s="347" customFormat="1" ht="21">
      <c r="A7" s="346">
        <v>1</v>
      </c>
      <c r="B7" s="966" t="s">
        <v>430</v>
      </c>
      <c r="C7" s="372"/>
      <c r="D7" s="372"/>
      <c r="E7" s="372"/>
      <c r="F7" s="372"/>
      <c r="G7" s="372"/>
      <c r="H7" s="372"/>
      <c r="I7" s="372"/>
      <c r="J7" s="372"/>
      <c r="K7" s="367">
        <f>+SUM(C7:J7)</f>
        <v>0</v>
      </c>
    </row>
    <row r="8" spans="1:27" ht="31.5">
      <c r="A8" s="348">
        <v>2</v>
      </c>
      <c r="B8" s="349" t="s">
        <v>431</v>
      </c>
      <c r="C8" s="370"/>
      <c r="D8" s="370"/>
      <c r="E8" s="370"/>
      <c r="F8" s="370"/>
      <c r="G8" s="370"/>
      <c r="H8" s="370"/>
      <c r="I8" s="370"/>
      <c r="J8" s="370"/>
      <c r="K8" s="369">
        <f>+SUM(C8:J8)</f>
        <v>0</v>
      </c>
    </row>
    <row r="9" spans="1:27">
      <c r="A9" s="348">
        <v>3</v>
      </c>
      <c r="B9" s="349" t="s">
        <v>432</v>
      </c>
      <c r="C9" s="368">
        <f>SUM(C7:C8)</f>
        <v>0</v>
      </c>
      <c r="D9" s="368">
        <f t="shared" ref="D9:J9" si="0">SUM(D7:D8)</f>
        <v>0</v>
      </c>
      <c r="E9" s="368">
        <f t="shared" si="0"/>
        <v>0</v>
      </c>
      <c r="F9" s="368">
        <f t="shared" si="0"/>
        <v>0</v>
      </c>
      <c r="G9" s="368">
        <f t="shared" si="0"/>
        <v>0</v>
      </c>
      <c r="H9" s="368">
        <f t="shared" si="0"/>
        <v>0</v>
      </c>
      <c r="I9" s="368">
        <f t="shared" si="0"/>
        <v>0</v>
      </c>
      <c r="J9" s="822">
        <f t="shared" si="0"/>
        <v>0</v>
      </c>
      <c r="K9" s="369">
        <f t="shared" ref="K9:K23" si="1">+SUM(C9:J9)</f>
        <v>0</v>
      </c>
    </row>
    <row r="10" spans="1:27" ht="21">
      <c r="A10" s="348">
        <v>4</v>
      </c>
      <c r="B10" s="349" t="s">
        <v>433</v>
      </c>
      <c r="C10" s="371"/>
      <c r="D10" s="371"/>
      <c r="E10" s="371"/>
      <c r="F10" s="371"/>
      <c r="G10" s="371"/>
      <c r="H10" s="371"/>
      <c r="I10" s="371"/>
      <c r="J10" s="371"/>
      <c r="K10" s="369">
        <f t="shared" si="1"/>
        <v>0</v>
      </c>
    </row>
    <row r="11" spans="1:27">
      <c r="A11" s="348">
        <v>5</v>
      </c>
      <c r="B11" s="349" t="s">
        <v>434</v>
      </c>
      <c r="C11" s="371"/>
      <c r="D11" s="371"/>
      <c r="E11" s="371"/>
      <c r="F11" s="371"/>
      <c r="G11" s="371"/>
      <c r="H11" s="371"/>
      <c r="I11" s="371"/>
      <c r="J11" s="371"/>
      <c r="K11" s="369">
        <f t="shared" si="1"/>
        <v>0</v>
      </c>
    </row>
    <row r="12" spans="1:27">
      <c r="A12" s="348">
        <v>6</v>
      </c>
      <c r="B12" s="349" t="s">
        <v>435</v>
      </c>
      <c r="C12" s="371"/>
      <c r="D12" s="371"/>
      <c r="E12" s="371"/>
      <c r="F12" s="371"/>
      <c r="G12" s="371"/>
      <c r="H12" s="371"/>
      <c r="I12" s="371"/>
      <c r="J12" s="371"/>
      <c r="K12" s="369">
        <f t="shared" si="1"/>
        <v>0</v>
      </c>
    </row>
    <row r="13" spans="1:27">
      <c r="A13" s="348">
        <v>7</v>
      </c>
      <c r="B13" s="349" t="s">
        <v>436</v>
      </c>
      <c r="C13" s="371"/>
      <c r="D13" s="371"/>
      <c r="E13" s="371"/>
      <c r="F13" s="371"/>
      <c r="G13" s="371"/>
      <c r="H13" s="371"/>
      <c r="I13" s="371"/>
      <c r="J13" s="371"/>
      <c r="K13" s="369">
        <f t="shared" si="1"/>
        <v>0</v>
      </c>
    </row>
    <row r="14" spans="1:27" ht="21">
      <c r="A14" s="348">
        <v>8</v>
      </c>
      <c r="B14" s="349" t="s">
        <v>437</v>
      </c>
      <c r="C14" s="371"/>
      <c r="D14" s="371"/>
      <c r="E14" s="371"/>
      <c r="F14" s="371"/>
      <c r="G14" s="371"/>
      <c r="H14" s="371"/>
      <c r="I14" s="371"/>
      <c r="J14" s="371"/>
      <c r="K14" s="369">
        <f t="shared" si="1"/>
        <v>0</v>
      </c>
    </row>
    <row r="15" spans="1:27" s="347" customFormat="1" ht="21">
      <c r="A15" s="346">
        <v>9</v>
      </c>
      <c r="B15" s="966" t="s">
        <v>438</v>
      </c>
      <c r="C15" s="366">
        <f>+SUM(C9:C14)</f>
        <v>0</v>
      </c>
      <c r="D15" s="366">
        <f t="shared" ref="D15:J15" si="2">+SUM(D9:D14)</f>
        <v>0</v>
      </c>
      <c r="E15" s="366">
        <f t="shared" si="2"/>
        <v>0</v>
      </c>
      <c r="F15" s="366">
        <f t="shared" si="2"/>
        <v>0</v>
      </c>
      <c r="G15" s="366">
        <f t="shared" si="2"/>
        <v>0</v>
      </c>
      <c r="H15" s="366">
        <f t="shared" si="2"/>
        <v>0</v>
      </c>
      <c r="I15" s="366">
        <f t="shared" si="2"/>
        <v>0</v>
      </c>
      <c r="J15" s="823">
        <f t="shared" si="2"/>
        <v>0</v>
      </c>
      <c r="K15" s="367">
        <f t="shared" si="1"/>
        <v>0</v>
      </c>
    </row>
    <row r="16" spans="1:27" ht="31.5">
      <c r="A16" s="348">
        <v>10</v>
      </c>
      <c r="B16" s="349" t="s">
        <v>431</v>
      </c>
      <c r="C16" s="371"/>
      <c r="D16" s="371"/>
      <c r="E16" s="371"/>
      <c r="F16" s="371"/>
      <c r="G16" s="371"/>
      <c r="H16" s="371"/>
      <c r="I16" s="371"/>
      <c r="J16" s="371"/>
      <c r="K16" s="369">
        <f t="shared" si="1"/>
        <v>0</v>
      </c>
    </row>
    <row r="17" spans="1:21">
      <c r="A17" s="348">
        <v>11</v>
      </c>
      <c r="B17" s="349" t="s">
        <v>432</v>
      </c>
      <c r="C17" s="368">
        <f>+C15+C16</f>
        <v>0</v>
      </c>
      <c r="D17" s="368">
        <f t="shared" ref="D17:J17" si="3">+D15+D16</f>
        <v>0</v>
      </c>
      <c r="E17" s="368">
        <f t="shared" si="3"/>
        <v>0</v>
      </c>
      <c r="F17" s="368">
        <f t="shared" si="3"/>
        <v>0</v>
      </c>
      <c r="G17" s="368">
        <f t="shared" si="3"/>
        <v>0</v>
      </c>
      <c r="H17" s="368">
        <f t="shared" si="3"/>
        <v>0</v>
      </c>
      <c r="I17" s="368">
        <f t="shared" si="3"/>
        <v>0</v>
      </c>
      <c r="J17" s="822">
        <f t="shared" si="3"/>
        <v>0</v>
      </c>
      <c r="K17" s="369">
        <f t="shared" si="1"/>
        <v>0</v>
      </c>
    </row>
    <row r="18" spans="1:21" ht="21">
      <c r="A18" s="348">
        <v>12</v>
      </c>
      <c r="B18" s="349" t="s">
        <v>433</v>
      </c>
      <c r="C18" s="371"/>
      <c r="D18" s="371"/>
      <c r="E18" s="371"/>
      <c r="F18" s="371"/>
      <c r="G18" s="371"/>
      <c r="H18" s="371"/>
      <c r="I18" s="371"/>
      <c r="J18" s="1009">
        <f>i.04102!E42</f>
        <v>0</v>
      </c>
      <c r="K18" s="369">
        <f>+SUM(C18:J18)</f>
        <v>0</v>
      </c>
    </row>
    <row r="19" spans="1:21">
      <c r="A19" s="348">
        <v>13</v>
      </c>
      <c r="B19" s="349" t="s">
        <v>434</v>
      </c>
      <c r="C19" s="371"/>
      <c r="D19" s="371"/>
      <c r="E19" s="371"/>
      <c r="F19" s="371"/>
      <c r="G19" s="371"/>
      <c r="H19" s="371"/>
      <c r="I19" s="371"/>
      <c r="J19" s="371"/>
      <c r="K19" s="369">
        <f t="shared" si="1"/>
        <v>0</v>
      </c>
    </row>
    <row r="20" spans="1:21">
      <c r="A20" s="348">
        <v>14</v>
      </c>
      <c r="B20" s="349" t="s">
        <v>435</v>
      </c>
      <c r="C20" s="371"/>
      <c r="D20" s="371"/>
      <c r="E20" s="371"/>
      <c r="F20" s="371"/>
      <c r="G20" s="371"/>
      <c r="H20" s="371"/>
      <c r="I20" s="371"/>
      <c r="J20" s="371"/>
      <c r="K20" s="369">
        <f t="shared" si="1"/>
        <v>0</v>
      </c>
    </row>
    <row r="21" spans="1:21">
      <c r="A21" s="348">
        <v>15</v>
      </c>
      <c r="B21" s="349" t="s">
        <v>436</v>
      </c>
      <c r="C21" s="371"/>
      <c r="D21" s="371"/>
      <c r="E21" s="371"/>
      <c r="F21" s="371"/>
      <c r="G21" s="371"/>
      <c r="H21" s="371"/>
      <c r="I21" s="371"/>
      <c r="J21" s="371"/>
      <c r="K21" s="369">
        <f t="shared" si="1"/>
        <v>0</v>
      </c>
    </row>
    <row r="22" spans="1:21" ht="21">
      <c r="A22" s="348">
        <v>16</v>
      </c>
      <c r="B22" s="349" t="s">
        <v>437</v>
      </c>
      <c r="C22" s="371"/>
      <c r="D22" s="371"/>
      <c r="E22" s="371"/>
      <c r="F22" s="371"/>
      <c r="G22" s="371"/>
      <c r="H22" s="371"/>
      <c r="I22" s="371"/>
      <c r="J22" s="371"/>
      <c r="K22" s="369">
        <f t="shared" si="1"/>
        <v>0</v>
      </c>
    </row>
    <row r="23" spans="1:21" s="347" customFormat="1" ht="21">
      <c r="A23" s="346">
        <v>17</v>
      </c>
      <c r="B23" s="966" t="s">
        <v>438</v>
      </c>
      <c r="C23" s="366">
        <f>+SUM(C17:C22)</f>
        <v>0</v>
      </c>
      <c r="D23" s="366">
        <f t="shared" ref="D23:I23" si="4">+SUM(D17:D22)</f>
        <v>0</v>
      </c>
      <c r="E23" s="366">
        <f t="shared" si="4"/>
        <v>0</v>
      </c>
      <c r="F23" s="366">
        <f t="shared" si="4"/>
        <v>0</v>
      </c>
      <c r="G23" s="366">
        <f t="shared" si="4"/>
        <v>0</v>
      </c>
      <c r="H23" s="366">
        <f t="shared" si="4"/>
        <v>0</v>
      </c>
      <c r="I23" s="366">
        <f t="shared" si="4"/>
        <v>0</v>
      </c>
      <c r="J23" s="823">
        <f>+SUM(J17:J22)</f>
        <v>0</v>
      </c>
      <c r="K23" s="367">
        <f t="shared" si="1"/>
        <v>0</v>
      </c>
    </row>
    <row r="24" spans="1:21" ht="22.5" customHeight="1">
      <c r="A24" s="724"/>
      <c r="B24" s="725"/>
      <c r="C24" s="726" t="str">
        <f>IF(C23=i.04101!E87,"","ДҮН ЗӨРҮҮТЭЙ БАЙНА:")</f>
        <v/>
      </c>
      <c r="D24" s="726" t="str">
        <f>IF(D23=i.04101!E88,"","ДҮН ЗӨРҮҮТЭЙ БАЙНА:")</f>
        <v/>
      </c>
      <c r="E24" s="726" t="str">
        <f>IF(E23=i.04101!E89,"","ДҮН ЗӨРҮҮТЭЙ БАЙНА:")</f>
        <v/>
      </c>
      <c r="F24" s="726" t="str">
        <f>IF(F23=i.04101!E90,"","ДҮН ЗӨРҮҮТЭЙ БАЙНА:")</f>
        <v/>
      </c>
      <c r="G24" s="726" t="str">
        <f>IF(G23=i.04101!E91,"","ДҮН ЗӨРҮҮТЭЙ БАЙНА:")</f>
        <v/>
      </c>
      <c r="H24" s="726" t="str">
        <f>IF(H23=i.04101!E92,"","ДҮН ЗӨРҮҮТЭЙ БАЙНА:")</f>
        <v/>
      </c>
      <c r="I24" s="726" t="str">
        <f>IF(I23=i.04101!E93,"","ДҮН ЗӨРҮҮТЭЙ БАЙНА:")</f>
        <v/>
      </c>
      <c r="J24" s="726" t="str">
        <f>IF(J23=i.04101!E94,"","ДҮН ЗӨРҮҮТЭЙ БАЙНА:")</f>
        <v/>
      </c>
      <c r="K24" s="726" t="str">
        <f>IF(K23=i.04101!E95,"","ДҮН ЗӨРҮҮТЭЙ БАЙНА:")</f>
        <v/>
      </c>
    </row>
    <row r="25" spans="1:21">
      <c r="A25" s="724"/>
      <c r="B25" s="726"/>
      <c r="C25" s="727">
        <f>+C23-i.04101!E87</f>
        <v>0</v>
      </c>
      <c r="D25" s="728">
        <f>+D23-i.04101!E88</f>
        <v>0</v>
      </c>
      <c r="E25" s="728">
        <f>+E23-i.04101!E89</f>
        <v>0</v>
      </c>
      <c r="F25" s="727">
        <f>+F23-i.04101!E90</f>
        <v>0</v>
      </c>
      <c r="G25" s="728">
        <f>+G23-i.04101!E91</f>
        <v>0</v>
      </c>
      <c r="H25" s="728">
        <f>+H23-i.04101!E92</f>
        <v>0</v>
      </c>
      <c r="I25" s="727">
        <f>+I23-i.04101!E93</f>
        <v>0</v>
      </c>
      <c r="J25" s="728">
        <f>+J23-i.04101!E94</f>
        <v>0</v>
      </c>
      <c r="K25" s="728">
        <f>+K23-i.04101!E95</f>
        <v>0</v>
      </c>
    </row>
    <row r="26" spans="1:21" s="352" customFormat="1" ht="15.5">
      <c r="A26" s="350"/>
      <c r="B26" s="365" t="str">
        <f>+i.04108!C32</f>
        <v>тамга тэмдэг</v>
      </c>
      <c r="C26" s="365"/>
      <c r="D26" s="365"/>
      <c r="E26" s="365"/>
      <c r="F26" s="365"/>
      <c r="G26" s="350"/>
      <c r="H26" s="351"/>
      <c r="I26" s="351"/>
      <c r="J26" s="351"/>
      <c r="K26" s="351"/>
    </row>
    <row r="27" spans="1:21" s="353" customFormat="1" ht="15.5">
      <c r="A27" s="350"/>
      <c r="B27" s="365"/>
      <c r="C27" s="365"/>
      <c r="D27" s="365"/>
      <c r="E27" s="365"/>
      <c r="F27" s="365"/>
      <c r="G27" s="350"/>
      <c r="H27" s="350"/>
      <c r="I27" s="350"/>
      <c r="J27" s="335"/>
      <c r="K27" s="335"/>
    </row>
    <row r="28" spans="1:21" s="353" customFormat="1" ht="15.5">
      <c r="A28" s="354"/>
      <c r="B28" s="350" t="str">
        <f>+i.04108!C34</f>
        <v xml:space="preserve">ТАЙЛАН ГАРГАСАН:    </v>
      </c>
      <c r="C28" s="350"/>
      <c r="D28" s="350"/>
      <c r="E28" s="350"/>
      <c r="F28" s="350"/>
      <c r="G28" s="354"/>
      <c r="H28" s="354"/>
      <c r="I28" s="354"/>
      <c r="J28" s="335"/>
      <c r="K28" s="335"/>
    </row>
    <row r="29" spans="1:21" s="357" customFormat="1" ht="15.5">
      <c r="A29" s="350"/>
      <c r="B29" s="350"/>
      <c r="C29" s="350"/>
      <c r="D29" s="350"/>
      <c r="E29" s="350"/>
      <c r="F29" s="350"/>
      <c r="G29" s="350"/>
      <c r="H29" s="350"/>
      <c r="I29" s="350"/>
      <c r="J29" s="355"/>
      <c r="K29" s="355"/>
      <c r="L29" s="356"/>
      <c r="M29" s="356"/>
      <c r="N29" s="356"/>
      <c r="O29" s="356"/>
      <c r="P29" s="356"/>
      <c r="Q29" s="356"/>
      <c r="R29" s="356"/>
      <c r="S29" s="356"/>
      <c r="T29" s="356"/>
      <c r="U29" s="356"/>
    </row>
    <row r="30" spans="1:21" s="357" customFormat="1" ht="15.5">
      <c r="A30" s="350"/>
      <c r="B30" s="350" t="str">
        <f>+i.04108!C36</f>
        <v xml:space="preserve"> Гүйцэтгэх захирал</v>
      </c>
      <c r="E30" s="350" t="str">
        <f>+i.04108!D36</f>
        <v xml:space="preserve">/................................../   </v>
      </c>
      <c r="F30" s="350"/>
      <c r="G30" s="350" t="str">
        <f>+i.04108!F36</f>
        <v>/................................./</v>
      </c>
      <c r="H30" s="350"/>
      <c r="I30" s="350"/>
      <c r="J30" s="355"/>
      <c r="K30" s="355"/>
      <c r="L30" s="356"/>
      <c r="M30" s="356"/>
      <c r="N30" s="356"/>
      <c r="O30" s="356"/>
      <c r="P30" s="356"/>
      <c r="Q30" s="356"/>
      <c r="R30" s="356"/>
      <c r="S30" s="356"/>
      <c r="T30" s="356"/>
      <c r="U30" s="356"/>
    </row>
    <row r="31" spans="1:21" s="357" customFormat="1" ht="15.5">
      <c r="A31" s="358"/>
      <c r="B31" s="350"/>
      <c r="E31" s="350"/>
      <c r="F31" s="350"/>
      <c r="G31" s="350"/>
      <c r="H31" s="355"/>
      <c r="I31" s="355"/>
      <c r="J31" s="355"/>
      <c r="K31" s="355"/>
      <c r="L31" s="356"/>
      <c r="M31" s="356"/>
      <c r="N31" s="356"/>
      <c r="O31" s="356"/>
      <c r="P31" s="356"/>
      <c r="Q31" s="356"/>
      <c r="R31" s="356"/>
      <c r="S31" s="356"/>
      <c r="T31" s="356"/>
      <c r="U31" s="356"/>
    </row>
    <row r="32" spans="1:21" s="231" customFormat="1" ht="15.5">
      <c r="A32" s="359"/>
      <c r="B32" s="350" t="str">
        <f>+i.04108!C38</f>
        <v xml:space="preserve"> Ерөнхий нягтлан бодогч  </v>
      </c>
      <c r="E32" s="350" t="str">
        <f>+i.04108!D38</f>
        <v xml:space="preserve">/.................................../   </v>
      </c>
      <c r="F32" s="350"/>
      <c r="G32" s="350" t="str">
        <f>+i.04108!F38</f>
        <v>/................................/</v>
      </c>
      <c r="H32" s="338"/>
      <c r="I32" s="338"/>
      <c r="J32" s="338"/>
      <c r="K32" s="338"/>
      <c r="L32" s="230"/>
      <c r="M32" s="230"/>
      <c r="N32" s="230"/>
      <c r="O32" s="230"/>
      <c r="P32" s="230"/>
      <c r="Q32" s="230"/>
      <c r="R32" s="230"/>
      <c r="S32" s="230"/>
      <c r="T32" s="230"/>
      <c r="U32" s="230"/>
    </row>
    <row r="33" spans="1:21" s="231" customFormat="1" ht="15.5">
      <c r="A33" s="334"/>
      <c r="B33" s="350"/>
      <c r="E33" s="350"/>
      <c r="F33" s="350"/>
      <c r="G33" s="350"/>
      <c r="H33" s="338"/>
      <c r="I33" s="338"/>
      <c r="J33" s="338"/>
      <c r="K33" s="338"/>
      <c r="L33" s="230"/>
      <c r="M33" s="230"/>
      <c r="N33" s="230"/>
      <c r="O33" s="230"/>
      <c r="P33" s="230"/>
      <c r="Q33" s="230"/>
      <c r="R33" s="230"/>
      <c r="S33" s="230"/>
      <c r="T33" s="230"/>
      <c r="U33" s="230"/>
    </row>
    <row r="34" spans="1:21" s="362" customFormat="1" ht="15.5">
      <c r="A34" s="331"/>
      <c r="B34" s="350" t="str">
        <f>+i.04108!C40</f>
        <v>...................................................</v>
      </c>
      <c r="E34" s="350" t="str">
        <f>+i.04108!D40</f>
        <v xml:space="preserve">/................................../   </v>
      </c>
      <c r="F34" s="350"/>
      <c r="G34" s="350" t="str">
        <f>+i.04108!F40</f>
        <v>/................................/</v>
      </c>
      <c r="H34" s="334"/>
      <c r="I34" s="334"/>
      <c r="J34" s="334"/>
      <c r="K34" s="334"/>
    </row>
  </sheetData>
  <sheetProtection password="CA9F" sheet="1"/>
  <mergeCells count="4">
    <mergeCell ref="I1:K1"/>
    <mergeCell ref="A2:K2"/>
    <mergeCell ref="A3:C3"/>
    <mergeCell ref="J3:K3"/>
  </mergeCells>
  <dataValidations count="2">
    <dataValidation type="decimal" allowBlank="1" showInputMessage="1" showErrorMessage="1" sqref="C7:I23 K7:K23">
      <formula1>0</formula1>
      <formula2>1E+33</formula2>
    </dataValidation>
    <dataValidation type="decimal" allowBlank="1" showInputMessage="1" showErrorMessage="1" sqref="J7:J23">
      <formula1>-1.11111111111111E+34</formula1>
      <formula2>1E+33</formula2>
    </dataValidation>
  </dataValidations>
  <pageMargins left="0.33" right="0.21" top="0.75" bottom="0.75" header="0.32" footer="0.3"/>
  <pageSetup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85"/>
  <sheetViews>
    <sheetView topLeftCell="A52" zoomScaleNormal="100" workbookViewId="0">
      <selection activeCell="D67" sqref="D67"/>
    </sheetView>
  </sheetViews>
  <sheetFormatPr defaultColWidth="8.81640625" defaultRowHeight="13"/>
  <cols>
    <col min="1" max="1" width="4.81640625" style="410" customWidth="1"/>
    <col min="2" max="2" width="37.26953125" style="411" customWidth="1"/>
    <col min="3" max="3" width="7.453125" style="383" customWidth="1"/>
    <col min="4" max="4" width="15.1796875" style="374" customWidth="1"/>
    <col min="5" max="5" width="16.7265625" style="374" customWidth="1"/>
    <col min="6" max="16384" width="8.81640625" style="374"/>
  </cols>
  <sheetData>
    <row r="1" spans="1:27" s="34" customFormat="1" ht="39" customHeight="1">
      <c r="A1" s="373"/>
      <c r="B1" s="47"/>
      <c r="C1" s="1049"/>
      <c r="D1" s="1049"/>
      <c r="E1" s="1049"/>
      <c r="G1" s="288"/>
    </row>
    <row r="2" spans="1:27" s="34" customFormat="1" ht="16.5" customHeight="1">
      <c r="A2" s="373"/>
      <c r="B2" s="47"/>
      <c r="C2" s="300"/>
      <c r="D2" s="304"/>
      <c r="E2" s="304"/>
      <c r="G2" s="288"/>
    </row>
    <row r="3" spans="1:27">
      <c r="A3" s="1041" t="s">
        <v>439</v>
      </c>
      <c r="B3" s="1041"/>
      <c r="C3" s="1041"/>
      <c r="D3" s="1041"/>
      <c r="E3" s="1041"/>
      <c r="F3" s="289"/>
    </row>
    <row r="4" spans="1:27">
      <c r="A4" s="375"/>
      <c r="B4" s="182"/>
      <c r="C4" s="376"/>
      <c r="D4" s="35"/>
      <c r="E4" s="35"/>
      <c r="F4" s="289"/>
    </row>
    <row r="5" spans="1:27" s="225" customFormat="1" ht="12.75" customHeight="1">
      <c r="A5" s="1050" t="str">
        <f>+i.04108!A7</f>
        <v>Даатгагчийн нэр:</v>
      </c>
      <c r="B5" s="1050"/>
      <c r="C5" s="1042" t="str">
        <f>+i.04108!F7</f>
        <v>..... оны .... сарын ...-ны өдөр</v>
      </c>
      <c r="D5" s="1042"/>
      <c r="E5" s="1042"/>
      <c r="H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</row>
    <row r="6" spans="1:27" s="225" customFormat="1" ht="12.75" customHeight="1">
      <c r="A6" s="305"/>
      <c r="B6" s="227"/>
      <c r="C6" s="299"/>
      <c r="D6" s="377"/>
      <c r="E6" s="290" t="s">
        <v>1</v>
      </c>
      <c r="H6" s="242"/>
      <c r="I6" s="242"/>
      <c r="J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</row>
    <row r="7" spans="1:27" ht="39">
      <c r="A7" s="378" t="s">
        <v>2</v>
      </c>
      <c r="B7" s="379" t="s">
        <v>440</v>
      </c>
      <c r="C7" s="379" t="s">
        <v>4</v>
      </c>
      <c r="D7" s="413" t="str">
        <f>+i.04101a!C7</f>
        <v>... оны ..-р сарын ..</v>
      </c>
      <c r="E7" s="413" t="str">
        <f>+i.04101a!D7</f>
        <v>... оны ..-р сарын ..</v>
      </c>
    </row>
    <row r="8" spans="1:27" s="383" customFormat="1">
      <c r="A8" s="380" t="s">
        <v>6</v>
      </c>
      <c r="B8" s="381" t="s">
        <v>7</v>
      </c>
      <c r="C8" s="381" t="s">
        <v>8</v>
      </c>
      <c r="D8" s="382">
        <v>1</v>
      </c>
      <c r="E8" s="382">
        <v>2</v>
      </c>
    </row>
    <row r="9" spans="1:27" s="388" customFormat="1">
      <c r="A9" s="384" t="s">
        <v>441</v>
      </c>
      <c r="B9" s="385" t="s">
        <v>442</v>
      </c>
      <c r="C9" s="386">
        <v>1</v>
      </c>
      <c r="D9" s="387"/>
      <c r="E9" s="387"/>
    </row>
    <row r="10" spans="1:27" s="388" customFormat="1">
      <c r="A10" s="384" t="s">
        <v>11</v>
      </c>
      <c r="B10" s="385" t="s">
        <v>443</v>
      </c>
      <c r="C10" s="386">
        <f>+C9+1</f>
        <v>2</v>
      </c>
      <c r="D10" s="414">
        <f>SUM(D11:D17)</f>
        <v>0</v>
      </c>
      <c r="E10" s="414">
        <f>SUM(E11:E17)</f>
        <v>0</v>
      </c>
    </row>
    <row r="11" spans="1:27">
      <c r="A11" s="389" t="s">
        <v>13</v>
      </c>
      <c r="B11" s="390" t="s">
        <v>293</v>
      </c>
      <c r="C11" s="391">
        <f t="shared" ref="C11:C67" si="0">+C10+1</f>
        <v>3</v>
      </c>
      <c r="D11" s="280"/>
      <c r="E11" s="280"/>
    </row>
    <row r="12" spans="1:27">
      <c r="A12" s="389" t="s">
        <v>15</v>
      </c>
      <c r="B12" s="390" t="s">
        <v>444</v>
      </c>
      <c r="C12" s="391">
        <f t="shared" si="0"/>
        <v>4</v>
      </c>
      <c r="D12" s="280"/>
      <c r="E12" s="280"/>
    </row>
    <row r="13" spans="1:27">
      <c r="A13" s="389" t="s">
        <v>17</v>
      </c>
      <c r="B13" s="390" t="s">
        <v>445</v>
      </c>
      <c r="C13" s="391">
        <f t="shared" si="0"/>
        <v>5</v>
      </c>
      <c r="D13" s="280"/>
      <c r="E13" s="280"/>
    </row>
    <row r="14" spans="1:27">
      <c r="A14" s="389" t="s">
        <v>19</v>
      </c>
      <c r="B14" s="390" t="s">
        <v>446</v>
      </c>
      <c r="C14" s="391">
        <f t="shared" si="0"/>
        <v>6</v>
      </c>
      <c r="D14" s="280"/>
      <c r="E14" s="280"/>
    </row>
    <row r="15" spans="1:27">
      <c r="A15" s="389" t="s">
        <v>21</v>
      </c>
      <c r="B15" s="390" t="s">
        <v>447</v>
      </c>
      <c r="C15" s="391">
        <f t="shared" si="0"/>
        <v>7</v>
      </c>
      <c r="D15" s="280"/>
      <c r="E15" s="280"/>
    </row>
    <row r="16" spans="1:27">
      <c r="A16" s="389" t="s">
        <v>448</v>
      </c>
      <c r="B16" s="390" t="s">
        <v>449</v>
      </c>
      <c r="C16" s="391">
        <f t="shared" si="0"/>
        <v>8</v>
      </c>
      <c r="D16" s="280"/>
      <c r="E16" s="280"/>
    </row>
    <row r="17" spans="1:5">
      <c r="A17" s="389" t="s">
        <v>450</v>
      </c>
      <c r="B17" s="390" t="s">
        <v>451</v>
      </c>
      <c r="C17" s="391">
        <f t="shared" si="0"/>
        <v>9</v>
      </c>
      <c r="D17" s="280"/>
      <c r="E17" s="280"/>
    </row>
    <row r="18" spans="1:5" s="388" customFormat="1">
      <c r="A18" s="384" t="s">
        <v>23</v>
      </c>
      <c r="B18" s="385" t="s">
        <v>452</v>
      </c>
      <c r="C18" s="386">
        <f t="shared" si="0"/>
        <v>10</v>
      </c>
      <c r="D18" s="414">
        <f>+SUM(D19:D34)-D25-D26</f>
        <v>0</v>
      </c>
      <c r="E18" s="414">
        <f>+SUM(E19:E34)-E25-E26</f>
        <v>0</v>
      </c>
    </row>
    <row r="19" spans="1:5">
      <c r="A19" s="389" t="s">
        <v>25</v>
      </c>
      <c r="B19" s="390" t="s">
        <v>453</v>
      </c>
      <c r="C19" s="391">
        <f t="shared" si="0"/>
        <v>11</v>
      </c>
      <c r="D19" s="280"/>
      <c r="E19" s="280"/>
    </row>
    <row r="20" spans="1:5">
      <c r="A20" s="389" t="s">
        <v>27</v>
      </c>
      <c r="B20" s="390" t="s">
        <v>454</v>
      </c>
      <c r="C20" s="391">
        <f t="shared" si="0"/>
        <v>12</v>
      </c>
      <c r="D20" s="280"/>
      <c r="E20" s="280"/>
    </row>
    <row r="21" spans="1:5">
      <c r="A21" s="389" t="s">
        <v>29</v>
      </c>
      <c r="B21" s="390" t="s">
        <v>455</v>
      </c>
      <c r="C21" s="391">
        <f t="shared" si="0"/>
        <v>13</v>
      </c>
      <c r="D21" s="280"/>
      <c r="E21" s="280"/>
    </row>
    <row r="22" spans="1:5">
      <c r="A22" s="389" t="s">
        <v>31</v>
      </c>
      <c r="B22" s="390" t="s">
        <v>456</v>
      </c>
      <c r="C22" s="391">
        <f t="shared" si="0"/>
        <v>14</v>
      </c>
      <c r="D22" s="280"/>
      <c r="E22" s="280"/>
    </row>
    <row r="23" spans="1:5" ht="26">
      <c r="A23" s="389" t="s">
        <v>457</v>
      </c>
      <c r="B23" s="390" t="s">
        <v>458</v>
      </c>
      <c r="C23" s="391">
        <f t="shared" si="0"/>
        <v>15</v>
      </c>
      <c r="D23" s="280"/>
      <c r="E23" s="280"/>
    </row>
    <row r="24" spans="1:5">
      <c r="A24" s="389" t="s">
        <v>459</v>
      </c>
      <c r="B24" s="390" t="s">
        <v>460</v>
      </c>
      <c r="C24" s="391">
        <f t="shared" si="0"/>
        <v>16</v>
      </c>
      <c r="D24" s="280"/>
      <c r="E24" s="280"/>
    </row>
    <row r="25" spans="1:5">
      <c r="A25" s="389" t="s">
        <v>461</v>
      </c>
      <c r="B25" s="390" t="s">
        <v>462</v>
      </c>
      <c r="C25" s="391">
        <f t="shared" si="0"/>
        <v>17</v>
      </c>
      <c r="D25" s="280"/>
      <c r="E25" s="280"/>
    </row>
    <row r="26" spans="1:5">
      <c r="A26" s="389" t="s">
        <v>463</v>
      </c>
      <c r="B26" s="390" t="s">
        <v>464</v>
      </c>
      <c r="C26" s="391">
        <f t="shared" si="0"/>
        <v>18</v>
      </c>
      <c r="D26" s="280"/>
      <c r="E26" s="280"/>
    </row>
    <row r="27" spans="1:5">
      <c r="A27" s="389" t="s">
        <v>465</v>
      </c>
      <c r="B27" s="390" t="s">
        <v>466</v>
      </c>
      <c r="C27" s="391">
        <f t="shared" si="0"/>
        <v>19</v>
      </c>
      <c r="D27" s="280"/>
      <c r="E27" s="280"/>
    </row>
    <row r="28" spans="1:5">
      <c r="A28" s="389" t="s">
        <v>467</v>
      </c>
      <c r="B28" s="390" t="s">
        <v>468</v>
      </c>
      <c r="C28" s="391">
        <f t="shared" si="0"/>
        <v>20</v>
      </c>
      <c r="D28" s="280"/>
      <c r="E28" s="280"/>
    </row>
    <row r="29" spans="1:5">
      <c r="A29" s="389" t="s">
        <v>469</v>
      </c>
      <c r="B29" s="390" t="s">
        <v>470</v>
      </c>
      <c r="C29" s="391">
        <f t="shared" si="0"/>
        <v>21</v>
      </c>
      <c r="D29" s="280"/>
      <c r="E29" s="280"/>
    </row>
    <row r="30" spans="1:5" ht="26">
      <c r="A30" s="389" t="s">
        <v>471</v>
      </c>
      <c r="B30" s="390" t="s">
        <v>472</v>
      </c>
      <c r="C30" s="391">
        <f t="shared" si="0"/>
        <v>22</v>
      </c>
      <c r="D30" s="280"/>
      <c r="E30" s="280"/>
    </row>
    <row r="31" spans="1:5">
      <c r="A31" s="389" t="s">
        <v>473</v>
      </c>
      <c r="B31" s="390" t="s">
        <v>474</v>
      </c>
      <c r="C31" s="391">
        <f t="shared" si="0"/>
        <v>23</v>
      </c>
      <c r="D31" s="280"/>
      <c r="E31" s="280"/>
    </row>
    <row r="32" spans="1:5">
      <c r="A32" s="389" t="s">
        <v>475</v>
      </c>
      <c r="B32" s="390" t="s">
        <v>476</v>
      </c>
      <c r="C32" s="391">
        <f t="shared" si="0"/>
        <v>24</v>
      </c>
      <c r="D32" s="280"/>
      <c r="E32" s="280"/>
    </row>
    <row r="33" spans="1:5">
      <c r="A33" s="389" t="s">
        <v>477</v>
      </c>
      <c r="B33" s="390" t="s">
        <v>478</v>
      </c>
      <c r="C33" s="391">
        <f t="shared" si="0"/>
        <v>25</v>
      </c>
      <c r="D33" s="280"/>
      <c r="E33" s="280"/>
    </row>
    <row r="34" spans="1:5">
      <c r="A34" s="389" t="s">
        <v>479</v>
      </c>
      <c r="B34" s="390" t="s">
        <v>480</v>
      </c>
      <c r="C34" s="391">
        <f t="shared" si="0"/>
        <v>26</v>
      </c>
      <c r="D34" s="280"/>
      <c r="E34" s="280"/>
    </row>
    <row r="35" spans="1:5" s="388" customFormat="1" ht="26.5" thickBot="1">
      <c r="A35" s="392" t="s">
        <v>33</v>
      </c>
      <c r="B35" s="393" t="s">
        <v>481</v>
      </c>
      <c r="C35" s="394">
        <f t="shared" si="0"/>
        <v>27</v>
      </c>
      <c r="D35" s="415">
        <f>+D10-D18</f>
        <v>0</v>
      </c>
      <c r="E35" s="415">
        <f>+E10-E18</f>
        <v>0</v>
      </c>
    </row>
    <row r="36" spans="1:5" s="388" customFormat="1" ht="26">
      <c r="A36" s="395" t="s">
        <v>85</v>
      </c>
      <c r="B36" s="396" t="s">
        <v>482</v>
      </c>
      <c r="C36" s="397">
        <f t="shared" si="0"/>
        <v>28</v>
      </c>
      <c r="D36" s="416"/>
      <c r="E36" s="416"/>
    </row>
    <row r="37" spans="1:5" s="388" customFormat="1">
      <c r="A37" s="384" t="s">
        <v>87</v>
      </c>
      <c r="B37" s="385" t="s">
        <v>443</v>
      </c>
      <c r="C37" s="386">
        <f t="shared" si="0"/>
        <v>29</v>
      </c>
      <c r="D37" s="414">
        <f>+SUM(D38:D44)</f>
        <v>0</v>
      </c>
      <c r="E37" s="414">
        <f>+SUM(E38:E44)</f>
        <v>0</v>
      </c>
    </row>
    <row r="38" spans="1:5">
      <c r="A38" s="389" t="s">
        <v>89</v>
      </c>
      <c r="B38" s="390" t="s">
        <v>483</v>
      </c>
      <c r="C38" s="391">
        <f t="shared" si="0"/>
        <v>30</v>
      </c>
      <c r="D38" s="280"/>
      <c r="E38" s="280"/>
    </row>
    <row r="39" spans="1:5">
      <c r="A39" s="389" t="s">
        <v>99</v>
      </c>
      <c r="B39" s="390" t="s">
        <v>484</v>
      </c>
      <c r="C39" s="391">
        <f t="shared" si="0"/>
        <v>31</v>
      </c>
      <c r="D39" s="280"/>
      <c r="E39" s="280"/>
    </row>
    <row r="40" spans="1:5">
      <c r="A40" s="389" t="s">
        <v>115</v>
      </c>
      <c r="B40" s="390" t="s">
        <v>485</v>
      </c>
      <c r="C40" s="391">
        <f t="shared" si="0"/>
        <v>32</v>
      </c>
      <c r="D40" s="280"/>
      <c r="E40" s="280"/>
    </row>
    <row r="41" spans="1:5" ht="26">
      <c r="A41" s="389" t="s">
        <v>140</v>
      </c>
      <c r="B41" s="390" t="s">
        <v>486</v>
      </c>
      <c r="C41" s="391">
        <f t="shared" si="0"/>
        <v>33</v>
      </c>
      <c r="D41" s="280"/>
      <c r="E41" s="280"/>
    </row>
    <row r="42" spans="1:5" ht="26">
      <c r="A42" s="389" t="s">
        <v>142</v>
      </c>
      <c r="B42" s="390" t="s">
        <v>487</v>
      </c>
      <c r="C42" s="391">
        <f t="shared" si="0"/>
        <v>34</v>
      </c>
      <c r="D42" s="280"/>
      <c r="E42" s="280"/>
    </row>
    <row r="43" spans="1:5">
      <c r="A43" s="389" t="s">
        <v>144</v>
      </c>
      <c r="B43" s="390" t="s">
        <v>488</v>
      </c>
      <c r="C43" s="391">
        <f t="shared" si="0"/>
        <v>35</v>
      </c>
      <c r="D43" s="280"/>
      <c r="E43" s="280"/>
    </row>
    <row r="44" spans="1:5">
      <c r="A44" s="389" t="s">
        <v>146</v>
      </c>
      <c r="B44" s="390" t="s">
        <v>489</v>
      </c>
      <c r="C44" s="391">
        <f t="shared" si="0"/>
        <v>36</v>
      </c>
      <c r="D44" s="280"/>
      <c r="E44" s="280"/>
    </row>
    <row r="45" spans="1:5" s="388" customFormat="1">
      <c r="A45" s="384" t="s">
        <v>160</v>
      </c>
      <c r="B45" s="385" t="s">
        <v>452</v>
      </c>
      <c r="C45" s="386">
        <f t="shared" si="0"/>
        <v>37</v>
      </c>
      <c r="D45" s="414">
        <f>+SUM(D46:D50)</f>
        <v>0</v>
      </c>
      <c r="E45" s="414">
        <f>+SUM(E46:E50)</f>
        <v>0</v>
      </c>
    </row>
    <row r="46" spans="1:5">
      <c r="A46" s="389" t="s">
        <v>162</v>
      </c>
      <c r="B46" s="390" t="s">
        <v>490</v>
      </c>
      <c r="C46" s="391">
        <f t="shared" si="0"/>
        <v>38</v>
      </c>
      <c r="D46" s="280"/>
      <c r="E46" s="280"/>
    </row>
    <row r="47" spans="1:5">
      <c r="A47" s="389" t="s">
        <v>164</v>
      </c>
      <c r="B47" s="390" t="s">
        <v>491</v>
      </c>
      <c r="C47" s="391">
        <f t="shared" si="0"/>
        <v>39</v>
      </c>
      <c r="D47" s="280"/>
      <c r="E47" s="280"/>
    </row>
    <row r="48" spans="1:5">
      <c r="A48" s="389" t="s">
        <v>166</v>
      </c>
      <c r="B48" s="390" t="s">
        <v>492</v>
      </c>
      <c r="C48" s="391">
        <f t="shared" si="0"/>
        <v>40</v>
      </c>
      <c r="D48" s="280"/>
      <c r="E48" s="280"/>
    </row>
    <row r="49" spans="1:5" ht="26">
      <c r="A49" s="389" t="s">
        <v>168</v>
      </c>
      <c r="B49" s="390" t="s">
        <v>493</v>
      </c>
      <c r="C49" s="391">
        <f t="shared" si="0"/>
        <v>41</v>
      </c>
      <c r="D49" s="280"/>
      <c r="E49" s="280"/>
    </row>
    <row r="50" spans="1:5">
      <c r="A50" s="389" t="s">
        <v>170</v>
      </c>
      <c r="B50" s="390" t="s">
        <v>494</v>
      </c>
      <c r="C50" s="391">
        <f t="shared" si="0"/>
        <v>42</v>
      </c>
      <c r="D50" s="280"/>
      <c r="E50" s="280"/>
    </row>
    <row r="51" spans="1:5" s="388" customFormat="1" ht="26.5" thickBot="1">
      <c r="A51" s="392" t="s">
        <v>180</v>
      </c>
      <c r="B51" s="393" t="s">
        <v>495</v>
      </c>
      <c r="C51" s="394">
        <f t="shared" si="0"/>
        <v>43</v>
      </c>
      <c r="D51" s="415">
        <f>+D37-D45</f>
        <v>0</v>
      </c>
      <c r="E51" s="415">
        <f>+E37-E45</f>
        <v>0</v>
      </c>
    </row>
    <row r="52" spans="1:5" s="388" customFormat="1" ht="26">
      <c r="A52" s="395">
        <v>3</v>
      </c>
      <c r="B52" s="396" t="s">
        <v>496</v>
      </c>
      <c r="C52" s="397">
        <f t="shared" si="0"/>
        <v>44</v>
      </c>
      <c r="D52" s="416"/>
      <c r="E52" s="416"/>
    </row>
    <row r="53" spans="1:5" s="388" customFormat="1">
      <c r="A53" s="384" t="s">
        <v>361</v>
      </c>
      <c r="B53" s="385" t="s">
        <v>443</v>
      </c>
      <c r="C53" s="386">
        <f t="shared" si="0"/>
        <v>45</v>
      </c>
      <c r="D53" s="414">
        <f>+SUM(D54:D57)</f>
        <v>0</v>
      </c>
      <c r="E53" s="414">
        <f>+SUM(E54:E57)</f>
        <v>0</v>
      </c>
    </row>
    <row r="54" spans="1:5" ht="26">
      <c r="A54" s="389" t="s">
        <v>497</v>
      </c>
      <c r="B54" s="390" t="s">
        <v>498</v>
      </c>
      <c r="C54" s="391">
        <f t="shared" si="0"/>
        <v>46</v>
      </c>
      <c r="D54" s="280"/>
      <c r="E54" s="280"/>
    </row>
    <row r="55" spans="1:5" ht="26">
      <c r="A55" s="389" t="s">
        <v>499</v>
      </c>
      <c r="B55" s="390" t="s">
        <v>500</v>
      </c>
      <c r="C55" s="391">
        <f t="shared" si="0"/>
        <v>47</v>
      </c>
      <c r="D55" s="280"/>
      <c r="E55" s="280"/>
    </row>
    <row r="56" spans="1:5">
      <c r="A56" s="389" t="s">
        <v>501</v>
      </c>
      <c r="B56" s="390" t="s">
        <v>502</v>
      </c>
      <c r="C56" s="391">
        <f t="shared" si="0"/>
        <v>48</v>
      </c>
      <c r="D56" s="280"/>
      <c r="E56" s="280"/>
    </row>
    <row r="57" spans="1:5">
      <c r="A57" s="389" t="s">
        <v>503</v>
      </c>
      <c r="B57" s="390" t="s">
        <v>288</v>
      </c>
      <c r="C57" s="391"/>
      <c r="D57" s="280"/>
      <c r="E57" s="280"/>
    </row>
    <row r="58" spans="1:5" s="388" customFormat="1">
      <c r="A58" s="384" t="s">
        <v>363</v>
      </c>
      <c r="B58" s="385" t="s">
        <v>452</v>
      </c>
      <c r="C58" s="386">
        <f>+C56+1</f>
        <v>49</v>
      </c>
      <c r="D58" s="414">
        <f>+SUM(D59:D63)</f>
        <v>0</v>
      </c>
      <c r="E58" s="414">
        <f>+SUM(E59:E63)</f>
        <v>0</v>
      </c>
    </row>
    <row r="59" spans="1:5" ht="26">
      <c r="A59" s="389" t="s">
        <v>504</v>
      </c>
      <c r="B59" s="390" t="s">
        <v>505</v>
      </c>
      <c r="C59" s="391">
        <f t="shared" si="0"/>
        <v>50</v>
      </c>
      <c r="D59" s="280"/>
      <c r="E59" s="280"/>
    </row>
    <row r="60" spans="1:5">
      <c r="A60" s="389" t="s">
        <v>506</v>
      </c>
      <c r="B60" s="390" t="s">
        <v>507</v>
      </c>
      <c r="C60" s="391">
        <f t="shared" si="0"/>
        <v>51</v>
      </c>
      <c r="D60" s="280"/>
      <c r="E60" s="280"/>
    </row>
    <row r="61" spans="1:5">
      <c r="A61" s="389" t="s">
        <v>508</v>
      </c>
      <c r="B61" s="390" t="s">
        <v>509</v>
      </c>
      <c r="C61" s="391">
        <f t="shared" si="0"/>
        <v>52</v>
      </c>
      <c r="D61" s="280"/>
      <c r="E61" s="280"/>
    </row>
    <row r="62" spans="1:5">
      <c r="A62" s="389" t="s">
        <v>510</v>
      </c>
      <c r="B62" s="390" t="s">
        <v>511</v>
      </c>
      <c r="C62" s="391">
        <f t="shared" si="0"/>
        <v>53</v>
      </c>
      <c r="D62" s="280"/>
      <c r="E62" s="280"/>
    </row>
    <row r="63" spans="1:5">
      <c r="A63" s="389" t="s">
        <v>512</v>
      </c>
      <c r="B63" s="398" t="s">
        <v>288</v>
      </c>
      <c r="C63" s="399"/>
      <c r="D63" s="280"/>
      <c r="E63" s="280"/>
    </row>
    <row r="64" spans="1:5" s="388" customFormat="1" ht="26.5" thickBot="1">
      <c r="A64" s="392" t="s">
        <v>365</v>
      </c>
      <c r="B64" s="400" t="s">
        <v>513</v>
      </c>
      <c r="C64" s="401">
        <f>+C62+1</f>
        <v>54</v>
      </c>
      <c r="D64" s="417">
        <f>+D53-D58</f>
        <v>0</v>
      </c>
      <c r="E64" s="417">
        <f>+E53-E58</f>
        <v>0</v>
      </c>
    </row>
    <row r="65" spans="1:21" s="388" customFormat="1" ht="13.5" thickBot="1">
      <c r="A65" s="402">
        <v>4</v>
      </c>
      <c r="B65" s="403" t="s">
        <v>514</v>
      </c>
      <c r="C65" s="404">
        <f t="shared" si="0"/>
        <v>55</v>
      </c>
      <c r="D65" s="418">
        <f>+D35+D51+D64</f>
        <v>0</v>
      </c>
      <c r="E65" s="418">
        <f>+E35+E51+E64</f>
        <v>0</v>
      </c>
    </row>
    <row r="66" spans="1:21" s="388" customFormat="1" ht="26.5" thickBot="1">
      <c r="A66" s="405">
        <v>5</v>
      </c>
      <c r="B66" s="403" t="s">
        <v>515</v>
      </c>
      <c r="C66" s="404">
        <f t="shared" si="0"/>
        <v>56</v>
      </c>
      <c r="D66" s="837"/>
      <c r="E66" s="418">
        <f>+D67</f>
        <v>0</v>
      </c>
    </row>
    <row r="67" spans="1:21" s="388" customFormat="1" ht="26.5" thickBot="1">
      <c r="A67" s="405">
        <v>6</v>
      </c>
      <c r="B67" s="406" t="s">
        <v>516</v>
      </c>
      <c r="C67" s="407">
        <f t="shared" si="0"/>
        <v>57</v>
      </c>
      <c r="D67" s="419">
        <f>+D65+D66</f>
        <v>0</v>
      </c>
      <c r="E67" s="419">
        <f>+E65+E66</f>
        <v>0</v>
      </c>
    </row>
    <row r="68" spans="1:21" ht="25.5" customHeight="1">
      <c r="D68" s="730" t="str">
        <f>IF(D67=i.04101!D16,"","ДҮН ЗӨРҮҮТЭЙ БАЙНА:")</f>
        <v/>
      </c>
      <c r="E68" s="730" t="str">
        <f>IF(E67=i.04101!E16,"","ДҮН ЗӨРҮҮТЭЙ БАЙНА:")</f>
        <v/>
      </c>
    </row>
    <row r="69" spans="1:21">
      <c r="D69" s="729">
        <f>+D67-i.04101!D16</f>
        <v>0</v>
      </c>
      <c r="E69" s="729">
        <f>+E67-i.04101!E16</f>
        <v>0</v>
      </c>
    </row>
    <row r="71" spans="1:21">
      <c r="A71" s="412"/>
      <c r="B71" s="420" t="str">
        <f>+i.04108!C32</f>
        <v>тамга тэмдэг</v>
      </c>
      <c r="C71" s="412"/>
      <c r="D71" s="412"/>
      <c r="E71" s="412"/>
    </row>
    <row r="72" spans="1:21" s="34" customFormat="1" ht="15" customHeight="1">
      <c r="A72" s="412"/>
      <c r="B72" s="412"/>
      <c r="C72" s="412"/>
      <c r="D72" s="412"/>
      <c r="E72" s="412"/>
    </row>
    <row r="73" spans="1:21" s="34" customFormat="1" ht="15" customHeight="1">
      <c r="A73" s="408"/>
      <c r="B73" s="412" t="str">
        <f>+i.04108!C34</f>
        <v xml:space="preserve">ТАЙЛАН ГАРГАСАН:    </v>
      </c>
      <c r="C73" s="412"/>
      <c r="D73" s="412"/>
      <c r="E73" s="412"/>
    </row>
    <row r="74" spans="1:21" s="318" customFormat="1" ht="14.5">
      <c r="A74" s="412"/>
      <c r="B74" s="412"/>
      <c r="C74" s="412"/>
      <c r="D74" s="412"/>
      <c r="E74" s="41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</row>
    <row r="75" spans="1:21" s="318" customFormat="1" ht="14.5">
      <c r="A75" s="412"/>
      <c r="B75" s="412" t="str">
        <f>+i.04108!C36</f>
        <v xml:space="preserve"> Гүйцэтгэх захирал</v>
      </c>
      <c r="C75" s="412" t="str">
        <f>+i.04108!D36</f>
        <v xml:space="preserve">/................................../   </v>
      </c>
      <c r="D75" s="412"/>
      <c r="E75" s="412" t="str">
        <f>+i.04108!F36</f>
        <v>/................................./</v>
      </c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</row>
    <row r="76" spans="1:21" s="318" customFormat="1" ht="14.5">
      <c r="A76" s="49"/>
      <c r="B76" s="412"/>
      <c r="C76" s="412"/>
      <c r="D76" s="412"/>
      <c r="E76" s="41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</row>
    <row r="77" spans="1:21" s="318" customFormat="1" ht="14.5">
      <c r="A77" s="32"/>
      <c r="B77" s="412" t="str">
        <f>+i.04108!C38</f>
        <v xml:space="preserve"> Ерөнхий нягтлан бодогч  </v>
      </c>
      <c r="C77" s="412" t="str">
        <f>+i.04108!D38</f>
        <v xml:space="preserve">/.................................../   </v>
      </c>
      <c r="D77" s="412"/>
      <c r="E77" s="412" t="str">
        <f>+i.04108!F38</f>
        <v>/................................/</v>
      </c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</row>
    <row r="78" spans="1:21">
      <c r="B78" s="412"/>
      <c r="C78" s="412"/>
      <c r="D78" s="412"/>
      <c r="E78" s="412"/>
    </row>
    <row r="79" spans="1:21">
      <c r="B79" s="412" t="str">
        <f>+i.04108!C40</f>
        <v>...................................................</v>
      </c>
      <c r="C79" s="412" t="str">
        <f>+i.04108!D40</f>
        <v xml:space="preserve">/................................../   </v>
      </c>
      <c r="D79" s="412"/>
      <c r="E79" s="412" t="str">
        <f>+i.04108!F40</f>
        <v>/................................/</v>
      </c>
    </row>
    <row r="80" spans="1:21">
      <c r="B80" s="412"/>
    </row>
    <row r="81" spans="2:2">
      <c r="B81" s="412"/>
    </row>
    <row r="82" spans="2:2">
      <c r="B82" s="412"/>
    </row>
    <row r="83" spans="2:2">
      <c r="B83" s="412"/>
    </row>
    <row r="84" spans="2:2">
      <c r="B84" s="412"/>
    </row>
    <row r="85" spans="2:2">
      <c r="B85" s="412"/>
    </row>
  </sheetData>
  <sheetProtection password="CA9F" sheet="1"/>
  <mergeCells count="4">
    <mergeCell ref="C1:E1"/>
    <mergeCell ref="A3:E3"/>
    <mergeCell ref="A5:B5"/>
    <mergeCell ref="C5:E5"/>
  </mergeCells>
  <dataValidations count="1">
    <dataValidation type="decimal" allowBlank="1" showInputMessage="1" showErrorMessage="1" sqref="D9:E67">
      <formula1>0</formula1>
      <formula2>1E+38</formula2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Z1012"/>
  <sheetViews>
    <sheetView topLeftCell="A67" workbookViewId="0">
      <selection activeCell="D79" sqref="D79:E79"/>
    </sheetView>
  </sheetViews>
  <sheetFormatPr defaultColWidth="15.1796875" defaultRowHeight="13"/>
  <cols>
    <col min="1" max="1" width="4.81640625" style="444" customWidth="1"/>
    <col min="2" max="2" width="26" style="227" customWidth="1"/>
    <col min="3" max="3" width="7.26953125" style="225" customWidth="1"/>
    <col min="4" max="6" width="15.54296875" style="225" customWidth="1"/>
    <col min="7" max="26" width="7.453125" style="225" customWidth="1"/>
    <col min="27" max="16384" width="15.1796875" style="225"/>
  </cols>
  <sheetData>
    <row r="1" spans="1:26" s="34" customFormat="1" ht="14.25" customHeight="1">
      <c r="A1" s="373"/>
      <c r="B1" s="47"/>
      <c r="C1" s="1059" t="s">
        <v>1001</v>
      </c>
      <c r="D1" s="1059"/>
      <c r="E1" s="1059"/>
      <c r="F1" s="1059"/>
      <c r="G1" s="1059"/>
      <c r="H1" s="288"/>
    </row>
    <row r="2" spans="1:26">
      <c r="A2" s="421"/>
      <c r="B2" s="422"/>
      <c r="C2" s="1059"/>
      <c r="D2" s="1059"/>
      <c r="E2" s="1059"/>
      <c r="F2" s="1059"/>
      <c r="G2" s="1059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>
      <c r="A3" s="1055" t="s">
        <v>517</v>
      </c>
      <c r="B3" s="1056"/>
      <c r="C3" s="1056"/>
      <c r="D3" s="1056"/>
      <c r="E3" s="1056"/>
      <c r="F3" s="1056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>
      <c r="A4" s="423"/>
      <c r="B4" s="424"/>
      <c r="C4" s="424"/>
      <c r="D4" s="424"/>
      <c r="E4" s="424"/>
      <c r="F4" s="424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>
      <c r="A5" s="1050" t="str">
        <f>+i.04108!A7</f>
        <v>Даатгагчийн нэр:</v>
      </c>
      <c r="B5" s="1057"/>
      <c r="C5" s="377"/>
      <c r="D5" s="1042" t="str">
        <f>+i.04108!F7</f>
        <v>..... оны .... сарын ...-ны өдөр</v>
      </c>
      <c r="E5" s="1042"/>
      <c r="F5" s="1042"/>
      <c r="G5" s="10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>
      <c r="A6" s="423"/>
      <c r="C6" s="242"/>
      <c r="D6" s="299"/>
      <c r="E6" s="299"/>
      <c r="F6" s="299"/>
      <c r="G6" s="290" t="s">
        <v>1</v>
      </c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ht="39">
      <c r="A7" s="425"/>
      <c r="B7" s="426" t="s">
        <v>3</v>
      </c>
      <c r="C7" s="427" t="s">
        <v>4</v>
      </c>
      <c r="D7" s="428" t="s">
        <v>12</v>
      </c>
      <c r="E7" s="428" t="s">
        <v>56</v>
      </c>
      <c r="F7" s="428" t="s">
        <v>518</v>
      </c>
      <c r="G7" s="428" t="s">
        <v>519</v>
      </c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6">
      <c r="A8" s="429" t="s">
        <v>6</v>
      </c>
      <c r="B8" s="428" t="s">
        <v>7</v>
      </c>
      <c r="C8" s="428" t="s">
        <v>8</v>
      </c>
      <c r="D8" s="428">
        <v>1</v>
      </c>
      <c r="E8" s="428">
        <v>2</v>
      </c>
      <c r="F8" s="430">
        <v>3</v>
      </c>
      <c r="G8" s="428">
        <v>4</v>
      </c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  <row r="9" spans="1:26">
      <c r="A9" s="425">
        <v>1</v>
      </c>
      <c r="B9" s="426" t="s">
        <v>14</v>
      </c>
      <c r="C9" s="428">
        <v>1</v>
      </c>
      <c r="D9" s="449">
        <v>0</v>
      </c>
      <c r="E9" s="449"/>
      <c r="F9" s="450">
        <f>SUM(D9+E9)</f>
        <v>0</v>
      </c>
      <c r="G9" s="454" t="e">
        <f t="shared" ref="G9:G40" si="0">F9/$F$99</f>
        <v>#DIV/0!</v>
      </c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</row>
    <row r="10" spans="1:26" ht="26">
      <c r="A10" s="425">
        <v>2</v>
      </c>
      <c r="B10" s="433" t="s">
        <v>1034</v>
      </c>
      <c r="C10" s="428">
        <f>C9+1</f>
        <v>2</v>
      </c>
      <c r="D10" s="451">
        <f>SUM(D11:D23)</f>
        <v>0</v>
      </c>
      <c r="E10" s="451">
        <f>SUM(E11:E23)</f>
        <v>0</v>
      </c>
      <c r="F10" s="450">
        <f>SUM(D10+E10)</f>
        <v>0</v>
      </c>
      <c r="G10" s="454" t="e">
        <f t="shared" si="0"/>
        <v>#DIV/0!</v>
      </c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</row>
    <row r="11" spans="1:26">
      <c r="A11" s="434" t="s">
        <v>87</v>
      </c>
      <c r="B11" s="435" t="str">
        <f>"Ариг банк"</f>
        <v>Ариг банк</v>
      </c>
      <c r="C11" s="436">
        <f t="shared" ref="C11:C65" si="1">C10+1</f>
        <v>3</v>
      </c>
      <c r="D11" s="854"/>
      <c r="E11" s="838"/>
      <c r="F11" s="855">
        <f>SUM(D11+E11)</f>
        <v>0</v>
      </c>
      <c r="G11" s="454" t="e">
        <f t="shared" si="0"/>
        <v>#DIV/0!</v>
      </c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</row>
    <row r="12" spans="1:26">
      <c r="A12" s="434" t="s">
        <v>160</v>
      </c>
      <c r="B12" s="435" t="str">
        <f>"Богд банк"</f>
        <v>Богд банк</v>
      </c>
      <c r="C12" s="436">
        <f t="shared" si="1"/>
        <v>4</v>
      </c>
      <c r="D12" s="854"/>
      <c r="E12" s="838"/>
      <c r="F12" s="855">
        <f t="shared" ref="F12:F65" si="2">SUM(D12+E12)</f>
        <v>0</v>
      </c>
      <c r="G12" s="454" t="e">
        <f t="shared" si="0"/>
        <v>#DIV/0!</v>
      </c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</row>
    <row r="13" spans="1:26">
      <c r="A13" s="434" t="s">
        <v>180</v>
      </c>
      <c r="B13" s="435" t="str">
        <f>"Голомт банк"</f>
        <v>Голомт банк</v>
      </c>
      <c r="C13" s="436">
        <f t="shared" si="1"/>
        <v>5</v>
      </c>
      <c r="D13" s="854"/>
      <c r="E13" s="838"/>
      <c r="F13" s="855">
        <f t="shared" si="2"/>
        <v>0</v>
      </c>
      <c r="G13" s="454" t="e">
        <f t="shared" si="0"/>
        <v>#DIV/0!</v>
      </c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</row>
    <row r="14" spans="1:26">
      <c r="A14" s="434" t="s">
        <v>547</v>
      </c>
      <c r="B14" s="435" t="str">
        <f>"Капитрон банк"</f>
        <v>Капитрон банк</v>
      </c>
      <c r="C14" s="436">
        <f t="shared" si="1"/>
        <v>6</v>
      </c>
      <c r="D14" s="854"/>
      <c r="E14" s="838"/>
      <c r="F14" s="855">
        <f t="shared" si="2"/>
        <v>0</v>
      </c>
      <c r="G14" s="454" t="e">
        <f t="shared" si="0"/>
        <v>#DIV/0!</v>
      </c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</row>
    <row r="15" spans="1:26">
      <c r="A15" s="434" t="s">
        <v>548</v>
      </c>
      <c r="B15" s="435" t="str">
        <f>"Кредит банк"</f>
        <v>Кредит банк</v>
      </c>
      <c r="C15" s="436">
        <f t="shared" si="1"/>
        <v>7</v>
      </c>
      <c r="D15" s="854"/>
      <c r="E15" s="838"/>
      <c r="F15" s="855">
        <f>SUM(D15+E15)</f>
        <v>0</v>
      </c>
      <c r="G15" s="454" t="e">
        <f t="shared" si="0"/>
        <v>#DIV/0!</v>
      </c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 spans="1:26">
      <c r="A16" s="434" t="s">
        <v>549</v>
      </c>
      <c r="B16" s="435" t="str">
        <f>"Төрийн банк"</f>
        <v>Төрийн банк</v>
      </c>
      <c r="C16" s="436">
        <f t="shared" si="1"/>
        <v>8</v>
      </c>
      <c r="D16" s="854"/>
      <c r="E16" s="838"/>
      <c r="F16" s="855">
        <f t="shared" si="2"/>
        <v>0</v>
      </c>
      <c r="G16" s="454" t="e">
        <f t="shared" si="0"/>
        <v>#DIV/0!</v>
      </c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 spans="1:26">
      <c r="A17" s="434" t="s">
        <v>550</v>
      </c>
      <c r="B17" s="435" t="str">
        <f>"Тээвэр Хөгжлийн банк"</f>
        <v>Тээвэр Хөгжлийн банк</v>
      </c>
      <c r="C17" s="436">
        <f t="shared" si="1"/>
        <v>9</v>
      </c>
      <c r="D17" s="854"/>
      <c r="E17" s="838"/>
      <c r="F17" s="855">
        <f t="shared" si="2"/>
        <v>0</v>
      </c>
      <c r="G17" s="454" t="e">
        <f t="shared" si="0"/>
        <v>#DIV/0!</v>
      </c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1:26">
      <c r="A18" s="434" t="s">
        <v>551</v>
      </c>
      <c r="B18" s="435" t="str">
        <f>"Улаанбаатар хотын банк"</f>
        <v>Улаанбаатар хотын банк</v>
      </c>
      <c r="C18" s="436">
        <f t="shared" si="1"/>
        <v>10</v>
      </c>
      <c r="D18" s="854"/>
      <c r="E18" s="838"/>
      <c r="F18" s="855">
        <f t="shared" si="2"/>
        <v>0</v>
      </c>
      <c r="G18" s="454" t="e">
        <f t="shared" si="0"/>
        <v>#DIV/0!</v>
      </c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</row>
    <row r="19" spans="1:26" ht="26">
      <c r="A19" s="434" t="s">
        <v>552</v>
      </c>
      <c r="B19" s="435" t="str">
        <f>"Үндэсний хөрөнгө оруулалтын банк"</f>
        <v>Үндэсний хөрөнгө оруулалтын банк</v>
      </c>
      <c r="C19" s="436">
        <f t="shared" si="1"/>
        <v>11</v>
      </c>
      <c r="D19" s="854"/>
      <c r="E19" s="838"/>
      <c r="F19" s="855">
        <f t="shared" si="2"/>
        <v>0</v>
      </c>
      <c r="G19" s="454" t="e">
        <f t="shared" si="0"/>
        <v>#DIV/0!</v>
      </c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1:26">
      <c r="A20" s="434" t="s">
        <v>553</v>
      </c>
      <c r="B20" s="435" t="str">
        <f>"Хаан банк"</f>
        <v>Хаан банк</v>
      </c>
      <c r="C20" s="436">
        <f t="shared" si="1"/>
        <v>12</v>
      </c>
      <c r="D20" s="854"/>
      <c r="E20" s="838"/>
      <c r="F20" s="855">
        <f t="shared" si="2"/>
        <v>0</v>
      </c>
      <c r="G20" s="454" t="e">
        <f t="shared" si="0"/>
        <v>#DIV/0!</v>
      </c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</row>
    <row r="21" spans="1:26">
      <c r="A21" s="434" t="s">
        <v>554</v>
      </c>
      <c r="B21" s="435" t="str">
        <f>"Хас банк"</f>
        <v>Хас банк</v>
      </c>
      <c r="C21" s="436">
        <f t="shared" si="1"/>
        <v>13</v>
      </c>
      <c r="D21" s="854"/>
      <c r="E21" s="838"/>
      <c r="F21" s="855">
        <f t="shared" si="2"/>
        <v>0</v>
      </c>
      <c r="G21" s="454" t="e">
        <f t="shared" si="0"/>
        <v>#DIV/0!</v>
      </c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</row>
    <row r="22" spans="1:26">
      <c r="A22" s="434" t="s">
        <v>555</v>
      </c>
      <c r="B22" s="435" t="str">
        <f>"Худалдаа хөгжлийн банк"</f>
        <v>Худалдаа хөгжлийн банк</v>
      </c>
      <c r="C22" s="436">
        <f t="shared" si="1"/>
        <v>14</v>
      </c>
      <c r="D22" s="854"/>
      <c r="E22" s="838"/>
      <c r="F22" s="855">
        <f t="shared" si="2"/>
        <v>0</v>
      </c>
      <c r="G22" s="454" t="e">
        <f t="shared" si="0"/>
        <v>#DIV/0!</v>
      </c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</row>
    <row r="23" spans="1:26">
      <c r="A23" s="434" t="s">
        <v>556</v>
      </c>
      <c r="B23" s="435" t="str">
        <f>"Чингис хаан банк"</f>
        <v>Чингис хаан банк</v>
      </c>
      <c r="C23" s="436">
        <f t="shared" si="1"/>
        <v>15</v>
      </c>
      <c r="D23" s="854"/>
      <c r="E23" s="838"/>
      <c r="F23" s="855">
        <f t="shared" si="2"/>
        <v>0</v>
      </c>
      <c r="G23" s="454" t="e">
        <f t="shared" si="0"/>
        <v>#DIV/0!</v>
      </c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39">
      <c r="A24" s="425">
        <f>+A10+1</f>
        <v>3</v>
      </c>
      <c r="B24" s="433" t="s">
        <v>1035</v>
      </c>
      <c r="C24" s="428">
        <f>+C23+1</f>
        <v>16</v>
      </c>
      <c r="D24" s="451">
        <f>SUM(D25:D37)</f>
        <v>0</v>
      </c>
      <c r="E24" s="451">
        <f>SUM(E25:E37)</f>
        <v>0</v>
      </c>
      <c r="F24" s="450">
        <f t="shared" si="2"/>
        <v>0</v>
      </c>
      <c r="G24" s="454" t="e">
        <f t="shared" si="0"/>
        <v>#DIV/0!</v>
      </c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</row>
    <row r="25" spans="1:26">
      <c r="A25" s="434" t="s">
        <v>361</v>
      </c>
      <c r="B25" s="435" t="str">
        <f>"Ариг банк"</f>
        <v>Ариг банк</v>
      </c>
      <c r="C25" s="436">
        <f t="shared" si="1"/>
        <v>17</v>
      </c>
      <c r="D25" s="854"/>
      <c r="E25" s="856"/>
      <c r="F25" s="855">
        <f t="shared" si="2"/>
        <v>0</v>
      </c>
      <c r="G25" s="454" t="e">
        <f t="shared" si="0"/>
        <v>#DIV/0!</v>
      </c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</row>
    <row r="26" spans="1:26">
      <c r="A26" s="434" t="s">
        <v>363</v>
      </c>
      <c r="B26" s="435" t="str">
        <f>"Богд банк"</f>
        <v>Богд банк</v>
      </c>
      <c r="C26" s="436">
        <f t="shared" si="1"/>
        <v>18</v>
      </c>
      <c r="D26" s="854"/>
      <c r="E26" s="856"/>
      <c r="F26" s="855">
        <f t="shared" si="2"/>
        <v>0</v>
      </c>
      <c r="G26" s="454" t="e">
        <f t="shared" si="0"/>
        <v>#DIV/0!</v>
      </c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</row>
    <row r="27" spans="1:26">
      <c r="A27" s="434" t="s">
        <v>365</v>
      </c>
      <c r="B27" s="435" t="str">
        <f>"Голомт банк"</f>
        <v>Голомт банк</v>
      </c>
      <c r="C27" s="436">
        <f t="shared" si="1"/>
        <v>19</v>
      </c>
      <c r="D27" s="854"/>
      <c r="E27" s="856"/>
      <c r="F27" s="855">
        <f t="shared" si="2"/>
        <v>0</v>
      </c>
      <c r="G27" s="454" t="e">
        <f t="shared" si="0"/>
        <v>#DIV/0!</v>
      </c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</row>
    <row r="28" spans="1:26">
      <c r="A28" s="434" t="s">
        <v>557</v>
      </c>
      <c r="B28" s="435" t="str">
        <f>"Капитрон банк"</f>
        <v>Капитрон банк</v>
      </c>
      <c r="C28" s="436">
        <f t="shared" si="1"/>
        <v>20</v>
      </c>
      <c r="D28" s="854"/>
      <c r="E28" s="856"/>
      <c r="F28" s="855">
        <f t="shared" si="2"/>
        <v>0</v>
      </c>
      <c r="G28" s="454" t="e">
        <f t="shared" si="0"/>
        <v>#DIV/0!</v>
      </c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</row>
    <row r="29" spans="1:26">
      <c r="A29" s="434" t="s">
        <v>558</v>
      </c>
      <c r="B29" s="435" t="str">
        <f>"Кредит банк"</f>
        <v>Кредит банк</v>
      </c>
      <c r="C29" s="436">
        <f t="shared" si="1"/>
        <v>21</v>
      </c>
      <c r="D29" s="854"/>
      <c r="E29" s="856"/>
      <c r="F29" s="855">
        <f t="shared" si="2"/>
        <v>0</v>
      </c>
      <c r="G29" s="454" t="e">
        <f t="shared" si="0"/>
        <v>#DIV/0!</v>
      </c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</row>
    <row r="30" spans="1:26">
      <c r="A30" s="434" t="s">
        <v>559</v>
      </c>
      <c r="B30" s="435" t="str">
        <f>"Төрийн банк"</f>
        <v>Төрийн банк</v>
      </c>
      <c r="C30" s="436">
        <f t="shared" si="1"/>
        <v>22</v>
      </c>
      <c r="D30" s="854"/>
      <c r="E30" s="856"/>
      <c r="F30" s="855">
        <f t="shared" si="2"/>
        <v>0</v>
      </c>
      <c r="G30" s="454" t="e">
        <f t="shared" si="0"/>
        <v>#DIV/0!</v>
      </c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</row>
    <row r="31" spans="1:26">
      <c r="A31" s="434" t="s">
        <v>560</v>
      </c>
      <c r="B31" s="435" t="str">
        <f>"Тээвэр Хөгжлийн банк"</f>
        <v>Тээвэр Хөгжлийн банк</v>
      </c>
      <c r="C31" s="436">
        <f t="shared" si="1"/>
        <v>23</v>
      </c>
      <c r="D31" s="854"/>
      <c r="E31" s="856"/>
      <c r="F31" s="855">
        <f t="shared" si="2"/>
        <v>0</v>
      </c>
      <c r="G31" s="454" t="e">
        <f t="shared" si="0"/>
        <v>#DIV/0!</v>
      </c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</row>
    <row r="32" spans="1:26">
      <c r="A32" s="434" t="s">
        <v>561</v>
      </c>
      <c r="B32" s="435" t="str">
        <f>"Улаанбаатар хотын банк"</f>
        <v>Улаанбаатар хотын банк</v>
      </c>
      <c r="C32" s="436">
        <f t="shared" si="1"/>
        <v>24</v>
      </c>
      <c r="D32" s="854"/>
      <c r="E32" s="856"/>
      <c r="F32" s="855">
        <f t="shared" si="2"/>
        <v>0</v>
      </c>
      <c r="G32" s="454" t="e">
        <f t="shared" si="0"/>
        <v>#DIV/0!</v>
      </c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</row>
    <row r="33" spans="1:26" ht="26">
      <c r="A33" s="434" t="s">
        <v>562</v>
      </c>
      <c r="B33" s="435" t="str">
        <f>"Үндэсний хөрөнгө оруулалтын банк"</f>
        <v>Үндэсний хөрөнгө оруулалтын банк</v>
      </c>
      <c r="C33" s="436">
        <f t="shared" si="1"/>
        <v>25</v>
      </c>
      <c r="D33" s="854"/>
      <c r="E33" s="856"/>
      <c r="F33" s="855">
        <f t="shared" si="2"/>
        <v>0</v>
      </c>
      <c r="G33" s="454" t="e">
        <f t="shared" si="0"/>
        <v>#DIV/0!</v>
      </c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</row>
    <row r="34" spans="1:26">
      <c r="A34" s="434" t="s">
        <v>563</v>
      </c>
      <c r="B34" s="435" t="str">
        <f>"Хаан банк"</f>
        <v>Хаан банк</v>
      </c>
      <c r="C34" s="436">
        <f t="shared" si="1"/>
        <v>26</v>
      </c>
      <c r="D34" s="854"/>
      <c r="E34" s="856"/>
      <c r="F34" s="855">
        <f t="shared" si="2"/>
        <v>0</v>
      </c>
      <c r="G34" s="454" t="e">
        <f t="shared" si="0"/>
        <v>#DIV/0!</v>
      </c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</row>
    <row r="35" spans="1:26">
      <c r="A35" s="434" t="s">
        <v>564</v>
      </c>
      <c r="B35" s="435" t="str">
        <f>"Хас банк"</f>
        <v>Хас банк</v>
      </c>
      <c r="C35" s="436">
        <f t="shared" si="1"/>
        <v>27</v>
      </c>
      <c r="D35" s="854"/>
      <c r="E35" s="856"/>
      <c r="F35" s="855">
        <f t="shared" si="2"/>
        <v>0</v>
      </c>
      <c r="G35" s="454" t="e">
        <f t="shared" si="0"/>
        <v>#DIV/0!</v>
      </c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</row>
    <row r="36" spans="1:26">
      <c r="A36" s="434" t="s">
        <v>565</v>
      </c>
      <c r="B36" s="435" t="str">
        <f>"Худалдаа хөгжлийн банк"</f>
        <v>Худалдаа хөгжлийн банк</v>
      </c>
      <c r="C36" s="436">
        <f t="shared" si="1"/>
        <v>28</v>
      </c>
      <c r="D36" s="854"/>
      <c r="E36" s="856"/>
      <c r="F36" s="855">
        <f t="shared" si="2"/>
        <v>0</v>
      </c>
      <c r="G36" s="454" t="e">
        <f t="shared" si="0"/>
        <v>#DIV/0!</v>
      </c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</row>
    <row r="37" spans="1:26">
      <c r="A37" s="434" t="s">
        <v>566</v>
      </c>
      <c r="B37" s="435" t="str">
        <f>"Чингис хаан банк"</f>
        <v>Чингис хаан банк</v>
      </c>
      <c r="C37" s="436">
        <f t="shared" si="1"/>
        <v>29</v>
      </c>
      <c r="D37" s="854"/>
      <c r="E37" s="856"/>
      <c r="F37" s="855">
        <f t="shared" si="2"/>
        <v>0</v>
      </c>
      <c r="G37" s="454" t="e">
        <f t="shared" si="0"/>
        <v>#DIV/0!</v>
      </c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</row>
    <row r="38" spans="1:26" ht="24" customHeight="1">
      <c r="A38" s="425">
        <v>4</v>
      </c>
      <c r="B38" s="433" t="s">
        <v>1036</v>
      </c>
      <c r="C38" s="428">
        <f>+C37+1</f>
        <v>30</v>
      </c>
      <c r="D38" s="451">
        <f>SUM(D39:D51)</f>
        <v>0</v>
      </c>
      <c r="E38" s="451">
        <f>SUM(E39:E51)</f>
        <v>0</v>
      </c>
      <c r="F38" s="450">
        <f t="shared" si="2"/>
        <v>0</v>
      </c>
      <c r="G38" s="454" t="e">
        <f t="shared" si="0"/>
        <v>#DIV/0!</v>
      </c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</row>
    <row r="39" spans="1:26" ht="13.5" customHeight="1">
      <c r="A39" s="434" t="s">
        <v>369</v>
      </c>
      <c r="B39" s="435" t="str">
        <f>"Ариг банк"</f>
        <v>Ариг банк</v>
      </c>
      <c r="C39" s="436">
        <f t="shared" si="1"/>
        <v>31</v>
      </c>
      <c r="D39" s="856"/>
      <c r="E39" s="854"/>
      <c r="F39" s="855">
        <f t="shared" si="2"/>
        <v>0</v>
      </c>
      <c r="G39" s="454" t="e">
        <f t="shared" si="0"/>
        <v>#DIV/0!</v>
      </c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</row>
    <row r="40" spans="1:26" ht="13.5" customHeight="1">
      <c r="A40" s="434" t="s">
        <v>371</v>
      </c>
      <c r="B40" s="435" t="str">
        <f>"Богд банк"</f>
        <v>Богд банк</v>
      </c>
      <c r="C40" s="436">
        <f t="shared" si="1"/>
        <v>32</v>
      </c>
      <c r="D40" s="857"/>
      <c r="E40" s="854"/>
      <c r="F40" s="855">
        <f t="shared" si="2"/>
        <v>0</v>
      </c>
      <c r="G40" s="454" t="e">
        <f t="shared" si="0"/>
        <v>#DIV/0!</v>
      </c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</row>
    <row r="41" spans="1:26" ht="13.5" customHeight="1">
      <c r="A41" s="434" t="s">
        <v>373</v>
      </c>
      <c r="B41" s="435" t="str">
        <f>"Голомт банк"</f>
        <v>Голомт банк</v>
      </c>
      <c r="C41" s="456">
        <f t="shared" si="1"/>
        <v>33</v>
      </c>
      <c r="D41" s="858"/>
      <c r="E41" s="854"/>
      <c r="F41" s="855">
        <f t="shared" si="2"/>
        <v>0</v>
      </c>
      <c r="G41" s="454" t="e">
        <f t="shared" ref="G41:G72" si="3">F41/$F$99</f>
        <v>#DIV/0!</v>
      </c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</row>
    <row r="42" spans="1:26" ht="13.5" customHeight="1">
      <c r="A42" s="434" t="s">
        <v>567</v>
      </c>
      <c r="B42" s="435" t="str">
        <f>"Капитрон банк"</f>
        <v>Капитрон банк</v>
      </c>
      <c r="C42" s="456">
        <f t="shared" si="1"/>
        <v>34</v>
      </c>
      <c r="D42" s="858"/>
      <c r="E42" s="854"/>
      <c r="F42" s="855">
        <f t="shared" si="2"/>
        <v>0</v>
      </c>
      <c r="G42" s="454" t="e">
        <f t="shared" si="3"/>
        <v>#DIV/0!</v>
      </c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</row>
    <row r="43" spans="1:26" ht="13.5" customHeight="1">
      <c r="A43" s="434" t="s">
        <v>568</v>
      </c>
      <c r="B43" s="435" t="str">
        <f>"Кредит банк"</f>
        <v>Кредит банк</v>
      </c>
      <c r="C43" s="456">
        <f t="shared" si="1"/>
        <v>35</v>
      </c>
      <c r="D43" s="859"/>
      <c r="E43" s="854"/>
      <c r="F43" s="855">
        <f t="shared" si="2"/>
        <v>0</v>
      </c>
      <c r="G43" s="454" t="e">
        <f t="shared" si="3"/>
        <v>#DIV/0!</v>
      </c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</row>
    <row r="44" spans="1:26" ht="13.5" customHeight="1">
      <c r="A44" s="434" t="s">
        <v>569</v>
      </c>
      <c r="B44" s="435" t="str">
        <f>"Төрийн банк"</f>
        <v>Төрийн банк</v>
      </c>
      <c r="C44" s="436">
        <f t="shared" si="1"/>
        <v>36</v>
      </c>
      <c r="D44" s="860"/>
      <c r="E44" s="854"/>
      <c r="F44" s="855">
        <f t="shared" si="2"/>
        <v>0</v>
      </c>
      <c r="G44" s="454" t="e">
        <f t="shared" si="3"/>
        <v>#DIV/0!</v>
      </c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</row>
    <row r="45" spans="1:26" ht="27" customHeight="1">
      <c r="A45" s="434" t="s">
        <v>570</v>
      </c>
      <c r="B45" s="435" t="str">
        <f>"Тээвэр Хөгжлийн банк"</f>
        <v>Тээвэр Хөгжлийн банк</v>
      </c>
      <c r="C45" s="436">
        <f t="shared" si="1"/>
        <v>37</v>
      </c>
      <c r="D45" s="856"/>
      <c r="E45" s="854"/>
      <c r="F45" s="855">
        <f t="shared" si="2"/>
        <v>0</v>
      </c>
      <c r="G45" s="454" t="e">
        <f t="shared" si="3"/>
        <v>#DIV/0!</v>
      </c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</row>
    <row r="46" spans="1:26" ht="13.5" customHeight="1">
      <c r="A46" s="434" t="s">
        <v>571</v>
      </c>
      <c r="B46" s="435" t="str">
        <f>"Улаанбаатар хотын банк"</f>
        <v>Улаанбаатар хотын банк</v>
      </c>
      <c r="C46" s="436">
        <f t="shared" si="1"/>
        <v>38</v>
      </c>
      <c r="D46" s="856"/>
      <c r="E46" s="854"/>
      <c r="F46" s="855">
        <f t="shared" si="2"/>
        <v>0</v>
      </c>
      <c r="G46" s="454" t="e">
        <f t="shared" si="3"/>
        <v>#DIV/0!</v>
      </c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</row>
    <row r="47" spans="1:26" ht="13.5" customHeight="1">
      <c r="A47" s="434" t="s">
        <v>572</v>
      </c>
      <c r="B47" s="435" t="str">
        <f>"Үндэсний хөрөнгө оруулалтын банк"</f>
        <v>Үндэсний хөрөнгө оруулалтын банк</v>
      </c>
      <c r="C47" s="436">
        <f t="shared" si="1"/>
        <v>39</v>
      </c>
      <c r="D47" s="856"/>
      <c r="E47" s="854"/>
      <c r="F47" s="855">
        <f t="shared" si="2"/>
        <v>0</v>
      </c>
      <c r="G47" s="454" t="e">
        <f t="shared" si="3"/>
        <v>#DIV/0!</v>
      </c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</row>
    <row r="48" spans="1:26" ht="13.5" customHeight="1">
      <c r="A48" s="434" t="s">
        <v>573</v>
      </c>
      <c r="B48" s="435" t="str">
        <f>"Хаан банк"</f>
        <v>Хаан банк</v>
      </c>
      <c r="C48" s="436">
        <f t="shared" si="1"/>
        <v>40</v>
      </c>
      <c r="D48" s="856"/>
      <c r="E48" s="854"/>
      <c r="F48" s="855">
        <f t="shared" si="2"/>
        <v>0</v>
      </c>
      <c r="G48" s="454" t="e">
        <f t="shared" si="3"/>
        <v>#DIV/0!</v>
      </c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</row>
    <row r="49" spans="1:26" ht="13.5" customHeight="1">
      <c r="A49" s="434" t="s">
        <v>574</v>
      </c>
      <c r="B49" s="435" t="str">
        <f>"Хас банк"</f>
        <v>Хас банк</v>
      </c>
      <c r="C49" s="436">
        <f t="shared" si="1"/>
        <v>41</v>
      </c>
      <c r="D49" s="856"/>
      <c r="E49" s="854"/>
      <c r="F49" s="855">
        <f t="shared" si="2"/>
        <v>0</v>
      </c>
      <c r="G49" s="454" t="e">
        <f t="shared" si="3"/>
        <v>#DIV/0!</v>
      </c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</row>
    <row r="50" spans="1:26" ht="13.5" customHeight="1">
      <c r="A50" s="434" t="s">
        <v>575</v>
      </c>
      <c r="B50" s="435" t="str">
        <f>"Худалдаа хөгжлийн банк"</f>
        <v>Худалдаа хөгжлийн банк</v>
      </c>
      <c r="C50" s="436">
        <f t="shared" si="1"/>
        <v>42</v>
      </c>
      <c r="D50" s="856"/>
      <c r="E50" s="854"/>
      <c r="F50" s="855">
        <f t="shared" si="2"/>
        <v>0</v>
      </c>
      <c r="G50" s="454" t="e">
        <f t="shared" si="3"/>
        <v>#DIV/0!</v>
      </c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</row>
    <row r="51" spans="1:26" ht="13.5" customHeight="1">
      <c r="A51" s="434" t="s">
        <v>576</v>
      </c>
      <c r="B51" s="435" t="str">
        <f>"Чингис хаан банк"</f>
        <v>Чингис хаан банк</v>
      </c>
      <c r="C51" s="436">
        <f t="shared" si="1"/>
        <v>43</v>
      </c>
      <c r="D51" s="856"/>
      <c r="E51" s="854"/>
      <c r="F51" s="855">
        <f t="shared" si="2"/>
        <v>0</v>
      </c>
      <c r="G51" s="454" t="e">
        <f t="shared" si="3"/>
        <v>#DIV/0!</v>
      </c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</row>
    <row r="52" spans="1:26" ht="39">
      <c r="A52" s="425">
        <v>5</v>
      </c>
      <c r="B52" s="433" t="s">
        <v>1037</v>
      </c>
      <c r="C52" s="428">
        <f>+C51+1</f>
        <v>44</v>
      </c>
      <c r="D52" s="451">
        <f>SUM(D53:D65)</f>
        <v>0</v>
      </c>
      <c r="E52" s="451">
        <f>SUM(E53:E65)</f>
        <v>0</v>
      </c>
      <c r="F52" s="450">
        <f t="shared" si="2"/>
        <v>0</v>
      </c>
      <c r="G52" s="454" t="e">
        <f t="shared" si="3"/>
        <v>#DIV/0!</v>
      </c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</row>
    <row r="53" spans="1:26">
      <c r="A53" s="434" t="s">
        <v>376</v>
      </c>
      <c r="B53" s="435" t="str">
        <f>"Ариг банк"</f>
        <v>Ариг банк</v>
      </c>
      <c r="C53" s="436">
        <f t="shared" si="1"/>
        <v>45</v>
      </c>
      <c r="D53" s="856"/>
      <c r="E53" s="455"/>
      <c r="F53" s="855">
        <f t="shared" si="2"/>
        <v>0</v>
      </c>
      <c r="G53" s="454" t="e">
        <f t="shared" si="3"/>
        <v>#DIV/0!</v>
      </c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</row>
    <row r="54" spans="1:26">
      <c r="A54" s="434" t="s">
        <v>378</v>
      </c>
      <c r="B54" s="435" t="str">
        <f>"Богд банк"</f>
        <v>Богд банк</v>
      </c>
      <c r="C54" s="436">
        <f t="shared" si="1"/>
        <v>46</v>
      </c>
      <c r="D54" s="856"/>
      <c r="E54" s="455"/>
      <c r="F54" s="855">
        <f t="shared" si="2"/>
        <v>0</v>
      </c>
      <c r="G54" s="454" t="e">
        <f t="shared" si="3"/>
        <v>#DIV/0!</v>
      </c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</row>
    <row r="55" spans="1:26">
      <c r="A55" s="434" t="s">
        <v>380</v>
      </c>
      <c r="B55" s="435" t="str">
        <f>"Голомт банк"</f>
        <v>Голомт банк</v>
      </c>
      <c r="C55" s="436">
        <f t="shared" si="1"/>
        <v>47</v>
      </c>
      <c r="D55" s="856"/>
      <c r="E55" s="455"/>
      <c r="F55" s="855">
        <f t="shared" si="2"/>
        <v>0</v>
      </c>
      <c r="G55" s="454" t="e">
        <f t="shared" si="3"/>
        <v>#DIV/0!</v>
      </c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</row>
    <row r="56" spans="1:26">
      <c r="A56" s="434" t="s">
        <v>577</v>
      </c>
      <c r="B56" s="435" t="str">
        <f>"Капитрон банк"</f>
        <v>Капитрон банк</v>
      </c>
      <c r="C56" s="436">
        <f t="shared" si="1"/>
        <v>48</v>
      </c>
      <c r="D56" s="856"/>
      <c r="E56" s="455"/>
      <c r="F56" s="855">
        <f t="shared" si="2"/>
        <v>0</v>
      </c>
      <c r="G56" s="454" t="e">
        <f t="shared" si="3"/>
        <v>#DIV/0!</v>
      </c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</row>
    <row r="57" spans="1:26">
      <c r="A57" s="434" t="s">
        <v>578</v>
      </c>
      <c r="B57" s="435" t="str">
        <f>"Кредит банк"</f>
        <v>Кредит банк</v>
      </c>
      <c r="C57" s="436">
        <f t="shared" si="1"/>
        <v>49</v>
      </c>
      <c r="D57" s="856"/>
      <c r="E57" s="455"/>
      <c r="F57" s="855">
        <f t="shared" si="2"/>
        <v>0</v>
      </c>
      <c r="G57" s="454" t="e">
        <f t="shared" si="3"/>
        <v>#DIV/0!</v>
      </c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</row>
    <row r="58" spans="1:26">
      <c r="A58" s="434" t="s">
        <v>579</v>
      </c>
      <c r="B58" s="435" t="str">
        <f>"Төрийн банк"</f>
        <v>Төрийн банк</v>
      </c>
      <c r="C58" s="436">
        <f t="shared" si="1"/>
        <v>50</v>
      </c>
      <c r="D58" s="856"/>
      <c r="E58" s="455"/>
      <c r="F58" s="855">
        <f t="shared" si="2"/>
        <v>0</v>
      </c>
      <c r="G58" s="454" t="e">
        <f t="shared" si="3"/>
        <v>#DIV/0!</v>
      </c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</row>
    <row r="59" spans="1:26">
      <c r="A59" s="434" t="s">
        <v>580</v>
      </c>
      <c r="B59" s="435" t="str">
        <f>"Тээвэр Хөгжлийн банк"</f>
        <v>Тээвэр Хөгжлийн банк</v>
      </c>
      <c r="C59" s="436">
        <f t="shared" si="1"/>
        <v>51</v>
      </c>
      <c r="D59" s="856"/>
      <c r="E59" s="455"/>
      <c r="F59" s="855">
        <f t="shared" si="2"/>
        <v>0</v>
      </c>
      <c r="G59" s="454" t="e">
        <f t="shared" si="3"/>
        <v>#DIV/0!</v>
      </c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</row>
    <row r="60" spans="1:26">
      <c r="A60" s="434" t="s">
        <v>581</v>
      </c>
      <c r="B60" s="435" t="str">
        <f>"Улаанбаатар хотын банк"</f>
        <v>Улаанбаатар хотын банк</v>
      </c>
      <c r="C60" s="436">
        <f t="shared" si="1"/>
        <v>52</v>
      </c>
      <c r="D60" s="856"/>
      <c r="E60" s="455"/>
      <c r="F60" s="855">
        <f t="shared" si="2"/>
        <v>0</v>
      </c>
      <c r="G60" s="454" t="e">
        <f t="shared" si="3"/>
        <v>#DIV/0!</v>
      </c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</row>
    <row r="61" spans="1:26" ht="26">
      <c r="A61" s="434" t="s">
        <v>582</v>
      </c>
      <c r="B61" s="435" t="str">
        <f>"Үндэсний хөрөнгө оруулалтын банк"</f>
        <v>Үндэсний хөрөнгө оруулалтын банк</v>
      </c>
      <c r="C61" s="436">
        <f t="shared" si="1"/>
        <v>53</v>
      </c>
      <c r="D61" s="856"/>
      <c r="E61" s="455"/>
      <c r="F61" s="855">
        <f t="shared" si="2"/>
        <v>0</v>
      </c>
      <c r="G61" s="454" t="e">
        <f t="shared" si="3"/>
        <v>#DIV/0!</v>
      </c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</row>
    <row r="62" spans="1:26">
      <c r="A62" s="434" t="s">
        <v>583</v>
      </c>
      <c r="B62" s="435" t="str">
        <f>"Хаан банк"</f>
        <v>Хаан банк</v>
      </c>
      <c r="C62" s="436">
        <f t="shared" si="1"/>
        <v>54</v>
      </c>
      <c r="D62" s="856"/>
      <c r="E62" s="455"/>
      <c r="F62" s="855">
        <f t="shared" si="2"/>
        <v>0</v>
      </c>
      <c r="G62" s="454" t="e">
        <f t="shared" si="3"/>
        <v>#DIV/0!</v>
      </c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</row>
    <row r="63" spans="1:26">
      <c r="A63" s="434" t="s">
        <v>584</v>
      </c>
      <c r="B63" s="435" t="str">
        <f>"Хас банк"</f>
        <v>Хас банк</v>
      </c>
      <c r="C63" s="436">
        <f t="shared" si="1"/>
        <v>55</v>
      </c>
      <c r="D63" s="856"/>
      <c r="E63" s="455"/>
      <c r="F63" s="855">
        <f t="shared" si="2"/>
        <v>0</v>
      </c>
      <c r="G63" s="454" t="e">
        <f t="shared" si="3"/>
        <v>#DIV/0!</v>
      </c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</row>
    <row r="64" spans="1:26">
      <c r="A64" s="434" t="s">
        <v>585</v>
      </c>
      <c r="B64" s="435" t="str">
        <f>"Худалдаа хөгжлийн банк"</f>
        <v>Худалдаа хөгжлийн банк</v>
      </c>
      <c r="C64" s="436">
        <f t="shared" si="1"/>
        <v>56</v>
      </c>
      <c r="D64" s="856"/>
      <c r="E64" s="455"/>
      <c r="F64" s="855">
        <f t="shared" si="2"/>
        <v>0</v>
      </c>
      <c r="G64" s="454" t="e">
        <f t="shared" si="3"/>
        <v>#DIV/0!</v>
      </c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</row>
    <row r="65" spans="1:26">
      <c r="A65" s="434" t="s">
        <v>586</v>
      </c>
      <c r="B65" s="435" t="str">
        <f>"Чингис хаан банк"</f>
        <v>Чингис хаан банк</v>
      </c>
      <c r="C65" s="436">
        <f t="shared" si="1"/>
        <v>57</v>
      </c>
      <c r="D65" s="856"/>
      <c r="E65" s="455"/>
      <c r="F65" s="855">
        <f t="shared" si="2"/>
        <v>0</v>
      </c>
      <c r="G65" s="454" t="e">
        <f t="shared" si="3"/>
        <v>#DIV/0!</v>
      </c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</row>
    <row r="66" spans="1:26" ht="26">
      <c r="A66" s="425">
        <f>+A52+1</f>
        <v>6</v>
      </c>
      <c r="B66" s="437" t="s">
        <v>1038</v>
      </c>
      <c r="C66" s="428">
        <f>+C65+1</f>
        <v>58</v>
      </c>
      <c r="D66" s="451">
        <f>SUM(D67:D75)</f>
        <v>0</v>
      </c>
      <c r="E66" s="451">
        <f>SUM(E67:E75)</f>
        <v>0</v>
      </c>
      <c r="F66" s="450">
        <f t="shared" ref="F66:F89" si="4">SUM(D66+E66)</f>
        <v>0</v>
      </c>
      <c r="G66" s="454" t="e">
        <f t="shared" si="3"/>
        <v>#DIV/0!</v>
      </c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</row>
    <row r="67" spans="1:26">
      <c r="A67" s="434" t="s">
        <v>384</v>
      </c>
      <c r="B67" s="439" t="s">
        <v>525</v>
      </c>
      <c r="C67" s="436">
        <f t="shared" ref="C67:C99" si="5">C66+1</f>
        <v>59</v>
      </c>
      <c r="D67" s="854"/>
      <c r="E67" s="854"/>
      <c r="F67" s="855">
        <f t="shared" si="4"/>
        <v>0</v>
      </c>
      <c r="G67" s="454" t="e">
        <f t="shared" si="3"/>
        <v>#DIV/0!</v>
      </c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</row>
    <row r="68" spans="1:26">
      <c r="A68" s="434" t="s">
        <v>385</v>
      </c>
      <c r="B68" s="439" t="s">
        <v>526</v>
      </c>
      <c r="C68" s="436">
        <f t="shared" si="5"/>
        <v>60</v>
      </c>
      <c r="D68" s="854"/>
      <c r="E68" s="854"/>
      <c r="F68" s="855">
        <f t="shared" si="4"/>
        <v>0</v>
      </c>
      <c r="G68" s="454" t="e">
        <f t="shared" si="3"/>
        <v>#DIV/0!</v>
      </c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</row>
    <row r="69" spans="1:26" ht="26">
      <c r="A69" s="434" t="s">
        <v>387</v>
      </c>
      <c r="B69" s="439" t="s">
        <v>527</v>
      </c>
      <c r="C69" s="436">
        <f t="shared" si="5"/>
        <v>61</v>
      </c>
      <c r="D69" s="854"/>
      <c r="E69" s="854"/>
      <c r="F69" s="855">
        <f t="shared" si="4"/>
        <v>0</v>
      </c>
      <c r="G69" s="454" t="e">
        <f t="shared" si="3"/>
        <v>#DIV/0!</v>
      </c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</row>
    <row r="70" spans="1:26" ht="26">
      <c r="A70" s="434" t="s">
        <v>389</v>
      </c>
      <c r="B70" s="439" t="s">
        <v>528</v>
      </c>
      <c r="C70" s="436">
        <f t="shared" si="5"/>
        <v>62</v>
      </c>
      <c r="D70" s="854"/>
      <c r="E70" s="854"/>
      <c r="F70" s="855">
        <f t="shared" si="4"/>
        <v>0</v>
      </c>
      <c r="G70" s="454" t="e">
        <f t="shared" si="3"/>
        <v>#DIV/0!</v>
      </c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</row>
    <row r="71" spans="1:26">
      <c r="A71" s="434" t="s">
        <v>391</v>
      </c>
      <c r="B71" s="439" t="s">
        <v>529</v>
      </c>
      <c r="C71" s="436">
        <f t="shared" si="5"/>
        <v>63</v>
      </c>
      <c r="D71" s="854"/>
      <c r="E71" s="854"/>
      <c r="F71" s="855">
        <f t="shared" si="4"/>
        <v>0</v>
      </c>
      <c r="G71" s="454" t="e">
        <f t="shared" si="3"/>
        <v>#DIV/0!</v>
      </c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</row>
    <row r="72" spans="1:26">
      <c r="A72" s="434" t="s">
        <v>393</v>
      </c>
      <c r="B72" s="439" t="s">
        <v>530</v>
      </c>
      <c r="C72" s="436">
        <f t="shared" si="5"/>
        <v>64</v>
      </c>
      <c r="D72" s="854"/>
      <c r="E72" s="854"/>
      <c r="F72" s="855">
        <f t="shared" si="4"/>
        <v>0</v>
      </c>
      <c r="G72" s="454" t="e">
        <f t="shared" si="3"/>
        <v>#DIV/0!</v>
      </c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</row>
    <row r="73" spans="1:26">
      <c r="A73" s="434" t="s">
        <v>395</v>
      </c>
      <c r="B73" s="439" t="s">
        <v>531</v>
      </c>
      <c r="C73" s="436">
        <f t="shared" si="5"/>
        <v>65</v>
      </c>
      <c r="D73" s="854"/>
      <c r="E73" s="854"/>
      <c r="F73" s="855">
        <f t="shared" si="4"/>
        <v>0</v>
      </c>
      <c r="G73" s="454" t="e">
        <f t="shared" ref="G73:G92" si="6">F73/$F$99</f>
        <v>#DIV/0!</v>
      </c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</row>
    <row r="74" spans="1:26" ht="26">
      <c r="A74" s="434" t="s">
        <v>397</v>
      </c>
      <c r="B74" s="439" t="s">
        <v>532</v>
      </c>
      <c r="C74" s="436">
        <f t="shared" si="5"/>
        <v>66</v>
      </c>
      <c r="D74" s="854"/>
      <c r="E74" s="854"/>
      <c r="F74" s="855">
        <f t="shared" si="4"/>
        <v>0</v>
      </c>
      <c r="G74" s="454" t="e">
        <f t="shared" si="6"/>
        <v>#DIV/0!</v>
      </c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</row>
    <row r="75" spans="1:26">
      <c r="A75" s="434" t="s">
        <v>399</v>
      </c>
      <c r="B75" s="439" t="s">
        <v>533</v>
      </c>
      <c r="C75" s="436">
        <f t="shared" si="5"/>
        <v>67</v>
      </c>
      <c r="D75" s="854"/>
      <c r="E75" s="854"/>
      <c r="F75" s="855">
        <f t="shared" si="4"/>
        <v>0</v>
      </c>
      <c r="G75" s="454" t="e">
        <f t="shared" si="6"/>
        <v>#DIV/0!</v>
      </c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</row>
    <row r="76" spans="1:26">
      <c r="A76" s="425">
        <f>+A66+1</f>
        <v>7</v>
      </c>
      <c r="B76" s="433" t="s">
        <v>534</v>
      </c>
      <c r="C76" s="428">
        <f t="shared" si="5"/>
        <v>68</v>
      </c>
      <c r="D76" s="838"/>
      <c r="E76" s="854"/>
      <c r="F76" s="855">
        <f t="shared" si="4"/>
        <v>0</v>
      </c>
      <c r="G76" s="454" t="e">
        <f t="shared" si="6"/>
        <v>#DIV/0!</v>
      </c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</row>
    <row r="77" spans="1:26" ht="39">
      <c r="A77" s="425">
        <v>8</v>
      </c>
      <c r="B77" s="433" t="s">
        <v>62</v>
      </c>
      <c r="C77" s="428">
        <f t="shared" si="5"/>
        <v>69</v>
      </c>
      <c r="D77" s="838"/>
      <c r="E77" s="854"/>
      <c r="F77" s="855">
        <f t="shared" si="4"/>
        <v>0</v>
      </c>
      <c r="G77" s="454" t="e">
        <f t="shared" si="6"/>
        <v>#DIV/0!</v>
      </c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</row>
    <row r="78" spans="1:26">
      <c r="A78" s="425">
        <v>9</v>
      </c>
      <c r="B78" s="433" t="s">
        <v>64</v>
      </c>
      <c r="C78" s="428">
        <f t="shared" si="5"/>
        <v>70</v>
      </c>
      <c r="D78" s="838"/>
      <c r="E78" s="854"/>
      <c r="F78" s="855">
        <f t="shared" si="4"/>
        <v>0</v>
      </c>
      <c r="G78" s="454" t="e">
        <f t="shared" si="6"/>
        <v>#DIV/0!</v>
      </c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</row>
    <row r="79" spans="1:26" ht="39">
      <c r="A79" s="425">
        <v>10</v>
      </c>
      <c r="B79" s="433" t="s">
        <v>1039</v>
      </c>
      <c r="C79" s="428">
        <f t="shared" si="5"/>
        <v>71</v>
      </c>
      <c r="D79" s="451">
        <f>SUM(D80:D89)</f>
        <v>0</v>
      </c>
      <c r="E79" s="451">
        <f>SUM(E80:E89)</f>
        <v>0</v>
      </c>
      <c r="F79" s="450">
        <f t="shared" si="4"/>
        <v>0</v>
      </c>
      <c r="G79" s="454" t="e">
        <f t="shared" si="6"/>
        <v>#DIV/0!</v>
      </c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</row>
    <row r="80" spans="1:26">
      <c r="A80" s="440" t="s">
        <v>413</v>
      </c>
      <c r="B80" s="206" t="s">
        <v>542</v>
      </c>
      <c r="C80" s="436">
        <f t="shared" si="5"/>
        <v>72</v>
      </c>
      <c r="D80" s="854"/>
      <c r="E80" s="854"/>
      <c r="F80" s="855">
        <f t="shared" si="4"/>
        <v>0</v>
      </c>
      <c r="G80" s="454" t="e">
        <f t="shared" si="6"/>
        <v>#DIV/0!</v>
      </c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</row>
    <row r="81" spans="1:26">
      <c r="A81" s="440" t="s">
        <v>415</v>
      </c>
      <c r="B81" s="206" t="s">
        <v>542</v>
      </c>
      <c r="C81" s="436">
        <f t="shared" si="5"/>
        <v>73</v>
      </c>
      <c r="D81" s="854"/>
      <c r="E81" s="854"/>
      <c r="F81" s="855">
        <f t="shared" si="4"/>
        <v>0</v>
      </c>
      <c r="G81" s="454" t="e">
        <f t="shared" si="6"/>
        <v>#DIV/0!</v>
      </c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</row>
    <row r="82" spans="1:26">
      <c r="A82" s="440" t="s">
        <v>417</v>
      </c>
      <c r="B82" s="206" t="s">
        <v>542</v>
      </c>
      <c r="C82" s="436">
        <f t="shared" si="5"/>
        <v>74</v>
      </c>
      <c r="D82" s="854"/>
      <c r="E82" s="854"/>
      <c r="F82" s="855">
        <f t="shared" si="4"/>
        <v>0</v>
      </c>
      <c r="G82" s="454" t="e">
        <f t="shared" si="6"/>
        <v>#DIV/0!</v>
      </c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</row>
    <row r="83" spans="1:26">
      <c r="A83" s="440" t="s">
        <v>587</v>
      </c>
      <c r="B83" s="206" t="s">
        <v>542</v>
      </c>
      <c r="C83" s="436">
        <f t="shared" si="5"/>
        <v>75</v>
      </c>
      <c r="D83" s="854"/>
      <c r="E83" s="854"/>
      <c r="F83" s="855">
        <f t="shared" si="4"/>
        <v>0</v>
      </c>
      <c r="G83" s="454" t="e">
        <f t="shared" si="6"/>
        <v>#DIV/0!</v>
      </c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</row>
    <row r="84" spans="1:26">
      <c r="A84" s="440" t="s">
        <v>588</v>
      </c>
      <c r="B84" s="206" t="s">
        <v>542</v>
      </c>
      <c r="C84" s="436">
        <f t="shared" si="5"/>
        <v>76</v>
      </c>
      <c r="D84" s="854"/>
      <c r="E84" s="854"/>
      <c r="F84" s="855">
        <f t="shared" si="4"/>
        <v>0</v>
      </c>
      <c r="G84" s="454" t="e">
        <f t="shared" si="6"/>
        <v>#DIV/0!</v>
      </c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</row>
    <row r="85" spans="1:26">
      <c r="A85" s="440" t="s">
        <v>589</v>
      </c>
      <c r="B85" s="206" t="s">
        <v>542</v>
      </c>
      <c r="C85" s="436">
        <f t="shared" si="5"/>
        <v>77</v>
      </c>
      <c r="D85" s="854"/>
      <c r="E85" s="854"/>
      <c r="F85" s="855">
        <f t="shared" si="4"/>
        <v>0</v>
      </c>
      <c r="G85" s="454" t="e">
        <f t="shared" si="6"/>
        <v>#DIV/0!</v>
      </c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</row>
    <row r="86" spans="1:26">
      <c r="A86" s="440" t="s">
        <v>590</v>
      </c>
      <c r="B86" s="206" t="s">
        <v>542</v>
      </c>
      <c r="C86" s="436">
        <f t="shared" si="5"/>
        <v>78</v>
      </c>
      <c r="D86" s="854"/>
      <c r="E86" s="854"/>
      <c r="F86" s="855">
        <f t="shared" si="4"/>
        <v>0</v>
      </c>
      <c r="G86" s="454" t="e">
        <f t="shared" si="6"/>
        <v>#DIV/0!</v>
      </c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</row>
    <row r="87" spans="1:26">
      <c r="A87" s="440" t="s">
        <v>591</v>
      </c>
      <c r="B87" s="206" t="s">
        <v>542</v>
      </c>
      <c r="C87" s="436">
        <f t="shared" si="5"/>
        <v>79</v>
      </c>
      <c r="D87" s="854"/>
      <c r="E87" s="854"/>
      <c r="F87" s="855">
        <f t="shared" si="4"/>
        <v>0</v>
      </c>
      <c r="G87" s="454" t="e">
        <f t="shared" si="6"/>
        <v>#DIV/0!</v>
      </c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</row>
    <row r="88" spans="1:26">
      <c r="A88" s="440" t="s">
        <v>592</v>
      </c>
      <c r="B88" s="206" t="s">
        <v>542</v>
      </c>
      <c r="C88" s="436">
        <f t="shared" si="5"/>
        <v>80</v>
      </c>
      <c r="D88" s="854"/>
      <c r="E88" s="854"/>
      <c r="F88" s="855">
        <f t="shared" si="4"/>
        <v>0</v>
      </c>
      <c r="G88" s="454" t="e">
        <f t="shared" si="6"/>
        <v>#DIV/0!</v>
      </c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</row>
    <row r="89" spans="1:26" ht="26">
      <c r="A89" s="440" t="s">
        <v>593</v>
      </c>
      <c r="B89" s="206" t="s">
        <v>542</v>
      </c>
      <c r="C89" s="436">
        <f t="shared" si="5"/>
        <v>81</v>
      </c>
      <c r="D89" s="854"/>
      <c r="E89" s="854"/>
      <c r="F89" s="855">
        <f t="shared" si="4"/>
        <v>0</v>
      </c>
      <c r="G89" s="454" t="e">
        <f t="shared" si="6"/>
        <v>#DIV/0!</v>
      </c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</row>
    <row r="90" spans="1:26" ht="26">
      <c r="A90" s="425">
        <f>+A79+1</f>
        <v>11</v>
      </c>
      <c r="B90" s="426" t="s">
        <v>1040</v>
      </c>
      <c r="C90" s="428">
        <f t="shared" si="5"/>
        <v>82</v>
      </c>
      <c r="D90" s="451">
        <f>SUM(D91:D92)</f>
        <v>0</v>
      </c>
      <c r="E90" s="451">
        <f>SUM(E91:E92)</f>
        <v>0</v>
      </c>
      <c r="F90" s="450">
        <f>+F91+F92</f>
        <v>0</v>
      </c>
      <c r="G90" s="454" t="e">
        <f t="shared" si="6"/>
        <v>#DIV/0!</v>
      </c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</row>
    <row r="91" spans="1:26">
      <c r="A91" s="440" t="s">
        <v>420</v>
      </c>
      <c r="B91" s="441" t="s">
        <v>543</v>
      </c>
      <c r="C91" s="436">
        <f t="shared" si="5"/>
        <v>83</v>
      </c>
      <c r="D91" s="856"/>
      <c r="E91" s="863"/>
      <c r="F91" s="861"/>
      <c r="G91" s="454" t="e">
        <f t="shared" si="6"/>
        <v>#DIV/0!</v>
      </c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</row>
    <row r="92" spans="1:26">
      <c r="A92" s="440" t="s">
        <v>536</v>
      </c>
      <c r="B92" s="441" t="s">
        <v>544</v>
      </c>
      <c r="C92" s="436">
        <f t="shared" si="5"/>
        <v>84</v>
      </c>
      <c r="D92" s="856"/>
      <c r="E92" s="856"/>
      <c r="F92" s="862"/>
      <c r="G92" s="454" t="e">
        <f t="shared" si="6"/>
        <v>#DIV/0!</v>
      </c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</row>
    <row r="93" spans="1:26" ht="26">
      <c r="A93" s="425">
        <v>12</v>
      </c>
      <c r="B93" s="426" t="s">
        <v>1041</v>
      </c>
      <c r="C93" s="428">
        <f t="shared" si="5"/>
        <v>85</v>
      </c>
      <c r="D93" s="451">
        <f>SUM(D94:D98)</f>
        <v>0</v>
      </c>
      <c r="E93" s="451">
        <f>SUM(E94:E98)</f>
        <v>0</v>
      </c>
      <c r="F93" s="450">
        <f>+SUM(F94:F98)</f>
        <v>0</v>
      </c>
      <c r="G93" s="454" t="e">
        <f t="shared" ref="G93:G99" si="7">F93/$F$99</f>
        <v>#DIV/0!</v>
      </c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</row>
    <row r="94" spans="1:26">
      <c r="A94" s="440" t="s">
        <v>537</v>
      </c>
      <c r="B94" s="441" t="s">
        <v>24</v>
      </c>
      <c r="C94" s="436">
        <f t="shared" si="5"/>
        <v>86</v>
      </c>
      <c r="D94" s="856"/>
      <c r="E94" s="856"/>
      <c r="F94" s="862"/>
      <c r="G94" s="454" t="e">
        <f t="shared" si="7"/>
        <v>#DIV/0!</v>
      </c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</row>
    <row r="95" spans="1:26" ht="26">
      <c r="A95" s="440" t="s">
        <v>538</v>
      </c>
      <c r="B95" s="441" t="s">
        <v>545</v>
      </c>
      <c r="C95" s="436">
        <f t="shared" si="5"/>
        <v>87</v>
      </c>
      <c r="D95" s="856"/>
      <c r="E95" s="856"/>
      <c r="F95" s="862"/>
      <c r="G95" s="454" t="e">
        <f t="shared" si="7"/>
        <v>#DIV/0!</v>
      </c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</row>
    <row r="96" spans="1:26">
      <c r="A96" s="440" t="s">
        <v>539</v>
      </c>
      <c r="B96" s="441" t="s">
        <v>68</v>
      </c>
      <c r="C96" s="436">
        <f t="shared" si="5"/>
        <v>88</v>
      </c>
      <c r="D96" s="856"/>
      <c r="E96" s="856"/>
      <c r="F96" s="862"/>
      <c r="G96" s="454" t="e">
        <f t="shared" si="7"/>
        <v>#DIV/0!</v>
      </c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</row>
    <row r="97" spans="1:26">
      <c r="A97" s="440" t="s">
        <v>540</v>
      </c>
      <c r="B97" s="441" t="s">
        <v>546</v>
      </c>
      <c r="C97" s="436">
        <f t="shared" si="5"/>
        <v>89</v>
      </c>
      <c r="D97" s="856"/>
      <c r="E97" s="856"/>
      <c r="F97" s="862"/>
      <c r="G97" s="731" t="e">
        <f t="shared" si="7"/>
        <v>#DIV/0!</v>
      </c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</row>
    <row r="98" spans="1:26" ht="39">
      <c r="A98" s="440" t="s">
        <v>541</v>
      </c>
      <c r="B98" s="441" t="s">
        <v>281</v>
      </c>
      <c r="C98" s="436">
        <f t="shared" si="5"/>
        <v>90</v>
      </c>
      <c r="D98" s="856"/>
      <c r="E98" s="854"/>
      <c r="F98" s="855">
        <f>+D98+E98</f>
        <v>0</v>
      </c>
      <c r="G98" s="732" t="e">
        <f t="shared" si="7"/>
        <v>#DIV/0!</v>
      </c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</row>
    <row r="99" spans="1:26">
      <c r="A99" s="425">
        <v>13</v>
      </c>
      <c r="B99" s="426" t="s">
        <v>626</v>
      </c>
      <c r="C99" s="428">
        <f t="shared" si="5"/>
        <v>91</v>
      </c>
      <c r="D99" s="452">
        <f>SUM(D9,D10,D24,D38,D52,D66,D76,D77,D78,D79,D90,D93)</f>
        <v>0</v>
      </c>
      <c r="E99" s="452">
        <f>SUM(E9,E10,E24,E38,E52,E66,E76,E77,E78,E79,E90,E93)</f>
        <v>0</v>
      </c>
      <c r="F99" s="453">
        <f>+F9+F10+F24+F38+F52+F66+F76+F77+F78+F79+F90+F93</f>
        <v>0</v>
      </c>
      <c r="G99" s="732" t="e">
        <f t="shared" si="7"/>
        <v>#DIV/0!</v>
      </c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</row>
    <row r="100" spans="1:26" ht="13.5" customHeight="1">
      <c r="A100" s="442"/>
      <c r="C100" s="242"/>
      <c r="D100" s="1058" t="str">
        <f>IF(F99=i.04101!E87,"","ДҮН ЗӨРҮҮТЭЙ БАЙНА:")</f>
        <v/>
      </c>
      <c r="E100" s="1058"/>
      <c r="F100" s="733">
        <f>+F99-i.04101!E87</f>
        <v>0</v>
      </c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</row>
    <row r="101" spans="1:26">
      <c r="A101" s="423"/>
      <c r="B101" s="227" t="str">
        <f>+i.04108!C32</f>
        <v>тамга тэмдэг</v>
      </c>
      <c r="C101" s="227"/>
      <c r="D101" s="227"/>
      <c r="E101" s="227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</row>
    <row r="102" spans="1:26" s="34" customFormat="1" ht="15" customHeight="1">
      <c r="A102" s="445"/>
      <c r="B102" s="227"/>
      <c r="C102" s="227"/>
      <c r="D102" s="227"/>
      <c r="E102" s="227"/>
      <c r="F102" s="445"/>
    </row>
    <row r="103" spans="1:26" s="318" customFormat="1" ht="14.5">
      <c r="A103" s="445"/>
      <c r="B103" s="227" t="str">
        <f>+i.04108!C34</f>
        <v xml:space="preserve">ТАЙЛАН ГАРГАСАН:    </v>
      </c>
      <c r="C103" s="227"/>
      <c r="D103" s="227"/>
      <c r="E103" s="227"/>
      <c r="F103" s="409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</row>
    <row r="104" spans="1:26" s="318" customFormat="1" ht="14.5">
      <c r="A104" s="446"/>
      <c r="B104" s="227"/>
      <c r="C104" s="227"/>
      <c r="D104" s="227"/>
      <c r="E104" s="227"/>
      <c r="F104" s="447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</row>
    <row r="105" spans="1:26" s="318" customFormat="1" ht="14.5">
      <c r="A105" s="445"/>
      <c r="B105" s="227" t="str">
        <f>+i.04108!C36</f>
        <v xml:space="preserve"> Гүйцэтгэх захирал</v>
      </c>
      <c r="C105" s="225" t="str">
        <f>+i.04108!D36</f>
        <v xml:space="preserve">/................................../   </v>
      </c>
      <c r="D105" s="227"/>
      <c r="E105" s="227" t="str">
        <f>+i.04108!F36</f>
        <v>/................................./</v>
      </c>
      <c r="F105" s="409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</row>
    <row r="106" spans="1:26" s="318" customFormat="1" ht="14.5">
      <c r="A106" s="445"/>
      <c r="B106" s="227"/>
      <c r="C106" s="225"/>
      <c r="D106" s="227"/>
      <c r="E106" s="227"/>
      <c r="F106" s="409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</row>
    <row r="107" spans="1:26" s="318" customFormat="1" ht="14.5">
      <c r="A107" s="448"/>
      <c r="B107" s="227" t="str">
        <f>+i.04108!C38</f>
        <v xml:space="preserve"> Ерөнхий нягтлан бодогч  </v>
      </c>
      <c r="C107" s="225" t="str">
        <f>+i.04108!D38</f>
        <v xml:space="preserve">/.................................../   </v>
      </c>
      <c r="D107" s="227"/>
      <c r="E107" s="227" t="str">
        <f>+i.04108!F38</f>
        <v>/................................/</v>
      </c>
      <c r="F107" s="227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</row>
    <row r="108" spans="1:26">
      <c r="A108" s="423"/>
      <c r="D108" s="227"/>
      <c r="E108" s="227"/>
      <c r="F108" s="227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</row>
    <row r="109" spans="1:26">
      <c r="A109" s="423"/>
      <c r="B109" s="227" t="str">
        <f>+i.04108!C40</f>
        <v>...................................................</v>
      </c>
      <c r="C109" s="225" t="str">
        <f>+i.04108!D40</f>
        <v xml:space="preserve">/................................../   </v>
      </c>
      <c r="D109" s="227"/>
      <c r="E109" s="227" t="str">
        <f>+i.04108!F40</f>
        <v>/................................/</v>
      </c>
      <c r="F109" s="227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</row>
    <row r="110" spans="1:26">
      <c r="A110" s="442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</row>
    <row r="111" spans="1:26">
      <c r="A111" s="442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</row>
    <row r="112" spans="1:26">
      <c r="A112" s="442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</row>
    <row r="113" spans="1:26">
      <c r="A113" s="442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</row>
    <row r="114" spans="1:26">
      <c r="A114" s="442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</row>
    <row r="115" spans="1:26">
      <c r="A115" s="442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</row>
    <row r="116" spans="1:26">
      <c r="A116" s="442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</row>
    <row r="117" spans="1:26">
      <c r="A117" s="442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</row>
    <row r="118" spans="1:26">
      <c r="A118" s="442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</row>
    <row r="119" spans="1:26">
      <c r="A119" s="442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</row>
    <row r="120" spans="1:26">
      <c r="A120" s="442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</row>
    <row r="121" spans="1:26">
      <c r="A121" s="442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</row>
    <row r="122" spans="1:26">
      <c r="A122" s="442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</row>
    <row r="123" spans="1:26">
      <c r="A123" s="442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</row>
    <row r="124" spans="1:26">
      <c r="A124" s="442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</row>
    <row r="125" spans="1:26">
      <c r="A125" s="442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</row>
    <row r="126" spans="1:26">
      <c r="A126" s="442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</row>
    <row r="127" spans="1:26">
      <c r="A127" s="442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</row>
    <row r="128" spans="1:26">
      <c r="A128" s="4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</row>
    <row r="129" spans="1:26">
      <c r="A129" s="4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</row>
    <row r="130" spans="1:26">
      <c r="A130" s="4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</row>
    <row r="131" spans="1:26">
      <c r="A131" s="442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</row>
    <row r="132" spans="1:26">
      <c r="A132" s="4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</row>
    <row r="133" spans="1:26">
      <c r="A133" s="4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</row>
    <row r="134" spans="1:26">
      <c r="A134" s="442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</row>
    <row r="135" spans="1:26">
      <c r="A135" s="4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</row>
    <row r="136" spans="1:26">
      <c r="A136" s="4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</row>
    <row r="137" spans="1:26">
      <c r="A137" s="4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</row>
    <row r="138" spans="1:26">
      <c r="A138" s="442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</row>
    <row r="139" spans="1:26">
      <c r="A139" s="4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</row>
    <row r="140" spans="1:26">
      <c r="A140" s="442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</row>
    <row r="141" spans="1:26">
      <c r="A141" s="4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</row>
    <row r="142" spans="1:26">
      <c r="A142" s="442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</row>
    <row r="143" spans="1:26">
      <c r="A143" s="4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</row>
    <row r="144" spans="1:26">
      <c r="A144" s="4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</row>
    <row r="145" spans="1:26">
      <c r="A145" s="442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</row>
    <row r="146" spans="1:26">
      <c r="A146" s="442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</row>
    <row r="147" spans="1:26">
      <c r="A147" s="4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</row>
    <row r="148" spans="1:26">
      <c r="A148" s="442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</row>
    <row r="149" spans="1:26">
      <c r="A149" s="442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</row>
    <row r="150" spans="1:26">
      <c r="A150" s="4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</row>
    <row r="151" spans="1:26">
      <c r="A151" s="442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</row>
    <row r="152" spans="1:26">
      <c r="A152" s="442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</row>
    <row r="153" spans="1:26">
      <c r="A153" s="442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</row>
    <row r="154" spans="1:26">
      <c r="A154" s="442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</row>
    <row r="155" spans="1:26">
      <c r="A155" s="442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</row>
    <row r="156" spans="1:26">
      <c r="A156" s="442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</row>
    <row r="157" spans="1:26">
      <c r="A157" s="442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</row>
    <row r="158" spans="1:26">
      <c r="A158" s="442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</row>
    <row r="159" spans="1:26">
      <c r="A159" s="442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</row>
    <row r="160" spans="1:26">
      <c r="A160" s="442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</row>
    <row r="161" spans="1:26">
      <c r="A161" s="442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</row>
    <row r="162" spans="1:26">
      <c r="A162" s="442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</row>
    <row r="163" spans="1:26">
      <c r="A163" s="442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</row>
    <row r="164" spans="1:26">
      <c r="A164" s="442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</row>
    <row r="165" spans="1:26">
      <c r="A165" s="442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</row>
    <row r="166" spans="1:26">
      <c r="A166" s="442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</row>
    <row r="167" spans="1:26">
      <c r="A167" s="442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</row>
    <row r="168" spans="1:26">
      <c r="A168" s="442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</row>
    <row r="169" spans="1:26">
      <c r="A169" s="442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</row>
    <row r="170" spans="1:26">
      <c r="A170" s="442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</row>
    <row r="171" spans="1:26">
      <c r="A171" s="442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</row>
    <row r="172" spans="1:26">
      <c r="A172" s="442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</row>
    <row r="173" spans="1:26">
      <c r="A173" s="442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42"/>
    </row>
    <row r="174" spans="1:26">
      <c r="A174" s="442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42"/>
    </row>
    <row r="175" spans="1:26">
      <c r="A175" s="442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42"/>
    </row>
    <row r="176" spans="1:26">
      <c r="A176" s="442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42"/>
    </row>
    <row r="177" spans="1:26">
      <c r="A177" s="442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42"/>
    </row>
    <row r="178" spans="1:26">
      <c r="A178" s="442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42"/>
    </row>
    <row r="179" spans="1:26">
      <c r="A179" s="442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</row>
    <row r="180" spans="1:26">
      <c r="A180" s="442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</row>
    <row r="181" spans="1:26">
      <c r="A181" s="442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</row>
    <row r="182" spans="1:26">
      <c r="A182" s="442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</row>
    <row r="183" spans="1:26">
      <c r="A183" s="442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/>
    </row>
    <row r="184" spans="1:26">
      <c r="A184" s="442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/>
    </row>
    <row r="185" spans="1:26">
      <c r="A185" s="442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</row>
    <row r="186" spans="1:26">
      <c r="A186" s="442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</row>
    <row r="187" spans="1:26">
      <c r="A187" s="4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</row>
    <row r="188" spans="1:26">
      <c r="A188" s="442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</row>
    <row r="189" spans="1:26">
      <c r="A189" s="442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</row>
    <row r="190" spans="1:26">
      <c r="A190" s="442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</row>
    <row r="191" spans="1:26">
      <c r="A191" s="442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</row>
    <row r="192" spans="1:26">
      <c r="A192" s="442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</row>
    <row r="193" spans="1:26">
      <c r="A193" s="442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</row>
    <row r="194" spans="1:26">
      <c r="A194" s="442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</row>
    <row r="195" spans="1:26">
      <c r="A195" s="442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</row>
    <row r="196" spans="1:26">
      <c r="A196" s="442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</row>
    <row r="197" spans="1:26">
      <c r="A197" s="442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  <c r="Z197" s="242"/>
    </row>
    <row r="198" spans="1:26">
      <c r="A198" s="4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</row>
    <row r="199" spans="1:26">
      <c r="A199" s="442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</row>
    <row r="200" spans="1:26">
      <c r="A200" s="442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  <c r="Z200" s="242"/>
    </row>
    <row r="201" spans="1:26">
      <c r="A201" s="442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  <c r="Z201" s="242"/>
    </row>
    <row r="202" spans="1:26">
      <c r="A202" s="442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</row>
    <row r="203" spans="1:26">
      <c r="A203" s="442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  <c r="Z203" s="242"/>
    </row>
    <row r="204" spans="1:26">
      <c r="A204" s="4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  <c r="Z204" s="242"/>
    </row>
    <row r="205" spans="1:26">
      <c r="A205" s="4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  <c r="Z205" s="242"/>
    </row>
    <row r="206" spans="1:26">
      <c r="A206" s="4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  <c r="Z206" s="242"/>
    </row>
    <row r="207" spans="1:26">
      <c r="A207" s="4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  <c r="Z207" s="242"/>
    </row>
    <row r="208" spans="1:26">
      <c r="A208" s="442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  <c r="Z208" s="242"/>
    </row>
    <row r="209" spans="1:26">
      <c r="A209" s="442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  <c r="Z209" s="242"/>
    </row>
    <row r="210" spans="1:26">
      <c r="A210" s="442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  <c r="Z210" s="242"/>
    </row>
    <row r="211" spans="1:26">
      <c r="A211" s="442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  <c r="Z211" s="242"/>
    </row>
    <row r="212" spans="1:26">
      <c r="A212" s="442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  <c r="Z212" s="242"/>
    </row>
    <row r="213" spans="1:26">
      <c r="A213" s="442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</row>
    <row r="214" spans="1:26">
      <c r="A214" s="442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</row>
    <row r="215" spans="1:26">
      <c r="A215" s="442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  <c r="Z215" s="242"/>
    </row>
    <row r="216" spans="1:26">
      <c r="A216" s="4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</row>
    <row r="217" spans="1:26">
      <c r="A217" s="442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  <c r="Z217" s="242"/>
    </row>
    <row r="218" spans="1:26">
      <c r="A218" s="442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  <c r="Z218" s="242"/>
    </row>
    <row r="219" spans="1:26">
      <c r="A219" s="442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242"/>
    </row>
    <row r="220" spans="1:26">
      <c r="A220" s="442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</row>
    <row r="221" spans="1:26">
      <c r="A221" s="442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</row>
    <row r="222" spans="1:26">
      <c r="A222" s="442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</row>
    <row r="223" spans="1:26">
      <c r="A223" s="442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  <c r="Z223" s="242"/>
    </row>
    <row r="224" spans="1:26">
      <c r="A224" s="442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</row>
    <row r="225" spans="1:26">
      <c r="A225" s="442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</row>
    <row r="226" spans="1:26">
      <c r="A226" s="442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</row>
    <row r="227" spans="1:26">
      <c r="A227" s="442"/>
      <c r="C227" s="242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</row>
    <row r="228" spans="1:26">
      <c r="A228" s="442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</row>
    <row r="229" spans="1:26">
      <c r="A229" s="442"/>
      <c r="C229" s="242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  <c r="Z229" s="242"/>
    </row>
    <row r="230" spans="1:26">
      <c r="A230" s="442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  <c r="Z230" s="242"/>
    </row>
    <row r="231" spans="1:26">
      <c r="A231" s="442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  <c r="Z231" s="242"/>
    </row>
    <row r="232" spans="1:26">
      <c r="A232" s="442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  <c r="Z232" s="242"/>
    </row>
    <row r="233" spans="1:26">
      <c r="A233" s="442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</row>
    <row r="234" spans="1:26">
      <c r="A234" s="442"/>
      <c r="C234" s="242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  <c r="Z234" s="242"/>
    </row>
    <row r="235" spans="1:26">
      <c r="A235" s="442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</row>
    <row r="236" spans="1:26">
      <c r="A236" s="442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</row>
    <row r="237" spans="1:26">
      <c r="A237" s="442"/>
      <c r="C237" s="242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  <c r="Z237" s="242"/>
    </row>
    <row r="238" spans="1:26">
      <c r="A238" s="442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</row>
    <row r="239" spans="1:26">
      <c r="A239" s="442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</row>
    <row r="240" spans="1:26">
      <c r="A240" s="442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/>
    </row>
    <row r="241" spans="1:26">
      <c r="A241" s="442"/>
      <c r="C241" s="242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</row>
    <row r="242" spans="1:26">
      <c r="A242" s="442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  <c r="Z242" s="242"/>
    </row>
    <row r="243" spans="1:26">
      <c r="A243" s="442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</row>
    <row r="244" spans="1:26">
      <c r="A244" s="4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</row>
    <row r="245" spans="1:26">
      <c r="A245" s="442"/>
      <c r="C245" s="242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</row>
    <row r="246" spans="1:26">
      <c r="A246" s="442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</row>
    <row r="247" spans="1:26">
      <c r="A247" s="442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</row>
    <row r="248" spans="1:26">
      <c r="A248" s="442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  <c r="Z248" s="242"/>
    </row>
    <row r="249" spans="1:26">
      <c r="A249" s="442"/>
      <c r="C249" s="242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242"/>
    </row>
    <row r="250" spans="1:26">
      <c r="A250" s="442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</row>
    <row r="251" spans="1:26">
      <c r="A251" s="4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  <c r="Z251" s="242"/>
    </row>
    <row r="252" spans="1:26">
      <c r="A252" s="442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</row>
    <row r="253" spans="1:26">
      <c r="A253" s="442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</row>
    <row r="254" spans="1:26">
      <c r="A254" s="442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</row>
    <row r="255" spans="1:26">
      <c r="A255" s="442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  <c r="Z255" s="242"/>
    </row>
    <row r="256" spans="1:26">
      <c r="A256" s="442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  <c r="Z256" s="242"/>
    </row>
    <row r="257" spans="1:26">
      <c r="A257" s="442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  <c r="Z257" s="242"/>
    </row>
    <row r="258" spans="1:26">
      <c r="A258" s="442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  <c r="Z258" s="242"/>
    </row>
    <row r="259" spans="1:26">
      <c r="A259" s="442"/>
      <c r="C259" s="242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242"/>
    </row>
    <row r="260" spans="1:26">
      <c r="A260" s="442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</row>
    <row r="261" spans="1:26">
      <c r="A261" s="442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  <c r="Z261" s="242"/>
    </row>
    <row r="262" spans="1:26">
      <c r="A262" s="442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/>
    </row>
    <row r="263" spans="1:26">
      <c r="A263" s="442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  <c r="Z263" s="242"/>
    </row>
    <row r="264" spans="1:26">
      <c r="A264" s="442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  <c r="Z264" s="242"/>
    </row>
    <row r="265" spans="1:26">
      <c r="A265" s="442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242"/>
    </row>
    <row r="266" spans="1:26">
      <c r="A266" s="442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  <c r="Z266" s="242"/>
    </row>
    <row r="267" spans="1:26">
      <c r="A267" s="4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  <c r="Z267" s="242"/>
    </row>
    <row r="268" spans="1:26">
      <c r="A268" s="442"/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  <c r="Z268" s="242"/>
    </row>
    <row r="269" spans="1:26">
      <c r="A269" s="442"/>
      <c r="C269" s="242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242"/>
    </row>
    <row r="270" spans="1:26">
      <c r="A270" s="442"/>
      <c r="C270" s="242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  <c r="Z270" s="242"/>
    </row>
    <row r="271" spans="1:26">
      <c r="A271" s="442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  <c r="Z271" s="242"/>
    </row>
    <row r="272" spans="1:26">
      <c r="A272" s="442"/>
      <c r="C272" s="242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  <c r="Z272" s="242"/>
    </row>
    <row r="273" spans="1:26">
      <c r="A273" s="442"/>
      <c r="C273" s="242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  <c r="Z273" s="242"/>
    </row>
    <row r="274" spans="1:26">
      <c r="A274" s="442"/>
      <c r="C274" s="242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  <c r="Z274" s="242"/>
    </row>
    <row r="275" spans="1:26">
      <c r="A275" s="442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/>
    </row>
    <row r="276" spans="1:26">
      <c r="A276" s="442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  <c r="Z276" s="242"/>
    </row>
    <row r="277" spans="1:26">
      <c r="A277" s="442"/>
      <c r="C277" s="242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  <c r="Z277" s="242"/>
    </row>
    <row r="278" spans="1:26">
      <c r="A278" s="442"/>
      <c r="C278" s="242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  <c r="Z278" s="242"/>
    </row>
    <row r="279" spans="1:26">
      <c r="A279" s="442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  <c r="Z279" s="242"/>
    </row>
    <row r="280" spans="1:26">
      <c r="A280" s="442"/>
      <c r="C280" s="242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  <c r="Z280" s="242"/>
    </row>
    <row r="281" spans="1:26">
      <c r="A281" s="442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  <c r="Z281" s="242"/>
    </row>
    <row r="282" spans="1:26">
      <c r="A282" s="442"/>
      <c r="C282" s="242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</row>
    <row r="283" spans="1:26">
      <c r="A283" s="442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  <c r="Z283" s="242"/>
    </row>
    <row r="284" spans="1:26">
      <c r="A284" s="442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  <c r="Y284" s="242"/>
      <c r="Z284" s="242"/>
    </row>
    <row r="285" spans="1:26">
      <c r="A285" s="442"/>
      <c r="C285" s="242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  <c r="Z285" s="242"/>
    </row>
    <row r="286" spans="1:26">
      <c r="A286" s="442"/>
      <c r="C286" s="242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  <c r="Z286" s="242"/>
    </row>
    <row r="287" spans="1:26">
      <c r="A287" s="442"/>
      <c r="C287" s="242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  <c r="Z287" s="242"/>
    </row>
    <row r="288" spans="1:26">
      <c r="A288" s="442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  <c r="Z288" s="242"/>
    </row>
    <row r="289" spans="1:26">
      <c r="A289" s="442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</row>
    <row r="290" spans="1:26">
      <c r="A290" s="442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  <c r="Z290" s="242"/>
    </row>
    <row r="291" spans="1:26">
      <c r="A291" s="442"/>
      <c r="C291" s="242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  <c r="Z291" s="242"/>
    </row>
    <row r="292" spans="1:26">
      <c r="A292" s="442"/>
      <c r="C292" s="242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  <c r="Z292" s="242"/>
    </row>
    <row r="293" spans="1:26">
      <c r="A293" s="442"/>
      <c r="C293" s="242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242"/>
    </row>
    <row r="294" spans="1:26">
      <c r="A294" s="442"/>
      <c r="C294" s="242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  <c r="Z294" s="242"/>
    </row>
    <row r="295" spans="1:26">
      <c r="A295" s="442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</row>
    <row r="296" spans="1:26">
      <c r="A296" s="442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</row>
    <row r="297" spans="1:26">
      <c r="A297" s="442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  <c r="Z297" s="242"/>
    </row>
    <row r="298" spans="1:26">
      <c r="A298" s="442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  <c r="Z298" s="242"/>
    </row>
    <row r="299" spans="1:26">
      <c r="A299" s="442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  <c r="Z299" s="242"/>
    </row>
    <row r="300" spans="1:26">
      <c r="A300" s="442"/>
      <c r="C300" s="242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  <c r="Z300" s="242"/>
    </row>
    <row r="301" spans="1:26">
      <c r="A301" s="442"/>
      <c r="C301" s="242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  <c r="Z301" s="242"/>
    </row>
    <row r="302" spans="1:26">
      <c r="A302" s="442"/>
      <c r="C302" s="242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</row>
    <row r="303" spans="1:26">
      <c r="A303" s="442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</row>
    <row r="304" spans="1:26">
      <c r="A304" s="442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  <c r="Z304" s="242"/>
    </row>
    <row r="305" spans="1:26">
      <c r="A305" s="442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  <c r="Z305" s="242"/>
    </row>
    <row r="306" spans="1:26">
      <c r="A306" s="442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  <c r="Z306" s="242"/>
    </row>
    <row r="307" spans="1:26">
      <c r="A307" s="442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  <c r="Z307" s="242"/>
    </row>
    <row r="308" spans="1:26">
      <c r="A308" s="442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  <c r="Z308" s="242"/>
    </row>
    <row r="309" spans="1:26">
      <c r="A309" s="442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  <c r="Z309" s="242"/>
    </row>
    <row r="310" spans="1:26">
      <c r="A310" s="442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  <c r="Z310" s="242"/>
    </row>
    <row r="311" spans="1:26">
      <c r="A311" s="442"/>
      <c r="C311" s="242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  <c r="Z311" s="242"/>
    </row>
    <row r="312" spans="1:26">
      <c r="A312" s="442"/>
      <c r="C312" s="242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  <c r="Z312" s="242"/>
    </row>
    <row r="313" spans="1:26">
      <c r="A313" s="442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42"/>
      <c r="W313" s="242"/>
      <c r="X313" s="242"/>
      <c r="Y313" s="242"/>
      <c r="Z313" s="242"/>
    </row>
    <row r="314" spans="1:26">
      <c r="A314" s="442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  <c r="Z314" s="242"/>
    </row>
    <row r="315" spans="1:26">
      <c r="A315" s="442"/>
      <c r="C315" s="242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  <c r="Z315" s="242"/>
    </row>
    <row r="316" spans="1:26">
      <c r="A316" s="442"/>
      <c r="C316" s="242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  <c r="Z316" s="242"/>
    </row>
    <row r="317" spans="1:26">
      <c r="A317" s="442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  <c r="Z317" s="242"/>
    </row>
    <row r="318" spans="1:26">
      <c r="A318" s="442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  <c r="Z318" s="242"/>
    </row>
    <row r="319" spans="1:26">
      <c r="A319" s="442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  <c r="Z319" s="242"/>
    </row>
    <row r="320" spans="1:26">
      <c r="A320" s="442"/>
      <c r="C320" s="242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  <c r="Z320" s="242"/>
    </row>
    <row r="321" spans="1:26">
      <c r="A321" s="442"/>
      <c r="C321" s="242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42"/>
      <c r="W321" s="242"/>
      <c r="X321" s="242"/>
      <c r="Y321" s="242"/>
      <c r="Z321" s="242"/>
    </row>
    <row r="322" spans="1:26">
      <c r="A322" s="442"/>
      <c r="C322" s="242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  <c r="Z322" s="242"/>
    </row>
    <row r="323" spans="1:26">
      <c r="A323" s="442"/>
      <c r="C323" s="242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  <c r="Z323" s="242"/>
    </row>
    <row r="324" spans="1:26">
      <c r="A324" s="442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  <c r="Z324" s="242"/>
    </row>
    <row r="325" spans="1:26">
      <c r="A325" s="442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  <c r="Z325" s="242"/>
    </row>
    <row r="326" spans="1:26">
      <c r="A326" s="442"/>
      <c r="C326" s="242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</row>
    <row r="327" spans="1:26">
      <c r="A327" s="442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</row>
    <row r="328" spans="1:26">
      <c r="A328" s="442"/>
      <c r="C328" s="242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</row>
    <row r="329" spans="1:26">
      <c r="A329" s="442"/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</row>
    <row r="330" spans="1:26">
      <c r="A330" s="442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</row>
    <row r="331" spans="1:26">
      <c r="A331" s="442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</row>
    <row r="332" spans="1:26">
      <c r="A332" s="442"/>
      <c r="C332" s="242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</row>
    <row r="333" spans="1:26">
      <c r="A333" s="442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</row>
    <row r="334" spans="1:26">
      <c r="A334" s="442"/>
      <c r="C334" s="242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</row>
    <row r="335" spans="1:26">
      <c r="A335" s="442"/>
      <c r="C335" s="242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</row>
    <row r="336" spans="1:26">
      <c r="A336" s="442"/>
      <c r="C336" s="242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</row>
    <row r="337" spans="1:26">
      <c r="A337" s="442"/>
      <c r="C337" s="242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</row>
    <row r="338" spans="1:26">
      <c r="A338" s="442"/>
      <c r="C338" s="242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</row>
    <row r="339" spans="1:26">
      <c r="A339" s="442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</row>
    <row r="340" spans="1:26">
      <c r="A340" s="442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</row>
    <row r="341" spans="1:26">
      <c r="A341" s="442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</row>
    <row r="342" spans="1:26">
      <c r="A342" s="442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</row>
    <row r="343" spans="1:26">
      <c r="A343" s="442"/>
      <c r="C343" s="242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</row>
    <row r="344" spans="1:26">
      <c r="A344" s="442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  <c r="Z344" s="242"/>
    </row>
    <row r="345" spans="1:26">
      <c r="A345" s="442"/>
      <c r="C345" s="242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</row>
    <row r="346" spans="1:26">
      <c r="A346" s="442"/>
      <c r="C346" s="242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</row>
    <row r="347" spans="1:26">
      <c r="A347" s="442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</row>
    <row r="348" spans="1:26">
      <c r="A348" s="442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</row>
    <row r="349" spans="1:26">
      <c r="A349" s="442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  <c r="Z349" s="242"/>
    </row>
    <row r="350" spans="1:26">
      <c r="A350" s="442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</row>
    <row r="351" spans="1:26">
      <c r="A351" s="442"/>
      <c r="C351" s="242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</row>
    <row r="352" spans="1:26">
      <c r="A352" s="442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</row>
    <row r="353" spans="1:26">
      <c r="A353" s="442"/>
      <c r="C353" s="242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</row>
    <row r="354" spans="1:26">
      <c r="A354" s="442"/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</row>
    <row r="355" spans="1:26">
      <c r="A355" s="442"/>
      <c r="C355" s="242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</row>
    <row r="356" spans="1:26">
      <c r="A356" s="442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</row>
    <row r="357" spans="1:26">
      <c r="A357" s="442"/>
      <c r="C357" s="242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  <c r="Z357" s="242"/>
    </row>
    <row r="358" spans="1:26">
      <c r="A358" s="442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</row>
    <row r="359" spans="1:26">
      <c r="A359" s="442"/>
      <c r="C359" s="242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</row>
    <row r="360" spans="1:26">
      <c r="A360" s="442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</row>
    <row r="361" spans="1:26">
      <c r="A361" s="442"/>
      <c r="C361" s="242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</row>
    <row r="362" spans="1:26">
      <c r="A362" s="442"/>
      <c r="C362" s="242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</row>
    <row r="363" spans="1:26">
      <c r="A363" s="442"/>
      <c r="C363" s="242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</row>
    <row r="364" spans="1:26">
      <c r="A364" s="442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</row>
    <row r="365" spans="1:26">
      <c r="A365" s="442"/>
      <c r="C365" s="242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</row>
    <row r="366" spans="1:26">
      <c r="A366" s="442"/>
      <c r="C366" s="242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</row>
    <row r="367" spans="1:26">
      <c r="A367" s="442"/>
      <c r="C367" s="242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</row>
    <row r="368" spans="1:26">
      <c r="A368" s="442"/>
      <c r="C368" s="242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</row>
    <row r="369" spans="1:26">
      <c r="A369" s="442"/>
      <c r="C369" s="242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  <c r="Z369" s="242"/>
    </row>
    <row r="370" spans="1:26">
      <c r="A370" s="442"/>
      <c r="C370" s="242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  <c r="Y370" s="242"/>
      <c r="Z370" s="242"/>
    </row>
    <row r="371" spans="1:26">
      <c r="A371" s="442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  <c r="Y371" s="242"/>
      <c r="Z371" s="242"/>
    </row>
    <row r="372" spans="1:26">
      <c r="A372" s="442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  <c r="Y372" s="242"/>
      <c r="Z372" s="242"/>
    </row>
    <row r="373" spans="1:26">
      <c r="A373" s="442"/>
      <c r="C373" s="242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  <c r="Y373" s="242"/>
      <c r="Z373" s="242"/>
    </row>
    <row r="374" spans="1:26">
      <c r="A374" s="442"/>
      <c r="C374" s="242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  <c r="Z374" s="242"/>
    </row>
    <row r="375" spans="1:26">
      <c r="A375" s="442"/>
      <c r="C375" s="242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  <c r="Y375" s="242"/>
      <c r="Z375" s="242"/>
    </row>
    <row r="376" spans="1:26">
      <c r="A376" s="442"/>
      <c r="C376" s="242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  <c r="Y376" s="242"/>
      <c r="Z376" s="242"/>
    </row>
    <row r="377" spans="1:26">
      <c r="A377" s="442"/>
      <c r="C377" s="242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  <c r="Y377" s="242"/>
      <c r="Z377" s="242"/>
    </row>
    <row r="378" spans="1:26">
      <c r="A378" s="442"/>
      <c r="C378" s="242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  <c r="Y378" s="242"/>
      <c r="Z378" s="242"/>
    </row>
    <row r="379" spans="1:26">
      <c r="A379" s="442"/>
      <c r="C379" s="242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  <c r="Y379" s="242"/>
      <c r="Z379" s="242"/>
    </row>
    <row r="380" spans="1:26">
      <c r="A380" s="442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  <c r="Y380" s="242"/>
      <c r="Z380" s="242"/>
    </row>
    <row r="381" spans="1:26">
      <c r="A381" s="442"/>
      <c r="C381" s="242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  <c r="Y381" s="242"/>
      <c r="Z381" s="242"/>
    </row>
    <row r="382" spans="1:26">
      <c r="A382" s="442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  <c r="Z382" s="242"/>
    </row>
    <row r="383" spans="1:26">
      <c r="A383" s="442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</row>
    <row r="384" spans="1:26">
      <c r="A384" s="442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  <c r="Y384" s="242"/>
      <c r="Z384" s="242"/>
    </row>
    <row r="385" spans="1:26">
      <c r="A385" s="442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  <c r="Y385" s="242"/>
      <c r="Z385" s="242"/>
    </row>
    <row r="386" spans="1:26">
      <c r="A386" s="442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  <c r="Y386" s="242"/>
      <c r="Z386" s="242"/>
    </row>
    <row r="387" spans="1:26">
      <c r="A387" s="442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  <c r="Z387" s="242"/>
    </row>
    <row r="388" spans="1:26">
      <c r="A388" s="442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  <c r="Z388" s="242"/>
    </row>
    <row r="389" spans="1:26">
      <c r="A389" s="442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  <c r="Z389" s="242"/>
    </row>
    <row r="390" spans="1:26">
      <c r="A390" s="442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  <c r="Z390" s="242"/>
    </row>
    <row r="391" spans="1:26">
      <c r="A391" s="442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  <c r="Y391" s="242"/>
      <c r="Z391" s="242"/>
    </row>
    <row r="392" spans="1:26">
      <c r="A392" s="442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  <c r="Z392" s="242"/>
    </row>
    <row r="393" spans="1:26">
      <c r="A393" s="442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  <c r="Z393" s="242"/>
    </row>
    <row r="394" spans="1:26">
      <c r="A394" s="442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  <c r="Z394" s="242"/>
    </row>
    <row r="395" spans="1:26">
      <c r="A395" s="442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  <c r="Z395" s="242"/>
    </row>
    <row r="396" spans="1:26">
      <c r="A396" s="442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  <c r="Z396" s="242"/>
    </row>
    <row r="397" spans="1:26">
      <c r="A397" s="442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  <c r="Z397" s="242"/>
    </row>
    <row r="398" spans="1:26">
      <c r="A398" s="442"/>
      <c r="C398" s="242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  <c r="Z398" s="242"/>
    </row>
    <row r="399" spans="1:26">
      <c r="A399" s="442"/>
      <c r="C399" s="242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42"/>
      <c r="W399" s="242"/>
      <c r="X399" s="242"/>
      <c r="Y399" s="242"/>
      <c r="Z399" s="242"/>
    </row>
    <row r="400" spans="1:26">
      <c r="A400" s="442"/>
      <c r="C400" s="242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  <c r="Z400" s="242"/>
    </row>
    <row r="401" spans="1:26">
      <c r="A401" s="442"/>
      <c r="C401" s="242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  <c r="Z401" s="242"/>
    </row>
    <row r="402" spans="1:26">
      <c r="A402" s="442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  <c r="Z402" s="242"/>
    </row>
    <row r="403" spans="1:26">
      <c r="A403" s="442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  <c r="Z403" s="242"/>
    </row>
    <row r="404" spans="1:26">
      <c r="A404" s="442"/>
      <c r="C404" s="242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  <c r="Z404" s="242"/>
    </row>
    <row r="405" spans="1:26">
      <c r="A405" s="442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  <c r="Z405" s="242"/>
    </row>
    <row r="406" spans="1:26">
      <c r="A406" s="442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  <c r="Z406" s="242"/>
    </row>
    <row r="407" spans="1:26">
      <c r="A407" s="442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  <c r="Z407" s="242"/>
    </row>
    <row r="408" spans="1:26">
      <c r="A408" s="442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</row>
    <row r="409" spans="1:26">
      <c r="A409" s="442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  <c r="Z409" s="242"/>
    </row>
    <row r="410" spans="1:26">
      <c r="A410" s="442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  <c r="Z410" s="242"/>
    </row>
    <row r="411" spans="1:26">
      <c r="A411" s="442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</row>
    <row r="412" spans="1:26">
      <c r="A412" s="442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  <c r="Z412" s="242"/>
    </row>
    <row r="413" spans="1:26">
      <c r="A413" s="442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  <c r="Z413" s="242"/>
    </row>
    <row r="414" spans="1:26">
      <c r="A414" s="442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  <c r="Z414" s="242"/>
    </row>
    <row r="415" spans="1:26">
      <c r="A415" s="442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  <c r="Z415" s="242"/>
    </row>
    <row r="416" spans="1:26">
      <c r="A416" s="442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  <c r="Z416" s="242"/>
    </row>
    <row r="417" spans="1:26">
      <c r="A417" s="442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  <c r="Z417" s="242"/>
    </row>
    <row r="418" spans="1:26">
      <c r="A418" s="442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  <c r="Z418" s="242"/>
    </row>
    <row r="419" spans="1:26">
      <c r="A419" s="442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  <c r="Z419" s="242"/>
    </row>
    <row r="420" spans="1:26">
      <c r="A420" s="442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  <c r="Z420" s="242"/>
    </row>
    <row r="421" spans="1:26">
      <c r="A421" s="442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  <c r="Z421" s="242"/>
    </row>
    <row r="422" spans="1:26">
      <c r="A422" s="442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  <c r="Z422" s="242"/>
    </row>
    <row r="423" spans="1:26">
      <c r="A423" s="442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  <c r="Z423" s="242"/>
    </row>
    <row r="424" spans="1:26">
      <c r="A424" s="442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</row>
    <row r="425" spans="1:26">
      <c r="A425" s="442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</row>
    <row r="426" spans="1:26">
      <c r="A426" s="442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</row>
    <row r="427" spans="1:26">
      <c r="A427" s="442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  <c r="Z427" s="242"/>
    </row>
    <row r="428" spans="1:26">
      <c r="A428" s="442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  <c r="Z428" s="242"/>
    </row>
    <row r="429" spans="1:26">
      <c r="A429" s="442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  <c r="Z429" s="242"/>
    </row>
    <row r="430" spans="1:26">
      <c r="A430" s="442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  <c r="Z430" s="242"/>
    </row>
    <row r="431" spans="1:26">
      <c r="A431" s="442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  <c r="Z431" s="242"/>
    </row>
    <row r="432" spans="1:26">
      <c r="A432" s="442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</row>
    <row r="433" spans="1:26">
      <c r="A433" s="442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  <c r="Z433" s="242"/>
    </row>
    <row r="434" spans="1:26">
      <c r="A434" s="442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  <c r="Z434" s="242"/>
    </row>
    <row r="435" spans="1:26">
      <c r="A435" s="442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  <c r="Z435" s="242"/>
    </row>
    <row r="436" spans="1:26">
      <c r="A436" s="442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  <c r="Z436" s="242"/>
    </row>
    <row r="437" spans="1:26">
      <c r="A437" s="442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  <c r="Z437" s="242"/>
    </row>
    <row r="438" spans="1:26">
      <c r="A438" s="442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  <c r="Z438" s="242"/>
    </row>
    <row r="439" spans="1:26">
      <c r="A439" s="442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</row>
    <row r="440" spans="1:26">
      <c r="A440" s="442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  <c r="Z440" s="242"/>
    </row>
    <row r="441" spans="1:26">
      <c r="A441" s="442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  <c r="Z441" s="242"/>
    </row>
    <row r="442" spans="1:26">
      <c r="A442" s="442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  <c r="Z442" s="242"/>
    </row>
    <row r="443" spans="1:26">
      <c r="A443" s="442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  <c r="Z443" s="242"/>
    </row>
    <row r="444" spans="1:26">
      <c r="A444" s="442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  <c r="Z444" s="242"/>
    </row>
    <row r="445" spans="1:26">
      <c r="A445" s="442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</row>
    <row r="446" spans="1:26">
      <c r="A446" s="442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  <c r="Z446" s="242"/>
    </row>
    <row r="447" spans="1:26">
      <c r="A447" s="442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  <c r="Z447" s="242"/>
    </row>
    <row r="448" spans="1:26">
      <c r="A448" s="442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  <c r="Z448" s="242"/>
    </row>
    <row r="449" spans="1:26">
      <c r="A449" s="442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  <c r="Z449" s="242"/>
    </row>
    <row r="450" spans="1:26">
      <c r="A450" s="442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</row>
    <row r="451" spans="1:26">
      <c r="A451" s="442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  <c r="Z451" s="242"/>
    </row>
    <row r="452" spans="1:26">
      <c r="A452" s="442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  <c r="Z452" s="242"/>
    </row>
    <row r="453" spans="1:26">
      <c r="A453" s="442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</row>
    <row r="454" spans="1:26">
      <c r="A454" s="442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</row>
    <row r="455" spans="1:26">
      <c r="A455" s="442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</row>
    <row r="456" spans="1:26">
      <c r="A456" s="4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</row>
    <row r="457" spans="1:26">
      <c r="A457" s="442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/>
    </row>
    <row r="458" spans="1:26">
      <c r="A458" s="442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  <c r="Z458" s="242"/>
    </row>
    <row r="459" spans="1:26">
      <c r="A459" s="442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  <c r="Z459" s="242"/>
    </row>
    <row r="460" spans="1:26">
      <c r="A460" s="442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</row>
    <row r="461" spans="1:26">
      <c r="A461" s="442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  <c r="Z461" s="242"/>
    </row>
    <row r="462" spans="1:26">
      <c r="A462" s="442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  <c r="Z462" s="242"/>
    </row>
    <row r="463" spans="1:26">
      <c r="A463" s="442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  <c r="Z463" s="242"/>
    </row>
    <row r="464" spans="1:26">
      <c r="A464" s="442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</row>
    <row r="465" spans="1:26">
      <c r="A465" s="442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  <c r="Z465" s="242"/>
    </row>
    <row r="466" spans="1:26">
      <c r="A466" s="442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  <c r="Z466" s="242"/>
    </row>
    <row r="467" spans="1:26">
      <c r="A467" s="442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</row>
    <row r="468" spans="1:26">
      <c r="A468" s="442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</row>
    <row r="469" spans="1:26">
      <c r="A469" s="442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</row>
    <row r="470" spans="1:26">
      <c r="A470" s="442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  <c r="Z470" s="242"/>
    </row>
    <row r="471" spans="1:26">
      <c r="A471" s="442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  <c r="Z471" s="242"/>
    </row>
    <row r="472" spans="1:26">
      <c r="A472" s="442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</row>
    <row r="473" spans="1:26">
      <c r="A473" s="442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  <c r="Z473" s="242"/>
    </row>
    <row r="474" spans="1:26">
      <c r="A474" s="442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  <c r="Z474" s="242"/>
    </row>
    <row r="475" spans="1:26">
      <c r="A475" s="442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  <c r="Z475" s="242"/>
    </row>
    <row r="476" spans="1:26">
      <c r="A476" s="442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</row>
    <row r="477" spans="1:26">
      <c r="A477" s="442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</row>
    <row r="478" spans="1:26">
      <c r="A478" s="442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</row>
    <row r="479" spans="1:26">
      <c r="A479" s="442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  <c r="Z479" s="242"/>
    </row>
    <row r="480" spans="1:26">
      <c r="A480" s="442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  <c r="Z480" s="242"/>
    </row>
    <row r="481" spans="1:26">
      <c r="A481" s="442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  <c r="Z481" s="242"/>
    </row>
    <row r="482" spans="1:26">
      <c r="A482" s="442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  <c r="Z482" s="242"/>
    </row>
    <row r="483" spans="1:26">
      <c r="A483" s="442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  <c r="Z483" s="242"/>
    </row>
    <row r="484" spans="1:26">
      <c r="A484" s="442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  <c r="Z484" s="242"/>
    </row>
    <row r="485" spans="1:26">
      <c r="A485" s="442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  <c r="Z485" s="242"/>
    </row>
    <row r="486" spans="1:26">
      <c r="A486" s="442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  <c r="Z486" s="242"/>
    </row>
    <row r="487" spans="1:26">
      <c r="A487" s="442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  <c r="Z487" s="242"/>
    </row>
    <row r="488" spans="1:26">
      <c r="A488" s="442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  <c r="Z488" s="242"/>
    </row>
    <row r="489" spans="1:26">
      <c r="A489" s="442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  <c r="Z489" s="242"/>
    </row>
    <row r="490" spans="1:26">
      <c r="A490" s="442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  <c r="Z490" s="242"/>
    </row>
    <row r="491" spans="1:26">
      <c r="A491" s="442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</row>
    <row r="492" spans="1:26">
      <c r="A492" s="442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  <c r="Z492" s="242"/>
    </row>
    <row r="493" spans="1:26">
      <c r="A493" s="442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  <c r="Z493" s="242"/>
    </row>
    <row r="494" spans="1:26">
      <c r="A494" s="442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  <c r="Z494" s="242"/>
    </row>
    <row r="495" spans="1:26">
      <c r="A495" s="442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  <c r="Z495" s="242"/>
    </row>
    <row r="496" spans="1:26">
      <c r="A496" s="442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  <c r="Z496" s="242"/>
    </row>
    <row r="497" spans="1:26">
      <c r="A497" s="442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  <c r="Z497" s="242"/>
    </row>
    <row r="498" spans="1:26">
      <c r="A498" s="442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</row>
    <row r="499" spans="1:26">
      <c r="A499" s="442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  <c r="Z499" s="242"/>
    </row>
    <row r="500" spans="1:26">
      <c r="A500" s="442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  <c r="Z500" s="242"/>
    </row>
    <row r="501" spans="1:26">
      <c r="A501" s="442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  <c r="Z501" s="242"/>
    </row>
    <row r="502" spans="1:26">
      <c r="A502" s="442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</row>
    <row r="503" spans="1:26">
      <c r="A503" s="442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  <c r="Z503" s="242"/>
    </row>
    <row r="504" spans="1:26">
      <c r="A504" s="442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  <c r="Z504" s="242"/>
    </row>
    <row r="505" spans="1:26">
      <c r="A505" s="442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</row>
    <row r="506" spans="1:26">
      <c r="A506" s="442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  <c r="Z506" s="242"/>
    </row>
    <row r="507" spans="1:26">
      <c r="A507" s="442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  <c r="Z507" s="242"/>
    </row>
    <row r="508" spans="1:26">
      <c r="A508" s="442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  <c r="Z508" s="242"/>
    </row>
    <row r="509" spans="1:26">
      <c r="A509" s="442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  <c r="Z509" s="242"/>
    </row>
    <row r="510" spans="1:26">
      <c r="A510" s="442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  <c r="Z510" s="242"/>
    </row>
    <row r="511" spans="1:26">
      <c r="A511" s="442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</row>
    <row r="512" spans="1:26">
      <c r="A512" s="442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</row>
    <row r="513" spans="1:26">
      <c r="A513" s="442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  <c r="Z513" s="242"/>
    </row>
    <row r="514" spans="1:26">
      <c r="A514" s="442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</row>
    <row r="515" spans="1:26">
      <c r="A515" s="442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</row>
    <row r="516" spans="1:26">
      <c r="A516" s="442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  <c r="Z516" s="242"/>
    </row>
    <row r="517" spans="1:26">
      <c r="A517" s="442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  <c r="Z517" s="242"/>
    </row>
    <row r="518" spans="1:26">
      <c r="A518" s="442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  <c r="Z518" s="242"/>
    </row>
    <row r="519" spans="1:26">
      <c r="A519" s="442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  <c r="Z519" s="242"/>
    </row>
    <row r="520" spans="1:26">
      <c r="A520" s="442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  <c r="Z520" s="242"/>
    </row>
    <row r="521" spans="1:26">
      <c r="A521" s="442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  <c r="Z521" s="242"/>
    </row>
    <row r="522" spans="1:26">
      <c r="A522" s="442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  <c r="Z522" s="242"/>
    </row>
    <row r="523" spans="1:26">
      <c r="A523" s="442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</row>
    <row r="524" spans="1:26">
      <c r="A524" s="442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</row>
    <row r="525" spans="1:26">
      <c r="A525" s="442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  <c r="Z525" s="242"/>
    </row>
    <row r="526" spans="1:26">
      <c r="A526" s="442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</row>
    <row r="527" spans="1:26">
      <c r="A527" s="4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  <c r="Z527" s="242"/>
    </row>
    <row r="528" spans="1:26">
      <c r="A528" s="442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  <c r="Z528" s="242"/>
    </row>
    <row r="529" spans="1:26">
      <c r="A529" s="442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  <c r="Z529" s="242"/>
    </row>
    <row r="530" spans="1:26">
      <c r="A530" s="442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  <c r="Z530" s="242"/>
    </row>
    <row r="531" spans="1:26">
      <c r="A531" s="442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  <c r="Z531" s="242"/>
    </row>
    <row r="532" spans="1:26">
      <c r="A532" s="442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  <c r="Z532" s="242"/>
    </row>
    <row r="533" spans="1:26">
      <c r="A533" s="442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  <c r="Z533" s="242"/>
    </row>
    <row r="534" spans="1:26">
      <c r="A534" s="442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  <c r="Z534" s="242"/>
    </row>
    <row r="535" spans="1:26">
      <c r="A535" s="442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  <c r="Z535" s="242"/>
    </row>
    <row r="536" spans="1:26">
      <c r="A536" s="442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  <c r="Z536" s="242"/>
    </row>
    <row r="537" spans="1:26">
      <c r="A537" s="442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  <c r="Z537" s="242"/>
    </row>
    <row r="538" spans="1:26">
      <c r="A538" s="442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  <c r="Z538" s="242"/>
    </row>
    <row r="539" spans="1:26">
      <c r="A539" s="442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  <c r="Z539" s="242"/>
    </row>
    <row r="540" spans="1:26">
      <c r="A540" s="442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</row>
    <row r="541" spans="1:26">
      <c r="A541" s="442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</row>
    <row r="542" spans="1:26">
      <c r="A542" s="4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  <c r="Z542" s="242"/>
    </row>
    <row r="543" spans="1:26">
      <c r="A543" s="442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  <c r="Z543" s="242"/>
    </row>
    <row r="544" spans="1:26">
      <c r="A544" s="442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  <c r="Z544" s="242"/>
    </row>
    <row r="545" spans="1:26">
      <c r="A545" s="442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  <c r="Z545" s="242"/>
    </row>
    <row r="546" spans="1:26">
      <c r="A546" s="442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  <c r="Z546" s="242"/>
    </row>
    <row r="547" spans="1:26">
      <c r="A547" s="442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  <c r="Z547" s="242"/>
    </row>
    <row r="548" spans="1:26">
      <c r="A548" s="442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  <c r="Z548" s="242"/>
    </row>
    <row r="549" spans="1:26">
      <c r="A549" s="442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  <c r="Z549" s="242"/>
    </row>
    <row r="550" spans="1:26">
      <c r="A550" s="442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  <c r="Z550" s="242"/>
    </row>
    <row r="551" spans="1:26">
      <c r="A551" s="442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  <c r="Z551" s="242"/>
    </row>
    <row r="552" spans="1:26">
      <c r="A552" s="442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  <c r="Z552" s="242"/>
    </row>
    <row r="553" spans="1:26">
      <c r="A553" s="442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  <c r="Z553" s="242"/>
    </row>
    <row r="554" spans="1:26">
      <c r="A554" s="442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</row>
    <row r="555" spans="1:26">
      <c r="A555" s="442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</row>
    <row r="556" spans="1:26">
      <c r="A556" s="442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  <c r="Z556" s="242"/>
    </row>
    <row r="557" spans="1:26">
      <c r="A557" s="442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  <c r="Z557" s="242"/>
    </row>
    <row r="558" spans="1:26">
      <c r="A558" s="442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  <c r="Z558" s="242"/>
    </row>
    <row r="559" spans="1:26">
      <c r="A559" s="442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  <c r="Z559" s="242"/>
    </row>
    <row r="560" spans="1:26">
      <c r="A560" s="442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  <c r="Z560" s="242"/>
    </row>
    <row r="561" spans="1:26">
      <c r="A561" s="442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  <c r="Z561" s="242"/>
    </row>
    <row r="562" spans="1:26">
      <c r="A562" s="442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  <c r="Z562" s="242"/>
    </row>
    <row r="563" spans="1:26">
      <c r="A563" s="442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  <c r="Z563" s="242"/>
    </row>
    <row r="564" spans="1:26">
      <c r="A564" s="442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  <c r="Z564" s="242"/>
    </row>
    <row r="565" spans="1:26">
      <c r="A565" s="442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  <c r="Z565" s="242"/>
    </row>
    <row r="566" spans="1:26">
      <c r="A566" s="442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  <c r="Z566" s="242"/>
    </row>
    <row r="567" spans="1:26">
      <c r="A567" s="442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  <c r="Z567" s="242"/>
    </row>
    <row r="568" spans="1:26">
      <c r="A568" s="442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  <c r="Z568" s="242"/>
    </row>
    <row r="569" spans="1:26">
      <c r="A569" s="442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  <c r="Z569" s="242"/>
    </row>
    <row r="570" spans="1:26">
      <c r="A570" s="442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  <c r="Z570" s="242"/>
    </row>
    <row r="571" spans="1:26">
      <c r="A571" s="442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  <c r="Z571" s="242"/>
    </row>
    <row r="572" spans="1:26">
      <c r="A572" s="442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  <c r="Z572" s="242"/>
    </row>
    <row r="573" spans="1:26">
      <c r="A573" s="442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  <c r="Z573" s="242"/>
    </row>
    <row r="574" spans="1:26">
      <c r="A574" s="442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  <c r="Z574" s="242"/>
    </row>
    <row r="575" spans="1:26">
      <c r="A575" s="442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  <c r="Z575" s="242"/>
    </row>
    <row r="576" spans="1:26">
      <c r="A576" s="442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  <c r="Z576" s="242"/>
    </row>
    <row r="577" spans="1:26">
      <c r="A577" s="442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  <c r="Z577" s="242"/>
    </row>
    <row r="578" spans="1:26">
      <c r="A578" s="442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  <c r="Z578" s="242"/>
    </row>
    <row r="579" spans="1:26">
      <c r="A579" s="442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</row>
    <row r="580" spans="1:26">
      <c r="A580" s="442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  <c r="Z580" s="242"/>
    </row>
    <row r="581" spans="1:26">
      <c r="A581" s="442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  <c r="Z581" s="242"/>
    </row>
    <row r="582" spans="1:26">
      <c r="A582" s="442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  <c r="Z582" s="242"/>
    </row>
    <row r="583" spans="1:26">
      <c r="A583" s="442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  <c r="Z583" s="242"/>
    </row>
    <row r="584" spans="1:26">
      <c r="A584" s="442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  <c r="Z584" s="242"/>
    </row>
    <row r="585" spans="1:26">
      <c r="A585" s="442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  <c r="Z585" s="242"/>
    </row>
    <row r="586" spans="1:26">
      <c r="A586" s="442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  <c r="Z586" s="242"/>
    </row>
    <row r="587" spans="1:26">
      <c r="A587" s="442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  <c r="Z587" s="242"/>
    </row>
    <row r="588" spans="1:26">
      <c r="A588" s="442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  <c r="Z588" s="242"/>
    </row>
    <row r="589" spans="1:26">
      <c r="A589" s="442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  <c r="Z589" s="242"/>
    </row>
    <row r="590" spans="1:26">
      <c r="A590" s="442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  <c r="Z590" s="242"/>
    </row>
    <row r="591" spans="1:26">
      <c r="A591" s="442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  <c r="Z591" s="242"/>
    </row>
    <row r="592" spans="1:26">
      <c r="A592" s="442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  <c r="Z592" s="242"/>
    </row>
    <row r="593" spans="1:26">
      <c r="A593" s="442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  <c r="Z593" s="242"/>
    </row>
    <row r="594" spans="1:26">
      <c r="A594" s="442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  <c r="Z594" s="242"/>
    </row>
    <row r="595" spans="1:26">
      <c r="A595" s="442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  <c r="Z595" s="242"/>
    </row>
    <row r="596" spans="1:26">
      <c r="A596" s="442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  <c r="Z596" s="242"/>
    </row>
    <row r="597" spans="1:26">
      <c r="A597" s="442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</row>
    <row r="598" spans="1:26">
      <c r="A598" s="442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  <c r="Z598" s="242"/>
    </row>
    <row r="599" spans="1:26">
      <c r="A599" s="442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  <c r="Z599" s="242"/>
    </row>
    <row r="600" spans="1:26">
      <c r="A600" s="442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  <c r="Z600" s="242"/>
    </row>
    <row r="601" spans="1:26">
      <c r="A601" s="442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  <c r="Z601" s="242"/>
    </row>
    <row r="602" spans="1:26">
      <c r="A602" s="442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  <c r="Z602" s="242"/>
    </row>
    <row r="603" spans="1:26">
      <c r="A603" s="442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  <c r="Z603" s="242"/>
    </row>
    <row r="604" spans="1:26">
      <c r="A604" s="442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  <c r="Z604" s="242"/>
    </row>
    <row r="605" spans="1:26">
      <c r="A605" s="442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  <c r="Z605" s="242"/>
    </row>
    <row r="606" spans="1:26">
      <c r="A606" s="442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  <c r="Z606" s="242"/>
    </row>
    <row r="607" spans="1:26">
      <c r="A607" s="442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  <c r="Z607" s="242"/>
    </row>
    <row r="608" spans="1:26">
      <c r="A608" s="442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  <c r="Z608" s="242"/>
    </row>
    <row r="609" spans="1:26">
      <c r="A609" s="442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  <c r="Z609" s="242"/>
    </row>
    <row r="610" spans="1:26">
      <c r="A610" s="442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  <c r="Z610" s="242"/>
    </row>
    <row r="611" spans="1:26">
      <c r="A611" s="442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  <c r="Z611" s="242"/>
    </row>
    <row r="612" spans="1:26">
      <c r="A612" s="442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  <c r="Z612" s="242"/>
    </row>
    <row r="613" spans="1:26">
      <c r="A613" s="442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  <c r="Z613" s="242"/>
    </row>
    <row r="614" spans="1:26">
      <c r="A614" s="442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  <c r="Z614" s="242"/>
    </row>
    <row r="615" spans="1:26">
      <c r="A615" s="442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  <c r="Z615" s="242"/>
    </row>
    <row r="616" spans="1:26">
      <c r="A616" s="442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  <c r="Z616" s="242"/>
    </row>
    <row r="617" spans="1:26">
      <c r="A617" s="442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  <c r="Z617" s="242"/>
    </row>
    <row r="618" spans="1:26">
      <c r="A618" s="442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  <c r="Z618" s="242"/>
    </row>
    <row r="619" spans="1:26">
      <c r="A619" s="442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  <c r="Z619" s="242"/>
    </row>
    <row r="620" spans="1:26">
      <c r="A620" s="442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  <c r="Z620" s="242"/>
    </row>
    <row r="621" spans="1:26">
      <c r="A621" s="442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  <c r="Z621" s="242"/>
    </row>
    <row r="622" spans="1:26">
      <c r="A622" s="442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  <c r="Z622" s="242"/>
    </row>
    <row r="623" spans="1:26">
      <c r="A623" s="442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  <c r="Z623" s="242"/>
    </row>
    <row r="624" spans="1:26">
      <c r="A624" s="442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  <c r="Z624" s="242"/>
    </row>
    <row r="625" spans="1:26">
      <c r="A625" s="442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  <c r="Z625" s="242"/>
    </row>
    <row r="626" spans="1:26">
      <c r="A626" s="442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  <c r="Z626" s="242"/>
    </row>
    <row r="627" spans="1:26">
      <c r="A627" s="442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  <c r="Z627" s="242"/>
    </row>
    <row r="628" spans="1:26">
      <c r="A628" s="442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  <c r="Z628" s="242"/>
    </row>
    <row r="629" spans="1:26">
      <c r="A629" s="442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</row>
    <row r="630" spans="1:26">
      <c r="A630" s="442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  <c r="Z630" s="242"/>
    </row>
    <row r="631" spans="1:26">
      <c r="A631" s="442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  <c r="Z631" s="242"/>
    </row>
    <row r="632" spans="1:26">
      <c r="A632" s="442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  <c r="Z632" s="242"/>
    </row>
    <row r="633" spans="1:26">
      <c r="A633" s="442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  <c r="Z633" s="242"/>
    </row>
    <row r="634" spans="1:26">
      <c r="A634" s="442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  <c r="Z634" s="242"/>
    </row>
    <row r="635" spans="1:26">
      <c r="A635" s="442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  <c r="Z635" s="242"/>
    </row>
    <row r="636" spans="1:26">
      <c r="A636" s="442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  <c r="Z636" s="242"/>
    </row>
    <row r="637" spans="1:26">
      <c r="A637" s="442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</row>
    <row r="638" spans="1:26">
      <c r="A638" s="442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  <c r="Z638" s="242"/>
    </row>
    <row r="639" spans="1:26">
      <c r="A639" s="442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  <c r="Z639" s="242"/>
    </row>
    <row r="640" spans="1:26">
      <c r="A640" s="442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</row>
    <row r="641" spans="1:26">
      <c r="A641" s="442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</row>
    <row r="642" spans="1:26">
      <c r="A642" s="442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  <c r="Z642" s="242"/>
    </row>
    <row r="643" spans="1:26">
      <c r="A643" s="442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  <c r="Z643" s="242"/>
    </row>
    <row r="644" spans="1:26">
      <c r="A644" s="442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  <c r="Z644" s="242"/>
    </row>
    <row r="645" spans="1:26">
      <c r="A645" s="442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  <c r="Z645" s="242"/>
    </row>
    <row r="646" spans="1:26">
      <c r="A646" s="442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  <c r="Z646" s="242"/>
    </row>
    <row r="647" spans="1:26">
      <c r="A647" s="442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  <c r="Z647" s="242"/>
    </row>
    <row r="648" spans="1:26">
      <c r="A648" s="442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  <c r="Z648" s="242"/>
    </row>
    <row r="649" spans="1:26">
      <c r="A649" s="442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  <c r="Z649" s="242"/>
    </row>
    <row r="650" spans="1:26">
      <c r="A650" s="442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  <c r="Z650" s="242"/>
    </row>
    <row r="651" spans="1:26">
      <c r="A651" s="442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  <c r="Z651" s="242"/>
    </row>
    <row r="652" spans="1:26">
      <c r="A652" s="442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  <c r="Z652" s="242"/>
    </row>
    <row r="653" spans="1:26">
      <c r="A653" s="442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  <c r="Z653" s="242"/>
    </row>
    <row r="654" spans="1:26">
      <c r="A654" s="442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  <c r="Z654" s="242"/>
    </row>
    <row r="655" spans="1:26">
      <c r="A655" s="442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  <c r="Z655" s="242"/>
    </row>
    <row r="656" spans="1:26">
      <c r="A656" s="442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  <c r="Z656" s="242"/>
    </row>
    <row r="657" spans="1:26">
      <c r="A657" s="442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  <c r="Z657" s="242"/>
    </row>
    <row r="658" spans="1:26">
      <c r="A658" s="442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  <c r="Z658" s="242"/>
    </row>
    <row r="659" spans="1:26">
      <c r="A659" s="442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  <c r="Z659" s="242"/>
    </row>
    <row r="660" spans="1:26">
      <c r="A660" s="442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  <c r="Z660" s="242"/>
    </row>
    <row r="661" spans="1:26">
      <c r="A661" s="442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  <c r="Z661" s="242"/>
    </row>
    <row r="662" spans="1:26">
      <c r="A662" s="442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  <c r="Z662" s="242"/>
    </row>
    <row r="663" spans="1:26">
      <c r="A663" s="442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  <c r="Z663" s="242"/>
    </row>
    <row r="664" spans="1:26">
      <c r="A664" s="442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  <c r="Z664" s="242"/>
    </row>
    <row r="665" spans="1:26">
      <c r="A665" s="442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  <c r="Z665" s="242"/>
    </row>
    <row r="666" spans="1:26">
      <c r="A666" s="442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  <c r="Z666" s="242"/>
    </row>
    <row r="667" spans="1:26">
      <c r="A667" s="442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  <c r="Z667" s="242"/>
    </row>
    <row r="668" spans="1:26">
      <c r="A668" s="442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  <c r="Z668" s="242"/>
    </row>
    <row r="669" spans="1:26">
      <c r="A669" s="442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  <c r="Z669" s="242"/>
    </row>
    <row r="670" spans="1:26">
      <c r="A670" s="442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  <c r="Z670" s="242"/>
    </row>
    <row r="671" spans="1:26">
      <c r="A671" s="442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  <c r="Z671" s="242"/>
    </row>
    <row r="672" spans="1:26">
      <c r="A672" s="442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  <c r="Z672" s="242"/>
    </row>
    <row r="673" spans="1:26">
      <c r="A673" s="442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  <c r="Z673" s="242"/>
    </row>
    <row r="674" spans="1:26">
      <c r="A674" s="442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  <c r="Z674" s="242"/>
    </row>
    <row r="675" spans="1:26">
      <c r="A675" s="442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  <c r="Z675" s="242"/>
    </row>
    <row r="676" spans="1:26">
      <c r="A676" s="442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  <c r="Z676" s="242"/>
    </row>
    <row r="677" spans="1:26">
      <c r="A677" s="442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  <c r="Z677" s="242"/>
    </row>
    <row r="678" spans="1:26">
      <c r="A678" s="442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  <c r="Z678" s="242"/>
    </row>
    <row r="679" spans="1:26">
      <c r="A679" s="442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  <c r="Z679" s="242"/>
    </row>
    <row r="680" spans="1:26">
      <c r="A680" s="442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  <c r="Z680" s="242"/>
    </row>
    <row r="681" spans="1:26">
      <c r="A681" s="442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  <c r="Z681" s="242"/>
    </row>
    <row r="682" spans="1:26">
      <c r="A682" s="442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  <c r="Z682" s="242"/>
    </row>
    <row r="683" spans="1:26">
      <c r="A683" s="442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</row>
    <row r="684" spans="1:26">
      <c r="A684" s="442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</row>
    <row r="685" spans="1:26">
      <c r="A685" s="442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  <c r="Z685" s="242"/>
    </row>
    <row r="686" spans="1:26">
      <c r="A686" s="442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  <c r="Z686" s="242"/>
    </row>
    <row r="687" spans="1:26">
      <c r="A687" s="442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  <c r="Z687" s="242"/>
    </row>
    <row r="688" spans="1:26">
      <c r="A688" s="442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  <c r="Z688" s="242"/>
    </row>
    <row r="689" spans="1:26">
      <c r="A689" s="442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  <c r="Z689" s="242"/>
    </row>
    <row r="690" spans="1:26">
      <c r="A690" s="442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  <c r="Z690" s="242"/>
    </row>
    <row r="691" spans="1:26">
      <c r="A691" s="442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  <c r="Z691" s="242"/>
    </row>
    <row r="692" spans="1:26">
      <c r="A692" s="442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  <c r="Z692" s="242"/>
    </row>
    <row r="693" spans="1:26">
      <c r="A693" s="442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  <c r="Z693" s="242"/>
    </row>
    <row r="694" spans="1:26">
      <c r="A694" s="442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  <c r="Z694" s="242"/>
    </row>
    <row r="695" spans="1:26">
      <c r="A695" s="442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  <c r="Z695" s="242"/>
    </row>
    <row r="696" spans="1:26">
      <c r="A696" s="442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  <c r="Z696" s="242"/>
    </row>
    <row r="697" spans="1:26">
      <c r="A697" s="442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  <c r="Z697" s="242"/>
    </row>
    <row r="698" spans="1:26">
      <c r="A698" s="442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  <c r="Z698" s="242"/>
    </row>
    <row r="699" spans="1:26">
      <c r="A699" s="442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  <c r="Z699" s="242"/>
    </row>
    <row r="700" spans="1:26">
      <c r="A700" s="442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  <c r="Z700" s="242"/>
    </row>
    <row r="701" spans="1:26">
      <c r="A701" s="442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  <c r="Z701" s="242"/>
    </row>
    <row r="702" spans="1:26">
      <c r="A702" s="442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  <c r="Z702" s="242"/>
    </row>
    <row r="703" spans="1:26">
      <c r="A703" s="442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  <c r="Z703" s="242"/>
    </row>
    <row r="704" spans="1:26">
      <c r="A704" s="442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  <c r="Z704" s="242"/>
    </row>
    <row r="705" spans="1:26">
      <c r="A705" s="442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  <c r="Z705" s="242"/>
    </row>
    <row r="706" spans="1:26">
      <c r="A706" s="442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  <c r="Z706" s="242"/>
    </row>
    <row r="707" spans="1:26">
      <c r="A707" s="442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  <c r="Z707" s="242"/>
    </row>
    <row r="708" spans="1:26">
      <c r="A708" s="442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  <c r="Z708" s="242"/>
    </row>
    <row r="709" spans="1:26">
      <c r="A709" s="442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  <c r="Z709" s="242"/>
    </row>
    <row r="710" spans="1:26">
      <c r="A710" s="442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  <c r="Z710" s="242"/>
    </row>
    <row r="711" spans="1:26">
      <c r="A711" s="442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  <c r="Z711" s="242"/>
    </row>
    <row r="712" spans="1:26">
      <c r="A712" s="442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  <c r="Z712" s="242"/>
    </row>
    <row r="713" spans="1:26">
      <c r="A713" s="442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  <c r="Z713" s="242"/>
    </row>
    <row r="714" spans="1:26">
      <c r="A714" s="442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  <c r="Z714" s="242"/>
    </row>
    <row r="715" spans="1:26">
      <c r="A715" s="442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  <c r="Z715" s="242"/>
    </row>
    <row r="716" spans="1:26">
      <c r="A716" s="442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  <c r="Z716" s="242"/>
    </row>
    <row r="717" spans="1:26">
      <c r="A717" s="442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  <c r="Z717" s="242"/>
    </row>
    <row r="718" spans="1:26">
      <c r="A718" s="442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  <c r="Z718" s="242"/>
    </row>
    <row r="719" spans="1:26">
      <c r="A719" s="442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  <c r="Z719" s="242"/>
    </row>
    <row r="720" spans="1:26">
      <c r="A720" s="442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  <c r="Z720" s="242"/>
    </row>
    <row r="721" spans="1:26">
      <c r="A721" s="442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  <c r="Z721" s="242"/>
    </row>
    <row r="722" spans="1:26">
      <c r="A722" s="442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  <c r="Z722" s="242"/>
    </row>
    <row r="723" spans="1:26">
      <c r="A723" s="442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  <c r="Z723" s="242"/>
    </row>
    <row r="724" spans="1:26">
      <c r="A724" s="442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  <c r="Z724" s="242"/>
    </row>
    <row r="725" spans="1:26">
      <c r="A725" s="442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  <c r="Z725" s="242"/>
    </row>
    <row r="726" spans="1:26">
      <c r="A726" s="442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</row>
    <row r="727" spans="1:26">
      <c r="A727" s="442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</row>
    <row r="728" spans="1:26">
      <c r="A728" s="442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  <c r="Z728" s="242"/>
    </row>
    <row r="729" spans="1:26">
      <c r="A729" s="442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  <c r="Z729" s="242"/>
    </row>
    <row r="730" spans="1:26">
      <c r="A730" s="442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  <c r="Z730" s="242"/>
    </row>
    <row r="731" spans="1:26">
      <c r="A731" s="442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  <c r="Z731" s="242"/>
    </row>
    <row r="732" spans="1:26">
      <c r="A732" s="442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  <c r="Z732" s="242"/>
    </row>
    <row r="733" spans="1:26">
      <c r="A733" s="442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  <c r="Z733" s="242"/>
    </row>
    <row r="734" spans="1:26">
      <c r="A734" s="442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  <c r="Z734" s="242"/>
    </row>
    <row r="735" spans="1:26">
      <c r="A735" s="442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  <c r="Z735" s="242"/>
    </row>
    <row r="736" spans="1:26">
      <c r="A736" s="442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  <c r="Z736" s="242"/>
    </row>
    <row r="737" spans="1:26">
      <c r="A737" s="442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  <c r="Z737" s="242"/>
    </row>
    <row r="738" spans="1:26">
      <c r="A738" s="442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  <c r="Z738" s="242"/>
    </row>
    <row r="739" spans="1:26">
      <c r="A739" s="442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  <c r="Z739" s="242"/>
    </row>
    <row r="740" spans="1:26">
      <c r="A740" s="442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  <c r="Z740" s="242"/>
    </row>
    <row r="741" spans="1:26">
      <c r="A741" s="442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  <c r="Z741" s="242"/>
    </row>
    <row r="742" spans="1:26">
      <c r="A742" s="442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  <c r="Z742" s="242"/>
    </row>
    <row r="743" spans="1:26">
      <c r="A743" s="442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  <c r="Z743" s="242"/>
    </row>
    <row r="744" spans="1:26">
      <c r="A744" s="442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  <c r="Z744" s="242"/>
    </row>
    <row r="745" spans="1:26">
      <c r="A745" s="442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  <c r="Z745" s="242"/>
    </row>
    <row r="746" spans="1:26">
      <c r="A746" s="442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  <c r="Z746" s="242"/>
    </row>
    <row r="747" spans="1:26">
      <c r="A747" s="442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  <c r="Z747" s="242"/>
    </row>
    <row r="748" spans="1:26">
      <c r="A748" s="442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  <c r="Z748" s="242"/>
    </row>
    <row r="749" spans="1:26">
      <c r="A749" s="442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  <c r="Z749" s="242"/>
    </row>
    <row r="750" spans="1:26">
      <c r="A750" s="442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  <c r="Z750" s="242"/>
    </row>
    <row r="751" spans="1:26">
      <c r="A751" s="442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  <c r="Z751" s="242"/>
    </row>
    <row r="752" spans="1:26">
      <c r="A752" s="442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  <c r="Z752" s="242"/>
    </row>
    <row r="753" spans="1:26">
      <c r="A753" s="442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  <c r="Z753" s="242"/>
    </row>
    <row r="754" spans="1:26">
      <c r="A754" s="442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  <c r="Z754" s="242"/>
    </row>
    <row r="755" spans="1:26">
      <c r="A755" s="442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  <c r="Z755" s="242"/>
    </row>
    <row r="756" spans="1:26">
      <c r="A756" s="442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  <c r="Z756" s="242"/>
    </row>
    <row r="757" spans="1:26">
      <c r="A757" s="442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  <c r="Z757" s="242"/>
    </row>
    <row r="758" spans="1:26">
      <c r="A758" s="442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  <c r="Z758" s="242"/>
    </row>
    <row r="759" spans="1:26">
      <c r="A759" s="442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  <c r="Z759" s="242"/>
    </row>
    <row r="760" spans="1:26">
      <c r="A760" s="442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  <c r="Z760" s="242"/>
    </row>
    <row r="761" spans="1:26">
      <c r="A761" s="442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  <c r="Z761" s="242"/>
    </row>
    <row r="762" spans="1:26">
      <c r="A762" s="442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  <c r="Z762" s="242"/>
    </row>
    <row r="763" spans="1:26">
      <c r="A763" s="442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  <c r="Z763" s="242"/>
    </row>
    <row r="764" spans="1:26">
      <c r="A764" s="442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  <c r="Z764" s="242"/>
    </row>
    <row r="765" spans="1:26">
      <c r="A765" s="442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  <c r="Z765" s="242"/>
    </row>
    <row r="766" spans="1:26">
      <c r="A766" s="442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  <c r="Z766" s="242"/>
    </row>
    <row r="767" spans="1:26">
      <c r="A767" s="442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  <c r="Z767" s="242"/>
    </row>
    <row r="768" spans="1:26">
      <c r="A768" s="442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  <c r="Z768" s="242"/>
    </row>
    <row r="769" spans="1:26">
      <c r="A769" s="442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</row>
    <row r="770" spans="1:26">
      <c r="A770" s="442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</row>
    <row r="771" spans="1:26">
      <c r="A771" s="442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  <c r="Z771" s="242"/>
    </row>
    <row r="772" spans="1:26">
      <c r="A772" s="442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  <c r="Z772" s="242"/>
    </row>
    <row r="773" spans="1:26">
      <c r="A773" s="442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  <c r="Z773" s="242"/>
    </row>
    <row r="774" spans="1:26">
      <c r="A774" s="442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  <c r="Z774" s="242"/>
    </row>
    <row r="775" spans="1:26">
      <c r="A775" s="442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  <c r="Z775" s="242"/>
    </row>
    <row r="776" spans="1:26">
      <c r="A776" s="442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  <c r="Z776" s="242"/>
    </row>
    <row r="777" spans="1:26">
      <c r="A777" s="442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  <c r="Z777" s="242"/>
    </row>
    <row r="778" spans="1:26">
      <c r="A778" s="442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  <c r="Z778" s="242"/>
    </row>
    <row r="779" spans="1:26">
      <c r="A779" s="442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  <c r="Z779" s="242"/>
    </row>
    <row r="780" spans="1:26">
      <c r="A780" s="442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  <c r="Z780" s="242"/>
    </row>
    <row r="781" spans="1:26">
      <c r="A781" s="442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  <c r="Z781" s="242"/>
    </row>
    <row r="782" spans="1:26">
      <c r="A782" s="442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  <c r="Z782" s="242"/>
    </row>
    <row r="783" spans="1:26">
      <c r="A783" s="442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  <c r="Z783" s="242"/>
    </row>
    <row r="784" spans="1:26">
      <c r="A784" s="442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  <c r="Z784" s="242"/>
    </row>
    <row r="785" spans="1:26">
      <c r="A785" s="442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  <c r="Z785" s="242"/>
    </row>
    <row r="786" spans="1:26">
      <c r="A786" s="442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  <c r="Z786" s="242"/>
    </row>
    <row r="787" spans="1:26">
      <c r="A787" s="442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  <c r="Z787" s="242"/>
    </row>
    <row r="788" spans="1:26">
      <c r="A788" s="442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  <c r="Z788" s="242"/>
    </row>
    <row r="789" spans="1:26">
      <c r="A789" s="442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  <c r="Z789" s="242"/>
    </row>
    <row r="790" spans="1:26">
      <c r="A790" s="442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  <c r="Z790" s="242"/>
    </row>
    <row r="791" spans="1:26">
      <c r="A791" s="442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  <c r="Z791" s="242"/>
    </row>
    <row r="792" spans="1:26">
      <c r="A792" s="442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  <c r="Z792" s="242"/>
    </row>
    <row r="793" spans="1:26">
      <c r="A793" s="442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  <c r="Z793" s="242"/>
    </row>
    <row r="794" spans="1:26">
      <c r="A794" s="442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  <c r="Z794" s="242"/>
    </row>
    <row r="795" spans="1:26">
      <c r="A795" s="442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  <c r="Z795" s="242"/>
    </row>
    <row r="796" spans="1:26">
      <c r="A796" s="442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  <c r="Z796" s="242"/>
    </row>
    <row r="797" spans="1:26">
      <c r="A797" s="442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  <c r="Z797" s="242"/>
    </row>
    <row r="798" spans="1:26">
      <c r="A798" s="442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  <c r="Z798" s="242"/>
    </row>
    <row r="799" spans="1:26">
      <c r="A799" s="442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  <c r="Z799" s="242"/>
    </row>
    <row r="800" spans="1:26">
      <c r="A800" s="442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</row>
    <row r="801" spans="1:26">
      <c r="A801" s="442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  <c r="Z801" s="242"/>
    </row>
    <row r="802" spans="1:26">
      <c r="A802" s="442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  <c r="Z802" s="242"/>
    </row>
    <row r="803" spans="1:26">
      <c r="A803" s="442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  <c r="Z803" s="242"/>
    </row>
    <row r="804" spans="1:26">
      <c r="A804" s="442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  <c r="Z804" s="242"/>
    </row>
    <row r="805" spans="1:26">
      <c r="A805" s="442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  <c r="Z805" s="242"/>
    </row>
    <row r="806" spans="1:26">
      <c r="A806" s="442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  <c r="Z806" s="242"/>
    </row>
    <row r="807" spans="1:26">
      <c r="A807" s="442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  <c r="Z807" s="242"/>
    </row>
    <row r="808" spans="1:26">
      <c r="A808" s="442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  <c r="Z808" s="242"/>
    </row>
    <row r="809" spans="1:26">
      <c r="A809" s="442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  <c r="Z809" s="242"/>
    </row>
    <row r="810" spans="1:26">
      <c r="A810" s="442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  <c r="Z810" s="242"/>
    </row>
    <row r="811" spans="1:26">
      <c r="A811" s="442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  <c r="Z811" s="242"/>
    </row>
    <row r="812" spans="1:26">
      <c r="A812" s="442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</row>
    <row r="813" spans="1:26">
      <c r="A813" s="442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</row>
    <row r="814" spans="1:26">
      <c r="A814" s="442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  <c r="Z814" s="242"/>
    </row>
    <row r="815" spans="1:26">
      <c r="A815" s="442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  <c r="Z815" s="242"/>
    </row>
    <row r="816" spans="1:26">
      <c r="A816" s="442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  <c r="Z816" s="242"/>
    </row>
    <row r="817" spans="1:26">
      <c r="A817" s="442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  <c r="Z817" s="242"/>
    </row>
    <row r="818" spans="1:26">
      <c r="A818" s="442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  <c r="Z818" s="242"/>
    </row>
    <row r="819" spans="1:26">
      <c r="A819" s="442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  <c r="Z819" s="242"/>
    </row>
    <row r="820" spans="1:26">
      <c r="A820" s="442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  <c r="Z820" s="242"/>
    </row>
    <row r="821" spans="1:26">
      <c r="A821" s="442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  <c r="Z821" s="242"/>
    </row>
    <row r="822" spans="1:26">
      <c r="A822" s="442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  <c r="Z822" s="242"/>
    </row>
    <row r="823" spans="1:26">
      <c r="A823" s="442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  <c r="Z823" s="242"/>
    </row>
    <row r="824" spans="1:26">
      <c r="A824" s="442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  <c r="Z824" s="242"/>
    </row>
    <row r="825" spans="1:26">
      <c r="A825" s="442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  <c r="Z825" s="242"/>
    </row>
    <row r="826" spans="1:26">
      <c r="A826" s="442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  <c r="Z826" s="242"/>
    </row>
    <row r="827" spans="1:26">
      <c r="A827" s="442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  <c r="Z827" s="242"/>
    </row>
    <row r="828" spans="1:26">
      <c r="A828" s="442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  <c r="Z828" s="242"/>
    </row>
    <row r="829" spans="1:26">
      <c r="A829" s="442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  <c r="Z829" s="242"/>
    </row>
    <row r="830" spans="1:26">
      <c r="A830" s="442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  <c r="Z830" s="242"/>
    </row>
    <row r="831" spans="1:26">
      <c r="A831" s="442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  <c r="Z831" s="242"/>
    </row>
    <row r="832" spans="1:26">
      <c r="A832" s="442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  <c r="Z832" s="242"/>
    </row>
    <row r="833" spans="1:26">
      <c r="A833" s="442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  <c r="Z833" s="242"/>
    </row>
    <row r="834" spans="1:26">
      <c r="A834" s="442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  <c r="Z834" s="242"/>
    </row>
    <row r="835" spans="1:26">
      <c r="A835" s="442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  <c r="Z835" s="242"/>
    </row>
    <row r="836" spans="1:26">
      <c r="A836" s="442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  <c r="Z836" s="242"/>
    </row>
    <row r="837" spans="1:26">
      <c r="A837" s="442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  <c r="Z837" s="242"/>
    </row>
    <row r="838" spans="1:26">
      <c r="A838" s="442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  <c r="Z838" s="242"/>
    </row>
    <row r="839" spans="1:26">
      <c r="A839" s="442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  <c r="Z839" s="242"/>
    </row>
    <row r="840" spans="1:26">
      <c r="A840" s="442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  <c r="Z840" s="242"/>
    </row>
    <row r="841" spans="1:26">
      <c r="A841" s="442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  <c r="Z841" s="242"/>
    </row>
    <row r="842" spans="1:26">
      <c r="A842" s="442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  <c r="Z842" s="242"/>
    </row>
    <row r="843" spans="1:26">
      <c r="A843" s="442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  <c r="Z843" s="242"/>
    </row>
    <row r="844" spans="1:26">
      <c r="A844" s="442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  <c r="Z844" s="242"/>
    </row>
    <row r="845" spans="1:26">
      <c r="A845" s="442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  <c r="Z845" s="242"/>
    </row>
    <row r="846" spans="1:26">
      <c r="A846" s="442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  <c r="Z846" s="242"/>
    </row>
    <row r="847" spans="1:26">
      <c r="A847" s="442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  <c r="Z847" s="242"/>
    </row>
    <row r="848" spans="1:26">
      <c r="A848" s="4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  <c r="Z848" s="242"/>
    </row>
    <row r="849" spans="1:26">
      <c r="A849" s="4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  <c r="Z849" s="242"/>
    </row>
    <row r="850" spans="1:26">
      <c r="A850" s="442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  <c r="Z850" s="242"/>
    </row>
    <row r="851" spans="1:26">
      <c r="A851" s="442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  <c r="Z851" s="242"/>
    </row>
    <row r="852" spans="1:26">
      <c r="A852" s="442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  <c r="Z852" s="242"/>
    </row>
    <row r="853" spans="1:26">
      <c r="A853" s="442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  <c r="Z853" s="242"/>
    </row>
    <row r="854" spans="1:26">
      <c r="A854" s="442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  <c r="Z854" s="242"/>
    </row>
    <row r="855" spans="1:26">
      <c r="A855" s="442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</row>
    <row r="856" spans="1:26">
      <c r="A856" s="442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</row>
    <row r="857" spans="1:26">
      <c r="A857" s="442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  <c r="Z857" s="242"/>
    </row>
    <row r="858" spans="1:26">
      <c r="A858" s="442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  <c r="Z858" s="242"/>
    </row>
    <row r="859" spans="1:26">
      <c r="A859" s="442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  <c r="Z859" s="242"/>
    </row>
    <row r="860" spans="1:26">
      <c r="A860" s="442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  <c r="Z860" s="242"/>
    </row>
    <row r="861" spans="1:26">
      <c r="A861" s="442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  <c r="Z861" s="242"/>
    </row>
    <row r="862" spans="1:26">
      <c r="A862" s="442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  <c r="Z862" s="242"/>
    </row>
    <row r="863" spans="1:26">
      <c r="A863" s="442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  <c r="Z863" s="242"/>
    </row>
    <row r="864" spans="1:26">
      <c r="A864" s="442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  <c r="Z864" s="242"/>
    </row>
    <row r="865" spans="1:26">
      <c r="A865" s="442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  <c r="Z865" s="242"/>
    </row>
    <row r="866" spans="1:26">
      <c r="A866" s="442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  <c r="Z866" s="242"/>
    </row>
    <row r="867" spans="1:26">
      <c r="A867" s="442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  <c r="Z867" s="242"/>
    </row>
    <row r="868" spans="1:26">
      <c r="A868" s="442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  <c r="Z868" s="242"/>
    </row>
    <row r="869" spans="1:26">
      <c r="A869" s="442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  <c r="Z869" s="242"/>
    </row>
    <row r="870" spans="1:26">
      <c r="A870" s="442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  <c r="Z870" s="242"/>
    </row>
    <row r="871" spans="1:26">
      <c r="A871" s="442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  <c r="Z871" s="242"/>
    </row>
    <row r="872" spans="1:26">
      <c r="A872" s="442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  <c r="Z872" s="242"/>
    </row>
    <row r="873" spans="1:26">
      <c r="A873" s="442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  <c r="Z873" s="242"/>
    </row>
    <row r="874" spans="1:26">
      <c r="A874" s="442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  <c r="Z874" s="242"/>
    </row>
    <row r="875" spans="1:26">
      <c r="A875" s="442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  <c r="Z875" s="242"/>
    </row>
    <row r="876" spans="1:26">
      <c r="A876" s="442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  <c r="Z876" s="242"/>
    </row>
    <row r="877" spans="1:26">
      <c r="A877" s="442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  <c r="Z877" s="242"/>
    </row>
    <row r="878" spans="1:26">
      <c r="A878" s="442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  <c r="Z878" s="242"/>
    </row>
    <row r="879" spans="1:26">
      <c r="A879" s="442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  <c r="Z879" s="242"/>
    </row>
    <row r="880" spans="1:26">
      <c r="A880" s="442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  <c r="Z880" s="242"/>
    </row>
    <row r="881" spans="1:26">
      <c r="A881" s="442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  <c r="Z881" s="242"/>
    </row>
    <row r="882" spans="1:26">
      <c r="A882" s="442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  <c r="Z882" s="242"/>
    </row>
    <row r="883" spans="1:26">
      <c r="A883" s="442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  <c r="Z883" s="242"/>
    </row>
    <row r="884" spans="1:26">
      <c r="A884" s="442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  <c r="Z884" s="242"/>
    </row>
    <row r="885" spans="1:26">
      <c r="A885" s="442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  <c r="Z885" s="242"/>
    </row>
    <row r="886" spans="1:26">
      <c r="A886" s="442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  <c r="Z886" s="242"/>
    </row>
    <row r="887" spans="1:26">
      <c r="A887" s="442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  <c r="Z887" s="242"/>
    </row>
    <row r="888" spans="1:26">
      <c r="A888" s="442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  <c r="Z888" s="242"/>
    </row>
    <row r="889" spans="1:26">
      <c r="A889" s="442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  <c r="Z889" s="242"/>
    </row>
    <row r="890" spans="1:26">
      <c r="A890" s="442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</row>
    <row r="891" spans="1:26">
      <c r="A891" s="442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  <c r="Z891" s="242"/>
    </row>
    <row r="892" spans="1:26">
      <c r="A892" s="442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  <c r="Z892" s="242"/>
    </row>
    <row r="893" spans="1:26">
      <c r="A893" s="442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  <c r="Z893" s="242"/>
    </row>
    <row r="894" spans="1:26">
      <c r="A894" s="442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  <c r="Z894" s="242"/>
    </row>
    <row r="895" spans="1:26">
      <c r="A895" s="442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  <c r="Z895" s="242"/>
    </row>
    <row r="896" spans="1:26">
      <c r="A896" s="442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  <c r="Z896" s="242"/>
    </row>
    <row r="897" spans="1:26">
      <c r="A897" s="442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  <c r="Z897" s="242"/>
    </row>
    <row r="898" spans="1:26">
      <c r="A898" s="442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</row>
    <row r="899" spans="1:26">
      <c r="A899" s="442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  <c r="Z899" s="242"/>
    </row>
    <row r="900" spans="1:26">
      <c r="A900" s="442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  <c r="Z900" s="242"/>
    </row>
    <row r="901" spans="1:26">
      <c r="A901" s="442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  <c r="Z901" s="242"/>
    </row>
    <row r="902" spans="1:26">
      <c r="A902" s="442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  <c r="Z902" s="242"/>
    </row>
    <row r="903" spans="1:26">
      <c r="A903" s="442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  <c r="Z903" s="242"/>
    </row>
    <row r="904" spans="1:26">
      <c r="A904" s="442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  <c r="Z904" s="242"/>
    </row>
    <row r="905" spans="1:26">
      <c r="A905" s="442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  <c r="Z905" s="242"/>
    </row>
    <row r="906" spans="1:26">
      <c r="A906" s="442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  <c r="Z906" s="242"/>
    </row>
    <row r="907" spans="1:26">
      <c r="A907" s="442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  <c r="Z907" s="242"/>
    </row>
    <row r="908" spans="1:26">
      <c r="A908" s="442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  <c r="Z908" s="242"/>
    </row>
    <row r="909" spans="1:26">
      <c r="A909" s="442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  <c r="Z909" s="242"/>
    </row>
    <row r="910" spans="1:26">
      <c r="A910" s="442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  <c r="Z910" s="242"/>
    </row>
    <row r="911" spans="1:26">
      <c r="A911" s="442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  <c r="Z911" s="242"/>
    </row>
    <row r="912" spans="1:26">
      <c r="A912" s="442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  <c r="Z912" s="242"/>
    </row>
    <row r="913" spans="1:26">
      <c r="A913" s="442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  <c r="Z913" s="242"/>
    </row>
    <row r="914" spans="1:26">
      <c r="A914" s="442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  <c r="Z914" s="242"/>
    </row>
    <row r="915" spans="1:26">
      <c r="A915" s="442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  <c r="Z915" s="242"/>
    </row>
    <row r="916" spans="1:26">
      <c r="A916" s="442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  <c r="Z916" s="242"/>
    </row>
    <row r="917" spans="1:26">
      <c r="A917" s="442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  <c r="Z917" s="242"/>
    </row>
    <row r="918" spans="1:26">
      <c r="A918" s="442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  <c r="Z918" s="242"/>
    </row>
    <row r="919" spans="1:26">
      <c r="A919" s="442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  <c r="Z919" s="242"/>
    </row>
    <row r="920" spans="1:26">
      <c r="A920" s="442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  <c r="Z920" s="242"/>
    </row>
    <row r="921" spans="1:26">
      <c r="A921" s="442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  <c r="Z921" s="242"/>
    </row>
    <row r="922" spans="1:26">
      <c r="A922" s="442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  <c r="Z922" s="242"/>
    </row>
    <row r="923" spans="1:26">
      <c r="A923" s="442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  <c r="Z923" s="242"/>
    </row>
    <row r="924" spans="1:26">
      <c r="A924" s="442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  <c r="Z924" s="242"/>
    </row>
    <row r="925" spans="1:26">
      <c r="A925" s="442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  <c r="Z925" s="242"/>
    </row>
    <row r="926" spans="1:26">
      <c r="A926" s="442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  <c r="Z926" s="242"/>
    </row>
    <row r="927" spans="1:26">
      <c r="A927" s="442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  <c r="Z927" s="242"/>
    </row>
    <row r="928" spans="1:26">
      <c r="A928" s="442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  <c r="Z928" s="242"/>
    </row>
    <row r="929" spans="1:26">
      <c r="A929" s="442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  <c r="Z929" s="242"/>
    </row>
    <row r="930" spans="1:26">
      <c r="A930" s="442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  <c r="Z930" s="242"/>
    </row>
    <row r="931" spans="1:26">
      <c r="A931" s="442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  <c r="Z931" s="242"/>
    </row>
    <row r="932" spans="1:26">
      <c r="A932" s="442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  <c r="Z932" s="242"/>
    </row>
    <row r="933" spans="1:26">
      <c r="A933" s="442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  <c r="Z933" s="242"/>
    </row>
    <row r="934" spans="1:26">
      <c r="A934" s="442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</row>
    <row r="935" spans="1:26">
      <c r="A935" s="442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  <c r="Z935" s="242"/>
    </row>
    <row r="936" spans="1:26">
      <c r="A936" s="442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  <c r="Z936" s="242"/>
    </row>
    <row r="937" spans="1:26">
      <c r="A937" s="442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</row>
    <row r="938" spans="1:26">
      <c r="A938" s="442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  <c r="Z938" s="242"/>
    </row>
    <row r="939" spans="1:26">
      <c r="A939" s="442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  <c r="Z939" s="242"/>
    </row>
    <row r="940" spans="1:26">
      <c r="A940" s="442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  <c r="Z940" s="242"/>
    </row>
    <row r="941" spans="1:26">
      <c r="A941" s="442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  <c r="Z941" s="242"/>
    </row>
    <row r="942" spans="1:26">
      <c r="A942" s="442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</row>
    <row r="943" spans="1:26">
      <c r="A943" s="442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  <c r="Z943" s="242"/>
    </row>
    <row r="944" spans="1:26">
      <c r="A944" s="442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  <c r="Z944" s="242"/>
    </row>
    <row r="945" spans="1:26">
      <c r="A945" s="442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  <c r="Z945" s="242"/>
    </row>
    <row r="946" spans="1:26">
      <c r="A946" s="442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  <c r="Z946" s="242"/>
    </row>
    <row r="947" spans="1:26">
      <c r="A947" s="442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  <c r="Z947" s="242"/>
    </row>
    <row r="948" spans="1:26">
      <c r="A948" s="442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</row>
    <row r="949" spans="1:26">
      <c r="A949" s="442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  <c r="Z949" s="242"/>
    </row>
    <row r="950" spans="1:26">
      <c r="A950" s="442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</row>
    <row r="951" spans="1:26">
      <c r="A951" s="442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</row>
    <row r="952" spans="1:26">
      <c r="A952" s="442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</row>
    <row r="953" spans="1:26">
      <c r="A953" s="442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</row>
    <row r="954" spans="1:26">
      <c r="A954" s="442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  <c r="Z954" s="242"/>
    </row>
    <row r="955" spans="1:26">
      <c r="A955" s="442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  <c r="Z955" s="242"/>
    </row>
    <row r="956" spans="1:26">
      <c r="A956" s="442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  <c r="Z956" s="242"/>
    </row>
    <row r="957" spans="1:26">
      <c r="A957" s="442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  <c r="Z957" s="242"/>
    </row>
    <row r="958" spans="1:26">
      <c r="A958" s="442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  <c r="Z958" s="242"/>
    </row>
    <row r="959" spans="1:26">
      <c r="A959" s="442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  <c r="Z959" s="242"/>
    </row>
    <row r="960" spans="1:26">
      <c r="A960" s="442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  <c r="Z960" s="242"/>
    </row>
    <row r="961" spans="1:26">
      <c r="A961" s="442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  <c r="Z961" s="242"/>
    </row>
    <row r="962" spans="1:26">
      <c r="A962" s="442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  <c r="Z962" s="242"/>
    </row>
    <row r="963" spans="1:26">
      <c r="A963" s="442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  <c r="Z963" s="242"/>
    </row>
    <row r="964" spans="1:26">
      <c r="A964" s="442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  <c r="Z964" s="242"/>
    </row>
    <row r="965" spans="1:26">
      <c r="A965" s="442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  <c r="Z965" s="242"/>
    </row>
    <row r="966" spans="1:26">
      <c r="A966" s="442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  <c r="Z966" s="242"/>
    </row>
    <row r="967" spans="1:26">
      <c r="A967" s="442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  <c r="Z967" s="242"/>
    </row>
    <row r="968" spans="1:26">
      <c r="A968" s="442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  <c r="Z968" s="242"/>
    </row>
    <row r="969" spans="1:26">
      <c r="A969" s="442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  <c r="Z969" s="242"/>
    </row>
    <row r="970" spans="1:26">
      <c r="A970" s="442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  <c r="Z970" s="242"/>
    </row>
    <row r="971" spans="1:26">
      <c r="A971" s="442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  <c r="Z971" s="242"/>
    </row>
    <row r="972" spans="1:26">
      <c r="A972" s="442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  <c r="Z972" s="242"/>
    </row>
    <row r="973" spans="1:26">
      <c r="A973" s="442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  <c r="Z973" s="242"/>
    </row>
    <row r="974" spans="1:26">
      <c r="A974" s="442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  <c r="Z974" s="242"/>
    </row>
    <row r="975" spans="1:26">
      <c r="A975" s="442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  <c r="Z975" s="242"/>
    </row>
    <row r="976" spans="1:26">
      <c r="A976" s="442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  <c r="Z976" s="242"/>
    </row>
    <row r="977" spans="1:26">
      <c r="A977" s="442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  <c r="Z977" s="242"/>
    </row>
    <row r="978" spans="1:26">
      <c r="A978" s="442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  <c r="Z978" s="242"/>
    </row>
    <row r="979" spans="1:26">
      <c r="A979" s="442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  <c r="Z979" s="242"/>
    </row>
    <row r="980" spans="1:26">
      <c r="A980" s="442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  <c r="Z980" s="242"/>
    </row>
    <row r="981" spans="1:26">
      <c r="A981" s="442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  <c r="Z981" s="242"/>
    </row>
    <row r="982" spans="1:26">
      <c r="A982" s="442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  <c r="Z982" s="242"/>
    </row>
    <row r="983" spans="1:26">
      <c r="A983" s="442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  <c r="Z983" s="242"/>
    </row>
    <row r="984" spans="1:26">
      <c r="A984" s="442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</row>
    <row r="985" spans="1:26">
      <c r="A985" s="442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  <c r="Z985" s="242"/>
    </row>
    <row r="986" spans="1:26">
      <c r="A986" s="442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  <c r="Z986" s="242"/>
    </row>
    <row r="987" spans="1:26">
      <c r="A987" s="442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  <c r="Z987" s="242"/>
    </row>
    <row r="988" spans="1:26">
      <c r="A988" s="442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  <c r="Z988" s="242"/>
    </row>
    <row r="989" spans="1:26">
      <c r="A989" s="442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  <c r="Z989" s="242"/>
    </row>
    <row r="990" spans="1:26">
      <c r="A990" s="442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  <c r="Z990" s="242"/>
    </row>
    <row r="991" spans="1:26">
      <c r="A991" s="442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  <c r="Z991" s="242"/>
    </row>
    <row r="992" spans="1:26">
      <c r="A992" s="442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  <c r="Z992" s="242"/>
    </row>
    <row r="993" spans="1:26">
      <c r="A993" s="442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  <c r="Z993" s="242"/>
    </row>
    <row r="994" spans="1:26">
      <c r="A994" s="442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  <c r="Z994" s="242"/>
    </row>
    <row r="995" spans="1:26">
      <c r="A995" s="442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  <c r="Z995" s="242"/>
    </row>
    <row r="996" spans="1:26">
      <c r="A996" s="442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  <c r="Z996" s="242"/>
    </row>
    <row r="997" spans="1:26">
      <c r="A997" s="442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  <c r="Z997" s="242"/>
    </row>
    <row r="998" spans="1:26">
      <c r="A998" s="442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  <c r="Z998" s="242"/>
    </row>
    <row r="999" spans="1:26">
      <c r="A999" s="442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  <c r="Z999" s="242"/>
    </row>
    <row r="1000" spans="1:26">
      <c r="A1000" s="442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  <c r="Z1000" s="242"/>
    </row>
    <row r="1001" spans="1:26">
      <c r="A1001" s="442"/>
      <c r="C1001" s="242"/>
      <c r="D1001" s="242"/>
      <c r="E1001" s="242"/>
      <c r="F1001" s="242"/>
      <c r="G1001" s="242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2"/>
      <c r="V1001" s="242"/>
      <c r="W1001" s="242"/>
      <c r="X1001" s="242"/>
      <c r="Y1001" s="242"/>
      <c r="Z1001" s="242"/>
    </row>
    <row r="1002" spans="1:26">
      <c r="A1002" s="442"/>
      <c r="C1002" s="242"/>
      <c r="D1002" s="242"/>
      <c r="E1002" s="242"/>
      <c r="F1002" s="242"/>
      <c r="G1002" s="242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2"/>
      <c r="V1002" s="242"/>
      <c r="W1002" s="242"/>
      <c r="X1002" s="242"/>
      <c r="Y1002" s="242"/>
      <c r="Z1002" s="242"/>
    </row>
    <row r="1003" spans="1:26">
      <c r="A1003" s="442"/>
      <c r="C1003" s="242"/>
      <c r="D1003" s="242"/>
      <c r="E1003" s="242"/>
      <c r="F1003" s="242"/>
      <c r="G1003" s="242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2"/>
      <c r="V1003" s="242"/>
      <c r="W1003" s="242"/>
      <c r="X1003" s="242"/>
      <c r="Y1003" s="242"/>
      <c r="Z1003" s="242"/>
    </row>
    <row r="1004" spans="1:26">
      <c r="A1004" s="442"/>
      <c r="C1004" s="242"/>
      <c r="D1004" s="242"/>
      <c r="E1004" s="242"/>
      <c r="F1004" s="242"/>
      <c r="G1004" s="242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2"/>
      <c r="V1004" s="242"/>
      <c r="W1004" s="242"/>
      <c r="X1004" s="242"/>
      <c r="Y1004" s="242"/>
      <c r="Z1004" s="242"/>
    </row>
    <row r="1005" spans="1:26">
      <c r="A1005" s="442"/>
      <c r="C1005" s="242"/>
      <c r="D1005" s="242"/>
      <c r="E1005" s="242"/>
      <c r="F1005" s="242"/>
      <c r="G1005" s="242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2"/>
      <c r="V1005" s="242"/>
      <c r="W1005" s="242"/>
      <c r="X1005" s="242"/>
      <c r="Y1005" s="242"/>
      <c r="Z1005" s="242"/>
    </row>
    <row r="1006" spans="1:26">
      <c r="A1006" s="442"/>
      <c r="C1006" s="242"/>
      <c r="D1006" s="242"/>
      <c r="E1006" s="242"/>
      <c r="F1006" s="242"/>
      <c r="G1006" s="242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2"/>
      <c r="V1006" s="242"/>
      <c r="W1006" s="242"/>
      <c r="X1006" s="242"/>
      <c r="Y1006" s="242"/>
      <c r="Z1006" s="242"/>
    </row>
    <row r="1007" spans="1:26">
      <c r="A1007" s="442"/>
      <c r="C1007" s="242"/>
      <c r="D1007" s="242"/>
      <c r="E1007" s="242"/>
      <c r="F1007" s="242"/>
      <c r="G1007" s="242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2"/>
      <c r="V1007" s="242"/>
      <c r="W1007" s="242"/>
      <c r="X1007" s="242"/>
      <c r="Y1007" s="242"/>
      <c r="Z1007" s="242"/>
    </row>
    <row r="1008" spans="1:26">
      <c r="A1008" s="442"/>
      <c r="C1008" s="242"/>
      <c r="D1008" s="242"/>
      <c r="E1008" s="242"/>
      <c r="F1008" s="242"/>
      <c r="G1008" s="242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2"/>
      <c r="V1008" s="242"/>
      <c r="W1008" s="242"/>
      <c r="X1008" s="242"/>
      <c r="Y1008" s="242"/>
      <c r="Z1008" s="242"/>
    </row>
    <row r="1009" spans="1:26">
      <c r="A1009" s="442"/>
      <c r="C1009" s="242"/>
      <c r="D1009" s="242"/>
      <c r="E1009" s="242"/>
      <c r="F1009" s="242"/>
      <c r="G1009" s="242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2"/>
      <c r="V1009" s="242"/>
      <c r="W1009" s="242"/>
      <c r="X1009" s="242"/>
      <c r="Y1009" s="242"/>
      <c r="Z1009" s="242"/>
    </row>
    <row r="1010" spans="1:26">
      <c r="A1010" s="442"/>
      <c r="C1010" s="242"/>
      <c r="D1010" s="242"/>
      <c r="E1010" s="242"/>
      <c r="F1010" s="242"/>
      <c r="G1010" s="242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2"/>
      <c r="V1010" s="242"/>
      <c r="W1010" s="242"/>
      <c r="X1010" s="242"/>
      <c r="Y1010" s="242"/>
      <c r="Z1010" s="242"/>
    </row>
    <row r="1011" spans="1:26">
      <c r="A1011" s="442"/>
      <c r="C1011" s="242"/>
      <c r="D1011" s="242"/>
      <c r="E1011" s="242"/>
      <c r="F1011" s="242"/>
      <c r="G1011" s="242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2"/>
      <c r="V1011" s="242"/>
      <c r="W1011" s="242"/>
      <c r="X1011" s="242"/>
      <c r="Y1011" s="242"/>
      <c r="Z1011" s="242"/>
    </row>
    <row r="1012" spans="1:26">
      <c r="A1012" s="442"/>
      <c r="C1012" s="242"/>
      <c r="D1012" s="242"/>
      <c r="E1012" s="242"/>
      <c r="F1012" s="242"/>
      <c r="G1012" s="242"/>
      <c r="H1012" s="242"/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  <c r="U1012" s="242"/>
      <c r="V1012" s="242"/>
      <c r="W1012" s="242"/>
      <c r="X1012" s="242"/>
      <c r="Y1012" s="242"/>
      <c r="Z1012" s="242"/>
    </row>
  </sheetData>
  <sheetProtection password="CA9F" sheet="1"/>
  <mergeCells count="5">
    <mergeCell ref="A3:F3"/>
    <mergeCell ref="A5:B5"/>
    <mergeCell ref="D5:G5"/>
    <mergeCell ref="D100:E100"/>
    <mergeCell ref="C1:G2"/>
  </mergeCells>
  <dataValidations count="1">
    <dataValidation type="decimal" allowBlank="1" showInputMessage="1" showErrorMessage="1" sqref="D91 D92:F99 E41:E42 D9:E40 F9:F91 D43:E90">
      <formula1>0</formula1>
      <formula2>1E+27</formula2>
    </dataValidation>
  </dataValidations>
  <pageMargins left="0.7" right="0.7" top="0.75" bottom="0.75" header="0.3" footer="0.3"/>
  <pageSetup scale="66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Y966"/>
  <sheetViews>
    <sheetView topLeftCell="A49" zoomScaleNormal="100" workbookViewId="0">
      <selection activeCell="J65" sqref="J65"/>
    </sheetView>
  </sheetViews>
  <sheetFormatPr defaultColWidth="15.1796875" defaultRowHeight="10.5"/>
  <cols>
    <col min="1" max="1" width="4.26953125" style="503" customWidth="1"/>
    <col min="2" max="2" width="22.26953125" style="229" customWidth="1"/>
    <col min="3" max="3" width="6.453125" style="338" customWidth="1"/>
    <col min="4" max="8" width="13.453125" style="463" customWidth="1"/>
    <col min="9" max="9" width="15.7265625" style="463" customWidth="1"/>
    <col min="10" max="10" width="15.81640625" style="338" customWidth="1"/>
    <col min="11" max="25" width="7.453125" style="338" customWidth="1"/>
    <col min="26" max="16384" width="15.1796875" style="338"/>
  </cols>
  <sheetData>
    <row r="1" spans="1:25" ht="26.25" customHeight="1">
      <c r="A1" s="1071"/>
      <c r="B1" s="1072"/>
      <c r="C1" s="458"/>
      <c r="D1" s="459"/>
      <c r="E1" s="1059" t="s">
        <v>1002</v>
      </c>
      <c r="F1" s="1059"/>
      <c r="G1" s="1059"/>
      <c r="H1" s="1059"/>
      <c r="I1" s="1059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>
      <c r="A2" s="460"/>
      <c r="B2" s="461"/>
      <c r="C2" s="458"/>
      <c r="D2" s="459"/>
      <c r="E2" s="1059"/>
      <c r="F2" s="1059"/>
      <c r="G2" s="1059"/>
      <c r="H2" s="1059"/>
      <c r="I2" s="1059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</row>
    <row r="3" spans="1:25">
      <c r="A3" s="1073" t="s">
        <v>594</v>
      </c>
      <c r="B3" s="1074"/>
      <c r="C3" s="1074"/>
      <c r="D3" s="1074"/>
      <c r="E3" s="1074"/>
      <c r="F3" s="1074"/>
      <c r="G3" s="1074"/>
      <c r="H3" s="1074"/>
      <c r="I3" s="1074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</row>
    <row r="4" spans="1:25">
      <c r="A4" s="462"/>
      <c r="J4" s="458"/>
      <c r="K4" s="458"/>
      <c r="L4" s="458"/>
      <c r="M4" s="458"/>
      <c r="N4" s="458"/>
      <c r="O4" s="458"/>
      <c r="P4" s="458"/>
      <c r="Q4" s="458"/>
      <c r="R4" s="458"/>
      <c r="S4" s="458"/>
      <c r="T4" s="458"/>
      <c r="U4" s="458"/>
      <c r="V4" s="458"/>
      <c r="W4" s="458"/>
      <c r="X4" s="458"/>
      <c r="Y4" s="458"/>
    </row>
    <row r="5" spans="1:25" ht="12" customHeight="1">
      <c r="A5" s="1068" t="str">
        <f>+i.04108!A7</f>
        <v>Даатгагчийн нэр:</v>
      </c>
      <c r="B5" s="1068"/>
      <c r="C5" s="1068"/>
      <c r="D5" s="1068"/>
      <c r="E5" s="464"/>
      <c r="F5" s="464"/>
      <c r="G5" s="1075" t="str">
        <f>+i.04108!F7</f>
        <v>..... оны .... сарын ...-ны өдөр</v>
      </c>
      <c r="H5" s="1075"/>
      <c r="I5" s="1075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</row>
    <row r="6" spans="1:25">
      <c r="A6" s="465"/>
      <c r="C6" s="230"/>
      <c r="D6" s="466"/>
      <c r="E6" s="466"/>
      <c r="F6" s="466"/>
      <c r="G6" s="1066"/>
      <c r="H6" s="1067"/>
      <c r="I6" s="466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</row>
    <row r="7" spans="1:25" ht="15" customHeight="1">
      <c r="A7" s="1069" t="s">
        <v>595</v>
      </c>
      <c r="B7" s="1069"/>
      <c r="C7" s="1069"/>
      <c r="D7" s="1069"/>
      <c r="E7" s="1069"/>
      <c r="F7" s="1069"/>
      <c r="G7" s="1069"/>
      <c r="H7" s="1069"/>
      <c r="I7" s="1069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</row>
    <row r="8" spans="1:25">
      <c r="A8" s="465"/>
      <c r="C8" s="230"/>
      <c r="D8" s="466"/>
      <c r="E8" s="466"/>
      <c r="F8" s="466"/>
      <c r="G8" s="467"/>
      <c r="H8" s="466"/>
      <c r="I8" s="468" t="s">
        <v>1</v>
      </c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</row>
    <row r="9" spans="1:25" ht="31.5">
      <c r="A9" s="469" t="s">
        <v>2</v>
      </c>
      <c r="B9" s="470" t="s">
        <v>596</v>
      </c>
      <c r="C9" s="470" t="s">
        <v>4</v>
      </c>
      <c r="D9" s="471" t="s">
        <v>597</v>
      </c>
      <c r="E9" s="471" t="s">
        <v>598</v>
      </c>
      <c r="F9" s="471" t="s">
        <v>599</v>
      </c>
      <c r="G9" s="471" t="s">
        <v>600</v>
      </c>
      <c r="H9" s="471" t="s">
        <v>601</v>
      </c>
      <c r="I9" s="471" t="s">
        <v>626</v>
      </c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</row>
    <row r="10" spans="1:25">
      <c r="A10" s="472" t="s">
        <v>6</v>
      </c>
      <c r="B10" s="473" t="s">
        <v>7</v>
      </c>
      <c r="C10" s="473" t="s">
        <v>8</v>
      </c>
      <c r="D10" s="474">
        <v>1</v>
      </c>
      <c r="E10" s="474">
        <v>2</v>
      </c>
      <c r="F10" s="474">
        <v>3</v>
      </c>
      <c r="G10" s="474">
        <v>4</v>
      </c>
      <c r="H10" s="474">
        <v>5</v>
      </c>
      <c r="I10" s="474">
        <v>6</v>
      </c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31.5">
      <c r="A11" s="475">
        <v>1</v>
      </c>
      <c r="B11" s="476" t="s">
        <v>596</v>
      </c>
      <c r="C11" s="477">
        <v>1</v>
      </c>
      <c r="D11" s="478"/>
      <c r="E11" s="478"/>
      <c r="F11" s="478"/>
      <c r="G11" s="478"/>
      <c r="H11" s="478"/>
      <c r="I11" s="47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>
      <c r="A12" s="479" t="s">
        <v>11</v>
      </c>
      <c r="B12" s="207" t="s">
        <v>602</v>
      </c>
      <c r="C12" s="481">
        <f>+C11+1</f>
        <v>2</v>
      </c>
      <c r="D12" s="457"/>
      <c r="E12" s="457"/>
      <c r="F12" s="457"/>
      <c r="G12" s="457"/>
      <c r="H12" s="457"/>
      <c r="I12" s="864">
        <f>SUM(D12:H12)</f>
        <v>0</v>
      </c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>
      <c r="A13" s="479">
        <f>+A12+0.1</f>
        <v>1.2000000000000002</v>
      </c>
      <c r="B13" s="207" t="s">
        <v>602</v>
      </c>
      <c r="C13" s="481">
        <f t="shared" ref="C13:C19" si="0">+C12+1</f>
        <v>3</v>
      </c>
      <c r="D13" s="457"/>
      <c r="E13" s="457"/>
      <c r="F13" s="457"/>
      <c r="G13" s="457"/>
      <c r="H13" s="457"/>
      <c r="I13" s="864">
        <f t="shared" ref="I13:I19" si="1">SUM(D13:H13)</f>
        <v>0</v>
      </c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</row>
    <row r="14" spans="1:25">
      <c r="A14" s="479">
        <f>+A13+0.1</f>
        <v>1.3000000000000003</v>
      </c>
      <c r="B14" s="207" t="s">
        <v>602</v>
      </c>
      <c r="C14" s="481">
        <f t="shared" si="0"/>
        <v>4</v>
      </c>
      <c r="D14" s="457"/>
      <c r="E14" s="457"/>
      <c r="F14" s="457"/>
      <c r="G14" s="457"/>
      <c r="H14" s="457"/>
      <c r="I14" s="864">
        <f t="shared" si="1"/>
        <v>0</v>
      </c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</row>
    <row r="15" spans="1:25">
      <c r="A15" s="479">
        <f>+A14+0.1</f>
        <v>1.4000000000000004</v>
      </c>
      <c r="B15" s="207" t="s">
        <v>602</v>
      </c>
      <c r="C15" s="481">
        <f t="shared" si="0"/>
        <v>5</v>
      </c>
      <c r="D15" s="457"/>
      <c r="E15" s="457"/>
      <c r="F15" s="457"/>
      <c r="G15" s="457"/>
      <c r="H15" s="457"/>
      <c r="I15" s="864">
        <f t="shared" si="1"/>
        <v>0</v>
      </c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</row>
    <row r="16" spans="1:25">
      <c r="A16" s="479">
        <f>+A15+0.1</f>
        <v>1.5000000000000004</v>
      </c>
      <c r="B16" s="207" t="s">
        <v>602</v>
      </c>
      <c r="C16" s="481">
        <f t="shared" si="0"/>
        <v>6</v>
      </c>
      <c r="D16" s="457"/>
      <c r="E16" s="457"/>
      <c r="F16" s="457"/>
      <c r="G16" s="457"/>
      <c r="H16" s="457"/>
      <c r="I16" s="864">
        <f t="shared" si="1"/>
        <v>0</v>
      </c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</row>
    <row r="17" spans="1:25" ht="42">
      <c r="A17" s="475">
        <v>2</v>
      </c>
      <c r="B17" s="476" t="s">
        <v>603</v>
      </c>
      <c r="C17" s="477">
        <f t="shared" si="0"/>
        <v>7</v>
      </c>
      <c r="D17" s="478">
        <f>SUM(D12:D16)</f>
        <v>0</v>
      </c>
      <c r="E17" s="478">
        <f>SUM(E12:E16)</f>
        <v>0</v>
      </c>
      <c r="F17" s="478">
        <f>SUM(F12:F16)</f>
        <v>0</v>
      </c>
      <c r="G17" s="478">
        <f>SUM(G12:G16)</f>
        <v>0</v>
      </c>
      <c r="H17" s="478">
        <f>SUM(H12:H16)</f>
        <v>0</v>
      </c>
      <c r="I17" s="478">
        <f t="shared" si="1"/>
        <v>0</v>
      </c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</row>
    <row r="18" spans="1:25" ht="39.75" customHeight="1">
      <c r="A18" s="479">
        <v>3</v>
      </c>
      <c r="B18" s="480" t="s">
        <v>604</v>
      </c>
      <c r="C18" s="481">
        <f t="shared" si="0"/>
        <v>8</v>
      </c>
      <c r="D18" s="218"/>
      <c r="E18" s="218"/>
      <c r="F18" s="218"/>
      <c r="G18" s="218"/>
      <c r="H18" s="218"/>
      <c r="I18" s="864">
        <f t="shared" si="1"/>
        <v>0</v>
      </c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</row>
    <row r="19" spans="1:25" ht="42">
      <c r="A19" s="475">
        <v>4</v>
      </c>
      <c r="B19" s="476" t="s">
        <v>605</v>
      </c>
      <c r="C19" s="477">
        <f t="shared" si="0"/>
        <v>9</v>
      </c>
      <c r="D19" s="478">
        <f>D17-D18</f>
        <v>0</v>
      </c>
      <c r="E19" s="478">
        <f>E17-E18</f>
        <v>0</v>
      </c>
      <c r="F19" s="478">
        <f>F17-F18</f>
        <v>0</v>
      </c>
      <c r="G19" s="478">
        <f>G17-G18</f>
        <v>0</v>
      </c>
      <c r="H19" s="478">
        <f>H17-H18</f>
        <v>0</v>
      </c>
      <c r="I19" s="478">
        <f t="shared" si="1"/>
        <v>0</v>
      </c>
      <c r="J19" s="1010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</row>
    <row r="20" spans="1:25">
      <c r="A20" s="462"/>
      <c r="B20" s="482"/>
      <c r="C20" s="483"/>
      <c r="D20" s="484"/>
      <c r="E20" s="484"/>
      <c r="F20" s="484"/>
      <c r="G20" s="484"/>
      <c r="H20" s="484"/>
      <c r="I20" s="484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</row>
    <row r="21" spans="1:25" ht="15" customHeight="1">
      <c r="A21" s="1070" t="s">
        <v>606</v>
      </c>
      <c r="B21" s="1070"/>
      <c r="C21" s="1070"/>
      <c r="D21" s="1070"/>
      <c r="E21" s="1070"/>
      <c r="F21" s="1070"/>
      <c r="G21" s="1070"/>
      <c r="H21" s="1070"/>
      <c r="I21" s="1070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</row>
    <row r="22" spans="1:25">
      <c r="A22" s="465"/>
      <c r="C22" s="230"/>
      <c r="D22" s="466"/>
      <c r="E22" s="466"/>
      <c r="F22" s="466"/>
      <c r="G22" s="467"/>
      <c r="H22" s="466"/>
      <c r="I22" s="468" t="s">
        <v>1</v>
      </c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</row>
    <row r="23" spans="1:25" ht="21">
      <c r="A23" s="469" t="s">
        <v>2</v>
      </c>
      <c r="B23" s="470" t="s">
        <v>607</v>
      </c>
      <c r="C23" s="470" t="s">
        <v>4</v>
      </c>
      <c r="D23" s="471" t="s">
        <v>597</v>
      </c>
      <c r="E23" s="471" t="s">
        <v>598</v>
      </c>
      <c r="F23" s="471" t="s">
        <v>599</v>
      </c>
      <c r="G23" s="471" t="s">
        <v>600</v>
      </c>
      <c r="H23" s="471" t="s">
        <v>601</v>
      </c>
      <c r="I23" s="471" t="s">
        <v>626</v>
      </c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</row>
    <row r="24" spans="1:25">
      <c r="A24" s="472" t="s">
        <v>6</v>
      </c>
      <c r="B24" s="473" t="s">
        <v>7</v>
      </c>
      <c r="C24" s="473" t="s">
        <v>8</v>
      </c>
      <c r="D24" s="474">
        <v>1</v>
      </c>
      <c r="E24" s="474">
        <v>2</v>
      </c>
      <c r="F24" s="474">
        <v>3</v>
      </c>
      <c r="G24" s="474">
        <v>4</v>
      </c>
      <c r="H24" s="474">
        <v>5</v>
      </c>
      <c r="I24" s="474">
        <v>6</v>
      </c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</row>
    <row r="25" spans="1:25">
      <c r="A25" s="475">
        <v>1</v>
      </c>
      <c r="B25" s="476" t="s">
        <v>607</v>
      </c>
      <c r="C25" s="477">
        <v>1</v>
      </c>
      <c r="D25" s="485"/>
      <c r="E25" s="485"/>
      <c r="F25" s="485"/>
      <c r="G25" s="485"/>
      <c r="H25" s="485"/>
      <c r="I25" s="485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</row>
    <row r="26" spans="1:25">
      <c r="A26" s="479" t="s">
        <v>11</v>
      </c>
      <c r="B26" s="207" t="s">
        <v>627</v>
      </c>
      <c r="C26" s="481">
        <f>+C25+1</f>
        <v>2</v>
      </c>
      <c r="D26" s="868"/>
      <c r="E26" s="868"/>
      <c r="F26" s="868"/>
      <c r="G26" s="868"/>
      <c r="H26" s="868"/>
      <c r="I26" s="865">
        <f>SUM(D26:H26)</f>
        <v>0</v>
      </c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</row>
    <row r="27" spans="1:25">
      <c r="A27" s="479">
        <f>+A26+0.1</f>
        <v>1.2000000000000002</v>
      </c>
      <c r="B27" s="207" t="s">
        <v>1016</v>
      </c>
      <c r="C27" s="481">
        <f t="shared" ref="C27:C38" si="2">+C26+1</f>
        <v>3</v>
      </c>
      <c r="D27" s="868"/>
      <c r="E27" s="868"/>
      <c r="F27" s="868"/>
      <c r="G27" s="868"/>
      <c r="H27" s="868"/>
      <c r="I27" s="865">
        <f t="shared" ref="I27:I38" si="3">SUM(D27:H27)</f>
        <v>0</v>
      </c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</row>
    <row r="28" spans="1:25">
      <c r="A28" s="479">
        <f t="shared" ref="A28:A34" si="4">+A27+0.1</f>
        <v>1.3000000000000003</v>
      </c>
      <c r="B28" s="207" t="s">
        <v>627</v>
      </c>
      <c r="C28" s="481">
        <f t="shared" si="2"/>
        <v>4</v>
      </c>
      <c r="D28" s="868"/>
      <c r="E28" s="868"/>
      <c r="F28" s="868"/>
      <c r="G28" s="868"/>
      <c r="H28" s="868"/>
      <c r="I28" s="865">
        <f t="shared" si="3"/>
        <v>0</v>
      </c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</row>
    <row r="29" spans="1:25">
      <c r="A29" s="479">
        <f t="shared" si="4"/>
        <v>1.4000000000000004</v>
      </c>
      <c r="B29" s="207" t="s">
        <v>627</v>
      </c>
      <c r="C29" s="481">
        <f t="shared" si="2"/>
        <v>5</v>
      </c>
      <c r="D29" s="868"/>
      <c r="E29" s="868"/>
      <c r="F29" s="868"/>
      <c r="G29" s="868"/>
      <c r="H29" s="868"/>
      <c r="I29" s="865">
        <f t="shared" si="3"/>
        <v>0</v>
      </c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</row>
    <row r="30" spans="1:25">
      <c r="A30" s="479">
        <f t="shared" si="4"/>
        <v>1.5000000000000004</v>
      </c>
      <c r="B30" s="207" t="s">
        <v>627</v>
      </c>
      <c r="C30" s="481">
        <f t="shared" si="2"/>
        <v>6</v>
      </c>
      <c r="D30" s="868"/>
      <c r="E30" s="868"/>
      <c r="F30" s="868"/>
      <c r="G30" s="868"/>
      <c r="H30" s="868"/>
      <c r="I30" s="865">
        <f t="shared" si="3"/>
        <v>0</v>
      </c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</row>
    <row r="31" spans="1:25">
      <c r="A31" s="479">
        <f t="shared" si="4"/>
        <v>1.6000000000000005</v>
      </c>
      <c r="B31" s="207" t="s">
        <v>627</v>
      </c>
      <c r="C31" s="481">
        <f t="shared" si="2"/>
        <v>7</v>
      </c>
      <c r="D31" s="868"/>
      <c r="E31" s="868"/>
      <c r="F31" s="868"/>
      <c r="G31" s="868"/>
      <c r="H31" s="868"/>
      <c r="I31" s="865">
        <f t="shared" si="3"/>
        <v>0</v>
      </c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</row>
    <row r="32" spans="1:25">
      <c r="A32" s="479">
        <f t="shared" si="4"/>
        <v>1.7000000000000006</v>
      </c>
      <c r="B32" s="207" t="s">
        <v>627</v>
      </c>
      <c r="C32" s="481">
        <f t="shared" si="2"/>
        <v>8</v>
      </c>
      <c r="D32" s="868"/>
      <c r="E32" s="868"/>
      <c r="F32" s="868"/>
      <c r="G32" s="868"/>
      <c r="H32" s="868"/>
      <c r="I32" s="866">
        <f t="shared" si="3"/>
        <v>0</v>
      </c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</row>
    <row r="33" spans="1:25">
      <c r="A33" s="479">
        <f t="shared" si="4"/>
        <v>1.8000000000000007</v>
      </c>
      <c r="B33" s="207" t="s">
        <v>627</v>
      </c>
      <c r="C33" s="481">
        <f t="shared" si="2"/>
        <v>9</v>
      </c>
      <c r="D33" s="868"/>
      <c r="E33" s="868"/>
      <c r="F33" s="868"/>
      <c r="G33" s="868"/>
      <c r="H33" s="868"/>
      <c r="I33" s="867">
        <f t="shared" si="3"/>
        <v>0</v>
      </c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</row>
    <row r="34" spans="1:25">
      <c r="A34" s="479">
        <f t="shared" si="4"/>
        <v>1.9000000000000008</v>
      </c>
      <c r="B34" s="207" t="s">
        <v>627</v>
      </c>
      <c r="C34" s="481">
        <f t="shared" si="2"/>
        <v>10</v>
      </c>
      <c r="D34" s="868"/>
      <c r="E34" s="868"/>
      <c r="F34" s="868"/>
      <c r="G34" s="868"/>
      <c r="H34" s="868"/>
      <c r="I34" s="867">
        <f t="shared" si="3"/>
        <v>0</v>
      </c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  <c r="Y34" s="458"/>
    </row>
    <row r="35" spans="1:25">
      <c r="A35" s="486">
        <v>1.1000000000000001</v>
      </c>
      <c r="B35" s="207" t="s">
        <v>627</v>
      </c>
      <c r="C35" s="481">
        <f>+C34+1</f>
        <v>11</v>
      </c>
      <c r="D35" s="868"/>
      <c r="E35" s="868"/>
      <c r="F35" s="868"/>
      <c r="G35" s="868"/>
      <c r="H35" s="868"/>
      <c r="I35" s="867">
        <f t="shared" si="3"/>
        <v>0</v>
      </c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  <c r="Y35" s="458"/>
    </row>
    <row r="36" spans="1:25" ht="21">
      <c r="A36" s="475">
        <v>2</v>
      </c>
      <c r="B36" s="476" t="s">
        <v>608</v>
      </c>
      <c r="C36" s="477">
        <f t="shared" si="2"/>
        <v>12</v>
      </c>
      <c r="D36" s="487">
        <f>SUM(D26:D35)</f>
        <v>0</v>
      </c>
      <c r="E36" s="487">
        <f>SUM(E26:E35)</f>
        <v>0</v>
      </c>
      <c r="F36" s="487">
        <f>SUM(F26:F35)</f>
        <v>0</v>
      </c>
      <c r="G36" s="487">
        <f>SUM(G26:G35)</f>
        <v>0</v>
      </c>
      <c r="H36" s="742">
        <f>SUM(H26:H35)</f>
        <v>0</v>
      </c>
      <c r="I36" s="743">
        <f t="shared" si="3"/>
        <v>0</v>
      </c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  <c r="Y36" s="458"/>
    </row>
    <row r="37" spans="1:25" ht="21">
      <c r="A37" s="479">
        <v>3</v>
      </c>
      <c r="B37" s="480" t="s">
        <v>609</v>
      </c>
      <c r="C37" s="481">
        <f t="shared" si="2"/>
        <v>13</v>
      </c>
      <c r="D37" s="504"/>
      <c r="E37" s="504"/>
      <c r="F37" s="504"/>
      <c r="G37" s="504"/>
      <c r="H37" s="504"/>
      <c r="I37" s="867">
        <f t="shared" si="3"/>
        <v>0</v>
      </c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  <c r="Y37" s="458"/>
    </row>
    <row r="38" spans="1:25" ht="29.25" customHeight="1">
      <c r="A38" s="475">
        <v>4</v>
      </c>
      <c r="B38" s="476" t="s">
        <v>610</v>
      </c>
      <c r="C38" s="477">
        <f t="shared" si="2"/>
        <v>14</v>
      </c>
      <c r="D38" s="487">
        <f>D36-D37</f>
        <v>0</v>
      </c>
      <c r="E38" s="487">
        <f>E36-E37</f>
        <v>0</v>
      </c>
      <c r="F38" s="487">
        <f>F36-F37</f>
        <v>0</v>
      </c>
      <c r="G38" s="487">
        <f>G36-G37</f>
        <v>0</v>
      </c>
      <c r="H38" s="742">
        <f>H36-H37</f>
        <v>0</v>
      </c>
      <c r="I38" s="743">
        <f t="shared" si="3"/>
        <v>0</v>
      </c>
      <c r="J38" s="1017" t="str">
        <f>IF(I38=i.04101!E31,"","ДҮН ЗӨРҮҮТЭЙ БАЙНА:i.04101")</f>
        <v/>
      </c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458"/>
      <c r="X38" s="458"/>
      <c r="Y38" s="458"/>
    </row>
    <row r="39" spans="1:25" ht="15" customHeight="1">
      <c r="A39" s="462"/>
      <c r="B39" s="482"/>
      <c r="C39" s="483"/>
      <c r="D39" s="484"/>
      <c r="E39" s="484"/>
      <c r="F39" s="484"/>
      <c r="I39" s="734"/>
      <c r="J39" s="735"/>
      <c r="K39" s="735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458"/>
      <c r="X39" s="458"/>
      <c r="Y39" s="458"/>
    </row>
    <row r="40" spans="1:25" s="720" customFormat="1">
      <c r="A40" s="462"/>
      <c r="B40" s="482"/>
      <c r="C40" s="719"/>
      <c r="D40" s="484"/>
      <c r="E40" s="484"/>
      <c r="F40" s="484"/>
      <c r="G40" s="484"/>
      <c r="H40" s="484"/>
      <c r="I40" s="484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</row>
    <row r="41" spans="1:25" ht="15" customHeight="1">
      <c r="A41" s="1070" t="s">
        <v>611</v>
      </c>
      <c r="B41" s="1070"/>
      <c r="C41" s="1070"/>
      <c r="D41" s="1070"/>
      <c r="E41" s="1070"/>
      <c r="F41" s="1070"/>
      <c r="G41" s="1070"/>
      <c r="H41" s="1070"/>
      <c r="I41" s="1070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</row>
    <row r="42" spans="1:25">
      <c r="A42" s="465"/>
      <c r="C42" s="230"/>
      <c r="D42" s="466"/>
      <c r="E42" s="466"/>
      <c r="F42" s="466"/>
      <c r="G42" s="467"/>
      <c r="H42" s="466"/>
      <c r="I42" s="468" t="s">
        <v>1</v>
      </c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</row>
    <row r="43" spans="1:25" ht="21">
      <c r="A43" s="469" t="s">
        <v>2</v>
      </c>
      <c r="B43" s="470" t="s">
        <v>612</v>
      </c>
      <c r="C43" s="470" t="s">
        <v>4</v>
      </c>
      <c r="D43" s="471" t="s">
        <v>597</v>
      </c>
      <c r="E43" s="471" t="s">
        <v>598</v>
      </c>
      <c r="F43" s="471" t="s">
        <v>599</v>
      </c>
      <c r="G43" s="471" t="s">
        <v>600</v>
      </c>
      <c r="H43" s="471" t="s">
        <v>601</v>
      </c>
      <c r="I43" s="471" t="s">
        <v>626</v>
      </c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</row>
    <row r="44" spans="1:25">
      <c r="A44" s="472" t="s">
        <v>6</v>
      </c>
      <c r="B44" s="473" t="s">
        <v>7</v>
      </c>
      <c r="C44" s="473" t="s">
        <v>8</v>
      </c>
      <c r="D44" s="474">
        <v>1</v>
      </c>
      <c r="E44" s="474">
        <v>2</v>
      </c>
      <c r="F44" s="474">
        <v>3</v>
      </c>
      <c r="G44" s="474">
        <v>4</v>
      </c>
      <c r="H44" s="474">
        <v>5</v>
      </c>
      <c r="I44" s="474">
        <v>6</v>
      </c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</row>
    <row r="45" spans="1:25">
      <c r="A45" s="488" t="s">
        <v>613</v>
      </c>
      <c r="B45" s="489" t="s">
        <v>289</v>
      </c>
      <c r="C45" s="489">
        <v>1</v>
      </c>
      <c r="D45" s="1060"/>
      <c r="E45" s="1061"/>
      <c r="F45" s="1061"/>
      <c r="G45" s="1061"/>
      <c r="H45" s="1061"/>
      <c r="I45" s="1062"/>
      <c r="J45" s="482"/>
      <c r="K45" s="482"/>
      <c r="L45" s="482"/>
      <c r="M45" s="482"/>
      <c r="N45" s="482"/>
      <c r="O45" s="482"/>
      <c r="P45" s="482"/>
      <c r="Q45" s="482"/>
      <c r="R45" s="482"/>
      <c r="S45" s="482"/>
      <c r="T45" s="482"/>
      <c r="U45" s="482"/>
      <c r="V45" s="482"/>
      <c r="W45" s="482"/>
    </row>
    <row r="46" spans="1:25">
      <c r="A46" s="479">
        <v>1</v>
      </c>
      <c r="B46" s="480" t="s">
        <v>614</v>
      </c>
      <c r="C46" s="481">
        <f t="shared" ref="C46:C53" si="5">+C45+1</f>
        <v>2</v>
      </c>
      <c r="D46" s="457"/>
      <c r="E46" s="457"/>
      <c r="F46" s="457"/>
      <c r="G46" s="457"/>
      <c r="H46" s="457"/>
      <c r="I46" s="869">
        <f t="shared" ref="I46:I51" si="6">SUM(D46:H46)</f>
        <v>0</v>
      </c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</row>
    <row r="47" spans="1:25">
      <c r="A47" s="479">
        <f>+A46+1</f>
        <v>2</v>
      </c>
      <c r="B47" s="480" t="s">
        <v>615</v>
      </c>
      <c r="C47" s="481">
        <f t="shared" si="5"/>
        <v>3</v>
      </c>
      <c r="D47" s="457"/>
      <c r="E47" s="457"/>
      <c r="F47" s="457"/>
      <c r="G47" s="457"/>
      <c r="H47" s="457"/>
      <c r="I47" s="870">
        <f t="shared" si="6"/>
        <v>0</v>
      </c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</row>
    <row r="48" spans="1:25">
      <c r="A48" s="479">
        <f>+A47+1</f>
        <v>3</v>
      </c>
      <c r="B48" s="480" t="s">
        <v>616</v>
      </c>
      <c r="C48" s="481">
        <f t="shared" si="5"/>
        <v>4</v>
      </c>
      <c r="D48" s="457"/>
      <c r="E48" s="457"/>
      <c r="F48" s="457"/>
      <c r="G48" s="457"/>
      <c r="H48" s="1018"/>
      <c r="I48" s="870">
        <f t="shared" si="6"/>
        <v>0</v>
      </c>
      <c r="J48" s="1020">
        <f>I48-(i.04101a!D34+i.04101a!D36+i.04101a!D38)</f>
        <v>0</v>
      </c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</row>
    <row r="49" spans="1:25" ht="21">
      <c r="A49" s="490">
        <f>+A48+1</f>
        <v>4</v>
      </c>
      <c r="B49" s="491" t="s">
        <v>617</v>
      </c>
      <c r="C49" s="473">
        <f t="shared" si="5"/>
        <v>5</v>
      </c>
      <c r="D49" s="492">
        <f>SUM(D46:D48)</f>
        <v>0</v>
      </c>
      <c r="E49" s="492">
        <f>SUM(E46:E48)</f>
        <v>0</v>
      </c>
      <c r="F49" s="492">
        <f>SUM(F46:F48)</f>
        <v>0</v>
      </c>
      <c r="G49" s="492">
        <f>SUM(G46:G48)</f>
        <v>0</v>
      </c>
      <c r="H49" s="736">
        <f>SUM(H46:H48)</f>
        <v>0</v>
      </c>
      <c r="I49" s="738">
        <f t="shared" si="6"/>
        <v>0</v>
      </c>
      <c r="J49" s="458"/>
      <c r="K49" s="458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</row>
    <row r="50" spans="1:25">
      <c r="A50" s="479">
        <f>+A49+1</f>
        <v>5</v>
      </c>
      <c r="B50" s="480" t="s">
        <v>618</v>
      </c>
      <c r="C50" s="481">
        <f t="shared" si="5"/>
        <v>6</v>
      </c>
      <c r="D50" s="504"/>
      <c r="E50" s="504"/>
      <c r="F50" s="504"/>
      <c r="G50" s="504"/>
      <c r="H50" s="1019"/>
      <c r="I50" s="870">
        <f t="shared" si="6"/>
        <v>0</v>
      </c>
      <c r="J50" s="1020">
        <f>I50-(i.04101a!D31+i.04101a!D33+i.04101a!D35+i.04101a!D37+i.04101a!D39)</f>
        <v>0</v>
      </c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458"/>
      <c r="W50" s="458"/>
      <c r="X50" s="458"/>
      <c r="Y50" s="458"/>
    </row>
    <row r="51" spans="1:25" ht="30" customHeight="1">
      <c r="A51" s="490">
        <f>+A50+1</f>
        <v>6</v>
      </c>
      <c r="B51" s="491" t="s">
        <v>619</v>
      </c>
      <c r="C51" s="477">
        <f t="shared" si="5"/>
        <v>7</v>
      </c>
      <c r="D51" s="494">
        <f>D49-D50</f>
        <v>0</v>
      </c>
      <c r="E51" s="494">
        <f>E49-E50</f>
        <v>0</v>
      </c>
      <c r="F51" s="494">
        <f>F49-F50</f>
        <v>0</v>
      </c>
      <c r="G51" s="494">
        <f>G49-G50</f>
        <v>0</v>
      </c>
      <c r="H51" s="737">
        <f>H49-H50</f>
        <v>0</v>
      </c>
      <c r="I51" s="738">
        <f t="shared" si="6"/>
        <v>0</v>
      </c>
      <c r="J51" s="458" t="str">
        <f>IF(i.04101!E21=i.04106!I51,"","ДҮН ЗӨРҮҮТЭЙ БАЙНА:i.04101")</f>
        <v/>
      </c>
      <c r="K51" s="458"/>
      <c r="L51" s="730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</row>
    <row r="52" spans="1:25" ht="31.5">
      <c r="A52" s="475" t="s">
        <v>620</v>
      </c>
      <c r="B52" s="491" t="s">
        <v>621</v>
      </c>
      <c r="C52" s="477">
        <f t="shared" si="5"/>
        <v>8</v>
      </c>
      <c r="D52" s="1063"/>
      <c r="E52" s="1064"/>
      <c r="F52" s="1064"/>
      <c r="G52" s="1064"/>
      <c r="H52" s="1064"/>
      <c r="I52" s="1065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</row>
    <row r="53" spans="1:25">
      <c r="A53" s="495">
        <v>1</v>
      </c>
      <c r="B53" s="954" t="s">
        <v>622</v>
      </c>
      <c r="C53" s="496">
        <f t="shared" si="5"/>
        <v>9</v>
      </c>
      <c r="D53" s="871"/>
      <c r="E53" s="871"/>
      <c r="F53" s="871"/>
      <c r="G53" s="871"/>
      <c r="H53" s="871"/>
      <c r="I53" s="872">
        <f>SUM(D53:H53)</f>
        <v>0</v>
      </c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</row>
    <row r="54" spans="1:25">
      <c r="A54" s="495">
        <f>+A53+1</f>
        <v>2</v>
      </c>
      <c r="B54" s="954" t="s">
        <v>622</v>
      </c>
      <c r="C54" s="496">
        <f>+C53+1</f>
        <v>10</v>
      </c>
      <c r="D54" s="871"/>
      <c r="E54" s="871"/>
      <c r="F54" s="871"/>
      <c r="G54" s="871"/>
      <c r="H54" s="871"/>
      <c r="I54" s="872">
        <f t="shared" ref="I54:I65" si="7">SUM(D54:H54)</f>
        <v>0</v>
      </c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</row>
    <row r="55" spans="1:25">
      <c r="A55" s="495">
        <f t="shared" ref="A55:A62" si="8">+A54+1</f>
        <v>3</v>
      </c>
      <c r="B55" s="954" t="s">
        <v>622</v>
      </c>
      <c r="C55" s="496">
        <f t="shared" ref="C55:C65" si="9">+C54+1</f>
        <v>11</v>
      </c>
      <c r="D55" s="871"/>
      <c r="E55" s="871"/>
      <c r="F55" s="871"/>
      <c r="G55" s="871"/>
      <c r="H55" s="871"/>
      <c r="I55" s="872">
        <f t="shared" si="7"/>
        <v>0</v>
      </c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</row>
    <row r="56" spans="1:25">
      <c r="A56" s="495">
        <f t="shared" si="8"/>
        <v>4</v>
      </c>
      <c r="B56" s="954" t="s">
        <v>622</v>
      </c>
      <c r="C56" s="496">
        <f t="shared" si="9"/>
        <v>12</v>
      </c>
      <c r="D56" s="871"/>
      <c r="E56" s="871"/>
      <c r="F56" s="871"/>
      <c r="G56" s="871"/>
      <c r="H56" s="871"/>
      <c r="I56" s="872">
        <f t="shared" si="7"/>
        <v>0</v>
      </c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  <c r="U56" s="249"/>
      <c r="V56" s="249"/>
      <c r="W56" s="249"/>
      <c r="X56" s="249"/>
      <c r="Y56" s="249"/>
    </row>
    <row r="57" spans="1:25">
      <c r="A57" s="495">
        <f t="shared" si="8"/>
        <v>5</v>
      </c>
      <c r="B57" s="954" t="s">
        <v>622</v>
      </c>
      <c r="C57" s="496">
        <f t="shared" si="9"/>
        <v>13</v>
      </c>
      <c r="D57" s="871"/>
      <c r="E57" s="871"/>
      <c r="F57" s="871"/>
      <c r="G57" s="871"/>
      <c r="H57" s="871"/>
      <c r="I57" s="872">
        <f t="shared" si="7"/>
        <v>0</v>
      </c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</row>
    <row r="58" spans="1:25">
      <c r="A58" s="495">
        <f t="shared" si="8"/>
        <v>6</v>
      </c>
      <c r="B58" s="954" t="s">
        <v>622</v>
      </c>
      <c r="C58" s="496">
        <f t="shared" si="9"/>
        <v>14</v>
      </c>
      <c r="D58" s="871"/>
      <c r="E58" s="871"/>
      <c r="F58" s="871"/>
      <c r="G58" s="871"/>
      <c r="H58" s="871"/>
      <c r="I58" s="872">
        <f t="shared" si="7"/>
        <v>0</v>
      </c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</row>
    <row r="59" spans="1:25">
      <c r="A59" s="495">
        <f t="shared" si="8"/>
        <v>7</v>
      </c>
      <c r="B59" s="954" t="s">
        <v>622</v>
      </c>
      <c r="C59" s="496">
        <f t="shared" si="9"/>
        <v>15</v>
      </c>
      <c r="D59" s="871"/>
      <c r="E59" s="871"/>
      <c r="F59" s="871"/>
      <c r="G59" s="871"/>
      <c r="H59" s="871"/>
      <c r="I59" s="872">
        <f t="shared" si="7"/>
        <v>0</v>
      </c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</row>
    <row r="60" spans="1:25">
      <c r="A60" s="495">
        <f t="shared" si="8"/>
        <v>8</v>
      </c>
      <c r="B60" s="954" t="s">
        <v>622</v>
      </c>
      <c r="C60" s="496">
        <f t="shared" si="9"/>
        <v>16</v>
      </c>
      <c r="D60" s="871"/>
      <c r="E60" s="871"/>
      <c r="F60" s="871"/>
      <c r="G60" s="871"/>
      <c r="H60" s="871"/>
      <c r="I60" s="872">
        <f t="shared" si="7"/>
        <v>0</v>
      </c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</row>
    <row r="61" spans="1:25">
      <c r="A61" s="495">
        <f t="shared" si="8"/>
        <v>9</v>
      </c>
      <c r="B61" s="954" t="s">
        <v>622</v>
      </c>
      <c r="C61" s="496">
        <f t="shared" si="9"/>
        <v>17</v>
      </c>
      <c r="D61" s="871"/>
      <c r="E61" s="871"/>
      <c r="F61" s="871"/>
      <c r="G61" s="871"/>
      <c r="H61" s="871"/>
      <c r="I61" s="872">
        <f t="shared" si="7"/>
        <v>0</v>
      </c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  <c r="Y61" s="249"/>
    </row>
    <row r="62" spans="1:25">
      <c r="A62" s="495">
        <f t="shared" si="8"/>
        <v>10</v>
      </c>
      <c r="B62" s="954" t="s">
        <v>622</v>
      </c>
      <c r="C62" s="496">
        <f t="shared" si="9"/>
        <v>18</v>
      </c>
      <c r="D62" s="871"/>
      <c r="E62" s="871"/>
      <c r="F62" s="871"/>
      <c r="G62" s="871"/>
      <c r="H62" s="871"/>
      <c r="I62" s="872">
        <f t="shared" si="7"/>
        <v>0</v>
      </c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</row>
    <row r="63" spans="1:25" ht="31.5">
      <c r="A63" s="490">
        <f>+A54+1</f>
        <v>3</v>
      </c>
      <c r="B63" s="491" t="s">
        <v>623</v>
      </c>
      <c r="C63" s="497">
        <f t="shared" si="9"/>
        <v>19</v>
      </c>
      <c r="D63" s="498">
        <f>SUM(D53:D62)</f>
        <v>0</v>
      </c>
      <c r="E63" s="498">
        <f>SUM(E53:E62)</f>
        <v>0</v>
      </c>
      <c r="F63" s="498">
        <f>SUM(F53:F62)</f>
        <v>0</v>
      </c>
      <c r="G63" s="498">
        <f>SUM(G53:G62)</f>
        <v>0</v>
      </c>
      <c r="H63" s="740">
        <f>SUM(H53:H62)</f>
        <v>0</v>
      </c>
      <c r="I63" s="499">
        <f t="shared" si="7"/>
        <v>0</v>
      </c>
      <c r="J63" s="739"/>
      <c r="K63" s="73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</row>
    <row r="64" spans="1:25">
      <c r="A64" s="479">
        <f>+A63+1</f>
        <v>4</v>
      </c>
      <c r="B64" s="480" t="s">
        <v>624</v>
      </c>
      <c r="C64" s="496">
        <f t="shared" si="9"/>
        <v>20</v>
      </c>
      <c r="D64" s="505"/>
      <c r="E64" s="505"/>
      <c r="F64" s="505"/>
      <c r="G64" s="505"/>
      <c r="H64" s="505"/>
      <c r="I64" s="873">
        <f t="shared" si="7"/>
        <v>0</v>
      </c>
      <c r="J64" s="735"/>
      <c r="K64" s="735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  <c r="Y64" s="458"/>
    </row>
    <row r="65" spans="1:25" ht="31.5">
      <c r="A65" s="475">
        <f>+A64+1</f>
        <v>5</v>
      </c>
      <c r="B65" s="491" t="s">
        <v>625</v>
      </c>
      <c r="C65" s="497">
        <f t="shared" si="9"/>
        <v>21</v>
      </c>
      <c r="D65" s="500">
        <f>D63-D64</f>
        <v>0</v>
      </c>
      <c r="E65" s="500">
        <f>E63-E64</f>
        <v>0</v>
      </c>
      <c r="F65" s="500">
        <f>F63-F64</f>
        <v>0</v>
      </c>
      <c r="G65" s="500">
        <f>G63-G64</f>
        <v>0</v>
      </c>
      <c r="H65" s="741">
        <f>H63-H64</f>
        <v>0</v>
      </c>
      <c r="I65" s="499">
        <f t="shared" si="7"/>
        <v>0</v>
      </c>
      <c r="J65" s="1010" t="str">
        <f>IF(I65=(i.04101!E23+i.04101!E26+i.04101!E27),"","ДҮН ЗӨРҮҮТЭЙ БАЙНА:i.04101")</f>
        <v/>
      </c>
      <c r="K65" s="249"/>
      <c r="L65" s="249"/>
      <c r="M65" s="249"/>
      <c r="N65" s="249"/>
      <c r="O65" s="249"/>
      <c r="P65" s="249"/>
      <c r="Q65" s="249"/>
      <c r="R65" s="249"/>
      <c r="S65" s="249"/>
      <c r="T65" s="249"/>
      <c r="U65" s="249"/>
      <c r="V65" s="249"/>
      <c r="W65" s="249"/>
      <c r="X65" s="249"/>
      <c r="Y65" s="249"/>
    </row>
    <row r="66" spans="1:25">
      <c r="A66" s="460"/>
      <c r="B66" s="461"/>
      <c r="C66" s="458"/>
      <c r="D66" s="459"/>
      <c r="E66" s="459"/>
      <c r="F66" s="459"/>
      <c r="G66" s="459"/>
      <c r="H66" s="459"/>
      <c r="I66" s="459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  <c r="Y66" s="458"/>
    </row>
    <row r="67" spans="1:25">
      <c r="A67" s="460"/>
      <c r="B67" s="461" t="str">
        <f>+i.04108!C32</f>
        <v>тамга тэмдэг</v>
      </c>
      <c r="C67" s="461"/>
      <c r="D67" s="461"/>
      <c r="E67" s="461"/>
      <c r="F67" s="461"/>
      <c r="G67" s="461"/>
      <c r="H67" s="459"/>
      <c r="I67" s="459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  <c r="Y67" s="458"/>
    </row>
    <row r="68" spans="1:25" s="245" customFormat="1" ht="13">
      <c r="A68" s="329"/>
      <c r="B68" s="461"/>
      <c r="C68" s="461"/>
      <c r="D68" s="461"/>
      <c r="E68" s="461"/>
      <c r="F68" s="461"/>
      <c r="G68" s="461"/>
      <c r="H68" s="501"/>
      <c r="I68" s="501"/>
    </row>
    <row r="69" spans="1:25" s="231" customFormat="1" ht="13">
      <c r="A69" s="329"/>
      <c r="B69" s="461" t="str">
        <f>+i.04108!C34</f>
        <v xml:space="preserve">ТАЙЛАН ГАРГАСАН:    </v>
      </c>
      <c r="C69" s="461"/>
      <c r="D69" s="461"/>
      <c r="E69" s="461"/>
      <c r="F69" s="461"/>
      <c r="G69" s="461"/>
      <c r="H69" s="466"/>
      <c r="I69" s="466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</row>
    <row r="70" spans="1:25" s="231" customFormat="1" ht="13">
      <c r="A70" s="443"/>
      <c r="B70" s="461"/>
      <c r="C70" s="461"/>
      <c r="D70" s="461"/>
      <c r="E70" s="461"/>
      <c r="F70" s="461"/>
      <c r="G70" s="461"/>
      <c r="H70" s="466"/>
      <c r="I70" s="466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</row>
    <row r="71" spans="1:25" s="231" customFormat="1" ht="13">
      <c r="A71" s="329"/>
      <c r="B71" s="461" t="str">
        <f>+i.04108!C36</f>
        <v xml:space="preserve"> Гүйцэтгэх захирал</v>
      </c>
      <c r="D71" s="458" t="str">
        <f>+i.04108!D36</f>
        <v xml:space="preserve">/................................../   </v>
      </c>
      <c r="E71" s="458"/>
      <c r="F71" s="458" t="str">
        <f>+i.04108!F36</f>
        <v>/................................./</v>
      </c>
      <c r="G71" s="461"/>
      <c r="H71" s="466"/>
      <c r="I71" s="466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</row>
    <row r="72" spans="1:25" s="231" customFormat="1" ht="13">
      <c r="A72" s="329"/>
      <c r="B72" s="461"/>
      <c r="D72" s="458"/>
      <c r="E72" s="458"/>
      <c r="F72" s="458"/>
      <c r="G72" s="461"/>
      <c r="H72" s="466"/>
      <c r="I72" s="466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</row>
    <row r="73" spans="1:25" s="231" customFormat="1" ht="13">
      <c r="A73" s="502"/>
      <c r="B73" s="461" t="str">
        <f>+i.04108!C38</f>
        <v xml:space="preserve"> Ерөнхий нягтлан бодогч  </v>
      </c>
      <c r="D73" s="458" t="str">
        <f>+i.04108!D38</f>
        <v xml:space="preserve">/.................................../   </v>
      </c>
      <c r="E73" s="458"/>
      <c r="F73" s="458" t="str">
        <f>+i.04108!F38</f>
        <v>/................................/</v>
      </c>
      <c r="G73" s="461"/>
      <c r="H73" s="466"/>
      <c r="I73" s="466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</row>
    <row r="74" spans="1:25">
      <c r="B74" s="461"/>
      <c r="D74" s="458"/>
      <c r="E74" s="458"/>
      <c r="F74" s="458"/>
      <c r="G74" s="461"/>
      <c r="H74" s="466"/>
      <c r="I74" s="466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</row>
    <row r="75" spans="1:25">
      <c r="B75" s="458" t="str">
        <f>+i.04108!C40</f>
        <v>...................................................</v>
      </c>
      <c r="D75" s="458" t="str">
        <f>+i.04108!D40</f>
        <v xml:space="preserve">/................................../   </v>
      </c>
      <c r="E75" s="458"/>
      <c r="F75" s="458" t="str">
        <f>+i.04108!F40</f>
        <v>/................................/</v>
      </c>
      <c r="G75" s="461"/>
      <c r="H75" s="466"/>
      <c r="I75" s="466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</row>
    <row r="76" spans="1:25">
      <c r="B76" s="461"/>
      <c r="C76" s="230"/>
      <c r="D76" s="466"/>
      <c r="E76" s="466"/>
      <c r="F76" s="466"/>
      <c r="G76" s="466"/>
      <c r="H76" s="466"/>
      <c r="I76" s="466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</row>
    <row r="77" spans="1:25">
      <c r="A77" s="460"/>
      <c r="B77" s="461"/>
      <c r="C77" s="458"/>
      <c r="D77" s="459"/>
      <c r="E77" s="459"/>
      <c r="F77" s="459"/>
      <c r="G77" s="459"/>
      <c r="H77" s="459"/>
      <c r="I77" s="459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  <c r="Y77" s="458"/>
    </row>
    <row r="78" spans="1:25">
      <c r="A78" s="460"/>
      <c r="B78" s="461"/>
      <c r="C78" s="458"/>
      <c r="D78" s="459"/>
      <c r="E78" s="459"/>
      <c r="F78" s="459"/>
      <c r="G78" s="459"/>
      <c r="H78" s="459"/>
      <c r="I78" s="459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</row>
    <row r="79" spans="1:25">
      <c r="A79" s="460"/>
      <c r="B79" s="461"/>
      <c r="C79" s="458"/>
      <c r="D79" s="459"/>
      <c r="E79" s="459"/>
      <c r="F79" s="459"/>
      <c r="G79" s="459"/>
      <c r="H79" s="459"/>
      <c r="I79" s="459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  <c r="Y79" s="458"/>
    </row>
    <row r="80" spans="1:25">
      <c r="A80" s="460"/>
      <c r="B80" s="461"/>
      <c r="C80" s="458"/>
      <c r="D80" s="459"/>
      <c r="E80" s="459"/>
      <c r="F80" s="459"/>
      <c r="G80" s="459"/>
      <c r="H80" s="459"/>
      <c r="I80" s="459"/>
      <c r="J80" s="458"/>
      <c r="K80" s="458"/>
      <c r="L80" s="458"/>
      <c r="M80" s="458"/>
      <c r="N80" s="458"/>
      <c r="O80" s="458"/>
      <c r="P80" s="458"/>
      <c r="Q80" s="458"/>
      <c r="R80" s="458"/>
      <c r="S80" s="458"/>
      <c r="T80" s="458"/>
      <c r="U80" s="458"/>
      <c r="V80" s="458"/>
      <c r="W80" s="458"/>
      <c r="X80" s="458"/>
      <c r="Y80" s="458"/>
    </row>
    <row r="81" spans="1:25">
      <c r="A81" s="460"/>
      <c r="B81" s="461"/>
      <c r="C81" s="458"/>
      <c r="D81" s="459"/>
      <c r="E81" s="459"/>
      <c r="F81" s="459"/>
      <c r="G81" s="459"/>
      <c r="H81" s="459"/>
      <c r="I81" s="459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  <c r="Y81" s="458"/>
    </row>
    <row r="82" spans="1:25">
      <c r="A82" s="460"/>
      <c r="B82" s="461"/>
      <c r="C82" s="458"/>
      <c r="D82" s="459"/>
      <c r="E82" s="459"/>
      <c r="F82" s="459"/>
      <c r="G82" s="459"/>
      <c r="H82" s="459"/>
      <c r="I82" s="459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  <c r="Y82" s="458"/>
    </row>
    <row r="83" spans="1:25">
      <c r="A83" s="460"/>
      <c r="B83" s="461"/>
      <c r="C83" s="458"/>
      <c r="D83" s="459"/>
      <c r="E83" s="459"/>
      <c r="F83" s="459"/>
      <c r="G83" s="459"/>
      <c r="H83" s="459"/>
      <c r="I83" s="459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  <c r="Y83" s="458"/>
    </row>
    <row r="84" spans="1:25">
      <c r="A84" s="460"/>
      <c r="B84" s="461"/>
      <c r="C84" s="458"/>
      <c r="D84" s="459"/>
      <c r="E84" s="459"/>
      <c r="F84" s="459"/>
      <c r="G84" s="459"/>
      <c r="H84" s="459"/>
      <c r="I84" s="459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  <c r="Y84" s="458"/>
    </row>
    <row r="85" spans="1:25">
      <c r="A85" s="460"/>
      <c r="B85" s="461"/>
      <c r="C85" s="458"/>
      <c r="D85" s="459"/>
      <c r="E85" s="459"/>
      <c r="F85" s="459"/>
      <c r="G85" s="459"/>
      <c r="H85" s="459"/>
      <c r="I85" s="459"/>
      <c r="J85" s="458"/>
      <c r="K85" s="458"/>
      <c r="L85" s="458"/>
      <c r="M85" s="458"/>
      <c r="N85" s="458"/>
      <c r="O85" s="458"/>
      <c r="P85" s="458"/>
      <c r="Q85" s="458"/>
      <c r="R85" s="458"/>
      <c r="S85" s="458"/>
      <c r="T85" s="458"/>
      <c r="U85" s="458"/>
      <c r="V85" s="458"/>
      <c r="W85" s="458"/>
      <c r="X85" s="458"/>
      <c r="Y85" s="458"/>
    </row>
    <row r="86" spans="1:25">
      <c r="A86" s="460"/>
      <c r="B86" s="461"/>
      <c r="C86" s="458"/>
      <c r="D86" s="459"/>
      <c r="E86" s="459"/>
      <c r="F86" s="459"/>
      <c r="G86" s="459"/>
      <c r="H86" s="459"/>
      <c r="I86" s="459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  <c r="Y86" s="458"/>
    </row>
    <row r="87" spans="1:25">
      <c r="A87" s="460"/>
      <c r="B87" s="461"/>
      <c r="C87" s="458"/>
      <c r="D87" s="459"/>
      <c r="E87" s="459"/>
      <c r="F87" s="459"/>
      <c r="G87" s="459"/>
      <c r="H87" s="459"/>
      <c r="I87" s="459"/>
      <c r="J87" s="458"/>
      <c r="K87" s="458"/>
      <c r="L87" s="458"/>
      <c r="M87" s="458"/>
      <c r="N87" s="458"/>
      <c r="O87" s="458"/>
      <c r="P87" s="458"/>
      <c r="Q87" s="458"/>
      <c r="R87" s="458"/>
      <c r="S87" s="458"/>
      <c r="T87" s="458"/>
      <c r="U87" s="458"/>
      <c r="V87" s="458"/>
      <c r="W87" s="458"/>
      <c r="X87" s="458"/>
      <c r="Y87" s="458"/>
    </row>
    <row r="88" spans="1:25">
      <c r="A88" s="460"/>
      <c r="B88" s="461"/>
      <c r="C88" s="458"/>
      <c r="D88" s="459"/>
      <c r="E88" s="459"/>
      <c r="F88" s="459"/>
      <c r="G88" s="459"/>
      <c r="H88" s="459"/>
      <c r="I88" s="459"/>
      <c r="J88" s="458"/>
      <c r="K88" s="458"/>
      <c r="L88" s="458"/>
      <c r="M88" s="458"/>
      <c r="N88" s="458"/>
      <c r="O88" s="458"/>
      <c r="P88" s="458"/>
      <c r="Q88" s="458"/>
      <c r="R88" s="458"/>
      <c r="S88" s="458"/>
      <c r="T88" s="458"/>
      <c r="U88" s="458"/>
      <c r="V88" s="458"/>
      <c r="W88" s="458"/>
      <c r="X88" s="458"/>
      <c r="Y88" s="458"/>
    </row>
    <row r="89" spans="1:25">
      <c r="A89" s="460"/>
      <c r="B89" s="461"/>
      <c r="C89" s="458"/>
      <c r="D89" s="459"/>
      <c r="E89" s="459"/>
      <c r="F89" s="459"/>
      <c r="G89" s="459"/>
      <c r="H89" s="459"/>
      <c r="I89" s="459"/>
      <c r="J89" s="458"/>
      <c r="K89" s="458"/>
      <c r="L89" s="458"/>
      <c r="M89" s="458"/>
      <c r="N89" s="458"/>
      <c r="O89" s="458"/>
      <c r="P89" s="458"/>
      <c r="Q89" s="458"/>
      <c r="R89" s="458"/>
      <c r="S89" s="458"/>
      <c r="T89" s="458"/>
      <c r="U89" s="458"/>
      <c r="V89" s="458"/>
      <c r="W89" s="458"/>
      <c r="X89" s="458"/>
      <c r="Y89" s="458"/>
    </row>
    <row r="90" spans="1:25">
      <c r="A90" s="460"/>
      <c r="B90" s="461"/>
      <c r="C90" s="458"/>
      <c r="D90" s="459"/>
      <c r="E90" s="459"/>
      <c r="F90" s="459"/>
      <c r="G90" s="459"/>
      <c r="H90" s="459"/>
      <c r="I90" s="459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458"/>
      <c r="Y90" s="458"/>
    </row>
    <row r="91" spans="1:25">
      <c r="A91" s="460"/>
      <c r="B91" s="461"/>
      <c r="C91" s="458"/>
      <c r="D91" s="459"/>
      <c r="E91" s="459"/>
      <c r="F91" s="459"/>
      <c r="G91" s="459"/>
      <c r="H91" s="459"/>
      <c r="I91" s="459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</row>
    <row r="92" spans="1:25">
      <c r="A92" s="460"/>
      <c r="B92" s="461"/>
      <c r="C92" s="458"/>
      <c r="D92" s="459"/>
      <c r="E92" s="459"/>
      <c r="F92" s="459"/>
      <c r="G92" s="459"/>
      <c r="H92" s="459"/>
      <c r="I92" s="459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  <c r="U92" s="458"/>
      <c r="V92" s="458"/>
      <c r="W92" s="458"/>
      <c r="X92" s="458"/>
      <c r="Y92" s="458"/>
    </row>
    <row r="93" spans="1:25">
      <c r="A93" s="460"/>
      <c r="B93" s="461"/>
      <c r="C93" s="458"/>
      <c r="D93" s="459"/>
      <c r="E93" s="459"/>
      <c r="F93" s="459"/>
      <c r="G93" s="459"/>
      <c r="H93" s="459"/>
      <c r="I93" s="459"/>
      <c r="J93" s="458"/>
      <c r="K93" s="458"/>
      <c r="L93" s="458"/>
      <c r="M93" s="458"/>
      <c r="N93" s="458"/>
      <c r="O93" s="458"/>
      <c r="P93" s="458"/>
      <c r="Q93" s="458"/>
      <c r="R93" s="458"/>
      <c r="S93" s="458"/>
      <c r="T93" s="458"/>
      <c r="U93" s="458"/>
      <c r="V93" s="458"/>
      <c r="W93" s="458"/>
      <c r="X93" s="458"/>
      <c r="Y93" s="458"/>
    </row>
    <row r="94" spans="1:25">
      <c r="A94" s="460"/>
      <c r="B94" s="461"/>
      <c r="C94" s="458"/>
      <c r="D94" s="459"/>
      <c r="E94" s="459"/>
      <c r="F94" s="459"/>
      <c r="G94" s="459"/>
      <c r="H94" s="459"/>
      <c r="I94" s="459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458"/>
      <c r="U94" s="458"/>
      <c r="V94" s="458"/>
      <c r="W94" s="458"/>
      <c r="X94" s="458"/>
      <c r="Y94" s="458"/>
    </row>
    <row r="95" spans="1:25">
      <c r="A95" s="460"/>
      <c r="B95" s="461"/>
      <c r="C95" s="458"/>
      <c r="D95" s="459"/>
      <c r="E95" s="459"/>
      <c r="F95" s="459"/>
      <c r="G95" s="459"/>
      <c r="H95" s="459"/>
      <c r="I95" s="459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  <c r="Y95" s="458"/>
    </row>
    <row r="96" spans="1:25">
      <c r="A96" s="460"/>
      <c r="B96" s="461"/>
      <c r="C96" s="458"/>
      <c r="D96" s="459"/>
      <c r="E96" s="459"/>
      <c r="F96" s="459"/>
      <c r="G96" s="459"/>
      <c r="H96" s="459"/>
      <c r="I96" s="459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458"/>
      <c r="V96" s="458"/>
      <c r="W96" s="458"/>
      <c r="X96" s="458"/>
      <c r="Y96" s="458"/>
    </row>
    <row r="97" spans="1:25">
      <c r="A97" s="460"/>
      <c r="B97" s="461"/>
      <c r="C97" s="458"/>
      <c r="D97" s="459"/>
      <c r="E97" s="459"/>
      <c r="F97" s="459"/>
      <c r="G97" s="459"/>
      <c r="H97" s="459"/>
      <c r="I97" s="459"/>
      <c r="J97" s="458"/>
      <c r="K97" s="458"/>
      <c r="L97" s="458"/>
      <c r="M97" s="458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</row>
    <row r="98" spans="1:25">
      <c r="A98" s="460"/>
      <c r="B98" s="461"/>
      <c r="C98" s="458"/>
      <c r="D98" s="459"/>
      <c r="E98" s="459"/>
      <c r="F98" s="459"/>
      <c r="G98" s="459"/>
      <c r="H98" s="459"/>
      <c r="I98" s="459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  <c r="Y98" s="458"/>
    </row>
    <row r="99" spans="1:25">
      <c r="A99" s="460"/>
      <c r="B99" s="461"/>
      <c r="C99" s="458"/>
      <c r="D99" s="459"/>
      <c r="E99" s="459"/>
      <c r="F99" s="459"/>
      <c r="G99" s="459"/>
      <c r="H99" s="459"/>
      <c r="I99" s="459"/>
      <c r="J99" s="458"/>
      <c r="K99" s="458"/>
      <c r="L99" s="458"/>
      <c r="M99" s="458"/>
      <c r="N99" s="458"/>
      <c r="O99" s="458"/>
      <c r="P99" s="458"/>
      <c r="Q99" s="458"/>
      <c r="R99" s="458"/>
      <c r="S99" s="458"/>
      <c r="T99" s="458"/>
      <c r="U99" s="458"/>
      <c r="V99" s="458"/>
      <c r="W99" s="458"/>
      <c r="X99" s="458"/>
      <c r="Y99" s="458"/>
    </row>
    <row r="100" spans="1:25">
      <c r="A100" s="460"/>
      <c r="B100" s="461"/>
      <c r="C100" s="458"/>
      <c r="D100" s="459"/>
      <c r="E100" s="459"/>
      <c r="F100" s="459"/>
      <c r="G100" s="459"/>
      <c r="H100" s="459"/>
      <c r="I100" s="459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  <c r="Y100" s="458"/>
    </row>
    <row r="101" spans="1:25">
      <c r="A101" s="460"/>
      <c r="B101" s="461"/>
      <c r="C101" s="458"/>
      <c r="D101" s="459"/>
      <c r="E101" s="459"/>
      <c r="F101" s="459"/>
      <c r="G101" s="459"/>
      <c r="H101" s="459"/>
      <c r="I101" s="459"/>
      <c r="J101" s="458"/>
      <c r="K101" s="458"/>
      <c r="L101" s="458"/>
      <c r="M101" s="458"/>
      <c r="N101" s="458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  <c r="Y101" s="458"/>
    </row>
    <row r="102" spans="1:25">
      <c r="A102" s="460"/>
      <c r="B102" s="461"/>
      <c r="C102" s="458"/>
      <c r="D102" s="459"/>
      <c r="E102" s="459"/>
      <c r="F102" s="459"/>
      <c r="G102" s="459"/>
      <c r="H102" s="459"/>
      <c r="I102" s="459"/>
      <c r="J102" s="458"/>
      <c r="K102" s="458"/>
      <c r="L102" s="458"/>
      <c r="M102" s="458"/>
      <c r="N102" s="458"/>
      <c r="O102" s="458"/>
      <c r="P102" s="458"/>
      <c r="Q102" s="458"/>
      <c r="R102" s="458"/>
      <c r="S102" s="458"/>
      <c r="T102" s="458"/>
      <c r="U102" s="458"/>
      <c r="V102" s="458"/>
      <c r="W102" s="458"/>
      <c r="X102" s="458"/>
      <c r="Y102" s="458"/>
    </row>
    <row r="103" spans="1:25">
      <c r="A103" s="460"/>
      <c r="B103" s="461"/>
      <c r="C103" s="458"/>
      <c r="D103" s="459"/>
      <c r="E103" s="459"/>
      <c r="F103" s="459"/>
      <c r="G103" s="459"/>
      <c r="H103" s="459"/>
      <c r="I103" s="459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  <c r="Y103" s="458"/>
    </row>
    <row r="104" spans="1:25">
      <c r="A104" s="460"/>
      <c r="B104" s="461"/>
      <c r="C104" s="458"/>
      <c r="D104" s="459"/>
      <c r="E104" s="459"/>
      <c r="F104" s="459"/>
      <c r="G104" s="459"/>
      <c r="H104" s="459"/>
      <c r="I104" s="459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  <c r="Y104" s="458"/>
    </row>
    <row r="105" spans="1:25">
      <c r="A105" s="460"/>
      <c r="B105" s="461"/>
      <c r="C105" s="458"/>
      <c r="D105" s="459"/>
      <c r="E105" s="459"/>
      <c r="F105" s="459"/>
      <c r="G105" s="459"/>
      <c r="H105" s="459"/>
      <c r="I105" s="459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  <c r="Y105" s="458"/>
    </row>
    <row r="106" spans="1:25">
      <c r="A106" s="460"/>
      <c r="B106" s="461"/>
      <c r="C106" s="458"/>
      <c r="D106" s="459"/>
      <c r="E106" s="459"/>
      <c r="F106" s="459"/>
      <c r="G106" s="459"/>
      <c r="H106" s="459"/>
      <c r="I106" s="459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  <c r="Y106" s="458"/>
    </row>
    <row r="107" spans="1:25">
      <c r="A107" s="460"/>
      <c r="B107" s="461"/>
      <c r="C107" s="458"/>
      <c r="D107" s="459"/>
      <c r="E107" s="459"/>
      <c r="F107" s="459"/>
      <c r="G107" s="459"/>
      <c r="H107" s="459"/>
      <c r="I107" s="459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  <c r="Y107" s="458"/>
    </row>
    <row r="108" spans="1:25">
      <c r="A108" s="460"/>
      <c r="B108" s="461"/>
      <c r="C108" s="458"/>
      <c r="D108" s="459"/>
      <c r="E108" s="459"/>
      <c r="F108" s="459"/>
      <c r="G108" s="459"/>
      <c r="H108" s="459"/>
      <c r="I108" s="459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  <c r="Y108" s="458"/>
    </row>
    <row r="109" spans="1:25">
      <c r="A109" s="460"/>
      <c r="B109" s="461"/>
      <c r="C109" s="458"/>
      <c r="D109" s="459"/>
      <c r="E109" s="459"/>
      <c r="F109" s="459"/>
      <c r="G109" s="459"/>
      <c r="H109" s="459"/>
      <c r="I109" s="459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  <c r="Y109" s="458"/>
    </row>
    <row r="110" spans="1:25">
      <c r="A110" s="460"/>
      <c r="B110" s="461"/>
      <c r="C110" s="458"/>
      <c r="D110" s="459"/>
      <c r="E110" s="459"/>
      <c r="F110" s="459"/>
      <c r="G110" s="459"/>
      <c r="H110" s="459"/>
      <c r="I110" s="459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  <c r="Y110" s="458"/>
    </row>
    <row r="111" spans="1:25">
      <c r="A111" s="460"/>
      <c r="B111" s="461"/>
      <c r="C111" s="458"/>
      <c r="D111" s="459"/>
      <c r="E111" s="459"/>
      <c r="F111" s="459"/>
      <c r="G111" s="459"/>
      <c r="H111" s="459"/>
      <c r="I111" s="459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  <c r="Y111" s="458"/>
    </row>
    <row r="112" spans="1:25">
      <c r="A112" s="460"/>
      <c r="B112" s="461"/>
      <c r="C112" s="458"/>
      <c r="D112" s="459"/>
      <c r="E112" s="459"/>
      <c r="F112" s="459"/>
      <c r="G112" s="459"/>
      <c r="H112" s="459"/>
      <c r="I112" s="459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</row>
    <row r="113" spans="1:25">
      <c r="A113" s="460"/>
      <c r="B113" s="461"/>
      <c r="C113" s="458"/>
      <c r="D113" s="459"/>
      <c r="E113" s="459"/>
      <c r="F113" s="459"/>
      <c r="G113" s="459"/>
      <c r="H113" s="459"/>
      <c r="I113" s="459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  <c r="Y113" s="458"/>
    </row>
    <row r="114" spans="1:25">
      <c r="A114" s="460"/>
      <c r="B114" s="461"/>
      <c r="C114" s="458"/>
      <c r="D114" s="459"/>
      <c r="E114" s="459"/>
      <c r="F114" s="459"/>
      <c r="G114" s="459"/>
      <c r="H114" s="459"/>
      <c r="I114" s="459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  <c r="Y114" s="458"/>
    </row>
    <row r="115" spans="1:25">
      <c r="A115" s="460"/>
      <c r="B115" s="461"/>
      <c r="C115" s="458"/>
      <c r="D115" s="459"/>
      <c r="E115" s="459"/>
      <c r="F115" s="459"/>
      <c r="G115" s="459"/>
      <c r="H115" s="459"/>
      <c r="I115" s="459"/>
      <c r="J115" s="458"/>
      <c r="K115" s="458"/>
      <c r="L115" s="458"/>
      <c r="M115" s="458"/>
      <c r="N115" s="458"/>
      <c r="O115" s="458"/>
      <c r="P115" s="458"/>
      <c r="Q115" s="458"/>
      <c r="R115" s="458"/>
      <c r="S115" s="458"/>
      <c r="T115" s="458"/>
      <c r="U115" s="458"/>
      <c r="V115" s="458"/>
      <c r="W115" s="458"/>
      <c r="X115" s="458"/>
      <c r="Y115" s="458"/>
    </row>
    <row r="116" spans="1:25">
      <c r="A116" s="460"/>
      <c r="B116" s="461"/>
      <c r="C116" s="458"/>
      <c r="D116" s="459"/>
      <c r="E116" s="459"/>
      <c r="F116" s="459"/>
      <c r="G116" s="459"/>
      <c r="H116" s="459"/>
      <c r="I116" s="459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8"/>
      <c r="V116" s="458"/>
      <c r="W116" s="458"/>
      <c r="X116" s="458"/>
      <c r="Y116" s="458"/>
    </row>
    <row r="117" spans="1:25">
      <c r="A117" s="460"/>
      <c r="B117" s="461"/>
      <c r="C117" s="458"/>
      <c r="D117" s="459"/>
      <c r="E117" s="459"/>
      <c r="F117" s="459"/>
      <c r="G117" s="459"/>
      <c r="H117" s="459"/>
      <c r="I117" s="459"/>
      <c r="J117" s="458"/>
      <c r="K117" s="458"/>
      <c r="L117" s="458"/>
      <c r="M117" s="458"/>
      <c r="N117" s="458"/>
      <c r="O117" s="458"/>
      <c r="P117" s="458"/>
      <c r="Q117" s="458"/>
      <c r="R117" s="458"/>
      <c r="S117" s="458"/>
      <c r="T117" s="458"/>
      <c r="U117" s="458"/>
      <c r="V117" s="458"/>
      <c r="W117" s="458"/>
      <c r="X117" s="458"/>
      <c r="Y117" s="458"/>
    </row>
    <row r="118" spans="1:25">
      <c r="A118" s="460"/>
      <c r="B118" s="461"/>
      <c r="C118" s="458"/>
      <c r="D118" s="459"/>
      <c r="E118" s="459"/>
      <c r="F118" s="459"/>
      <c r="G118" s="459"/>
      <c r="H118" s="459"/>
      <c r="I118" s="459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  <c r="Y118" s="458"/>
    </row>
    <row r="119" spans="1:25">
      <c r="A119" s="460"/>
      <c r="B119" s="461"/>
      <c r="C119" s="458"/>
      <c r="D119" s="459"/>
      <c r="E119" s="459"/>
      <c r="F119" s="459"/>
      <c r="G119" s="459"/>
      <c r="H119" s="459"/>
      <c r="I119" s="459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</row>
    <row r="120" spans="1:25">
      <c r="A120" s="460"/>
      <c r="B120" s="461"/>
      <c r="C120" s="458"/>
      <c r="D120" s="459"/>
      <c r="E120" s="459"/>
      <c r="F120" s="459"/>
      <c r="G120" s="459"/>
      <c r="H120" s="459"/>
      <c r="I120" s="459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  <c r="Y120" s="458"/>
    </row>
    <row r="121" spans="1:25">
      <c r="A121" s="460"/>
      <c r="B121" s="461"/>
      <c r="C121" s="458"/>
      <c r="D121" s="459"/>
      <c r="E121" s="459"/>
      <c r="F121" s="459"/>
      <c r="G121" s="459"/>
      <c r="H121" s="459"/>
      <c r="I121" s="459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  <c r="Y121" s="458"/>
    </row>
    <row r="122" spans="1:25">
      <c r="A122" s="460"/>
      <c r="B122" s="461"/>
      <c r="C122" s="458"/>
      <c r="D122" s="459"/>
      <c r="E122" s="459"/>
      <c r="F122" s="459"/>
      <c r="G122" s="459"/>
      <c r="H122" s="459"/>
      <c r="I122" s="459"/>
      <c r="J122" s="458"/>
      <c r="K122" s="458"/>
      <c r="L122" s="458"/>
      <c r="M122" s="458"/>
      <c r="N122" s="458"/>
      <c r="O122" s="458"/>
      <c r="P122" s="458"/>
      <c r="Q122" s="458"/>
      <c r="R122" s="458"/>
      <c r="S122" s="458"/>
      <c r="T122" s="458"/>
      <c r="U122" s="458"/>
      <c r="V122" s="458"/>
      <c r="W122" s="458"/>
      <c r="X122" s="458"/>
      <c r="Y122" s="458"/>
    </row>
    <row r="123" spans="1:25">
      <c r="A123" s="460"/>
      <c r="B123" s="461"/>
      <c r="C123" s="458"/>
      <c r="D123" s="459"/>
      <c r="E123" s="459"/>
      <c r="F123" s="459"/>
      <c r="G123" s="459"/>
      <c r="H123" s="459"/>
      <c r="I123" s="459"/>
      <c r="J123" s="458"/>
      <c r="K123" s="458"/>
      <c r="L123" s="458"/>
      <c r="M123" s="458"/>
      <c r="N123" s="458"/>
      <c r="O123" s="458"/>
      <c r="P123" s="458"/>
      <c r="Q123" s="458"/>
      <c r="R123" s="458"/>
      <c r="S123" s="458"/>
      <c r="T123" s="458"/>
      <c r="U123" s="458"/>
      <c r="V123" s="458"/>
      <c r="W123" s="458"/>
      <c r="X123" s="458"/>
      <c r="Y123" s="458"/>
    </row>
    <row r="124" spans="1:25">
      <c r="A124" s="460"/>
      <c r="B124" s="461"/>
      <c r="C124" s="458"/>
      <c r="D124" s="459"/>
      <c r="E124" s="459"/>
      <c r="F124" s="459"/>
      <c r="G124" s="459"/>
      <c r="H124" s="459"/>
      <c r="I124" s="459"/>
      <c r="J124" s="458"/>
      <c r="K124" s="458"/>
      <c r="L124" s="458"/>
      <c r="M124" s="458"/>
      <c r="N124" s="458"/>
      <c r="O124" s="458"/>
      <c r="P124" s="458"/>
      <c r="Q124" s="458"/>
      <c r="R124" s="458"/>
      <c r="S124" s="458"/>
      <c r="T124" s="458"/>
      <c r="U124" s="458"/>
      <c r="V124" s="458"/>
      <c r="W124" s="458"/>
      <c r="X124" s="458"/>
      <c r="Y124" s="458"/>
    </row>
    <row r="125" spans="1:25">
      <c r="A125" s="460"/>
      <c r="B125" s="461"/>
      <c r="C125" s="458"/>
      <c r="D125" s="459"/>
      <c r="E125" s="459"/>
      <c r="F125" s="459"/>
      <c r="G125" s="459"/>
      <c r="H125" s="459"/>
      <c r="I125" s="459"/>
      <c r="J125" s="458"/>
      <c r="K125" s="458"/>
      <c r="L125" s="458"/>
      <c r="M125" s="458"/>
      <c r="N125" s="458"/>
      <c r="O125" s="458"/>
      <c r="P125" s="458"/>
      <c r="Q125" s="458"/>
      <c r="R125" s="458"/>
      <c r="S125" s="458"/>
      <c r="T125" s="458"/>
      <c r="U125" s="458"/>
      <c r="V125" s="458"/>
      <c r="W125" s="458"/>
      <c r="X125" s="458"/>
      <c r="Y125" s="458"/>
    </row>
    <row r="126" spans="1:25">
      <c r="A126" s="460"/>
      <c r="B126" s="461"/>
      <c r="C126" s="458"/>
      <c r="D126" s="459"/>
      <c r="E126" s="459"/>
      <c r="F126" s="459"/>
      <c r="G126" s="459"/>
      <c r="H126" s="459"/>
      <c r="I126" s="459"/>
      <c r="J126" s="458"/>
      <c r="K126" s="458"/>
      <c r="L126" s="458"/>
      <c r="M126" s="458"/>
      <c r="N126" s="458"/>
      <c r="O126" s="458"/>
      <c r="P126" s="458"/>
      <c r="Q126" s="458"/>
      <c r="R126" s="458"/>
      <c r="S126" s="458"/>
      <c r="T126" s="458"/>
      <c r="U126" s="458"/>
      <c r="V126" s="458"/>
      <c r="W126" s="458"/>
      <c r="X126" s="458"/>
      <c r="Y126" s="458"/>
    </row>
    <row r="127" spans="1:25">
      <c r="A127" s="460"/>
      <c r="B127" s="461"/>
      <c r="C127" s="458"/>
      <c r="D127" s="459"/>
      <c r="E127" s="459"/>
      <c r="F127" s="459"/>
      <c r="G127" s="459"/>
      <c r="H127" s="459"/>
      <c r="I127" s="459"/>
      <c r="J127" s="458"/>
      <c r="K127" s="458"/>
      <c r="L127" s="458"/>
      <c r="M127" s="458"/>
      <c r="N127" s="458"/>
      <c r="O127" s="458"/>
      <c r="P127" s="458"/>
      <c r="Q127" s="458"/>
      <c r="R127" s="458"/>
      <c r="S127" s="458"/>
      <c r="T127" s="458"/>
      <c r="U127" s="458"/>
      <c r="V127" s="458"/>
      <c r="W127" s="458"/>
      <c r="X127" s="458"/>
      <c r="Y127" s="458"/>
    </row>
    <row r="128" spans="1:25">
      <c r="A128" s="460"/>
      <c r="B128" s="461"/>
      <c r="C128" s="458"/>
      <c r="D128" s="459"/>
      <c r="E128" s="459"/>
      <c r="F128" s="459"/>
      <c r="G128" s="459"/>
      <c r="H128" s="459"/>
      <c r="I128" s="459"/>
      <c r="J128" s="458"/>
      <c r="K128" s="458"/>
      <c r="L128" s="458"/>
      <c r="M128" s="458"/>
      <c r="N128" s="458"/>
      <c r="O128" s="458"/>
      <c r="P128" s="458"/>
      <c r="Q128" s="458"/>
      <c r="R128" s="458"/>
      <c r="S128" s="458"/>
      <c r="T128" s="458"/>
      <c r="U128" s="458"/>
      <c r="V128" s="458"/>
      <c r="W128" s="458"/>
      <c r="X128" s="458"/>
      <c r="Y128" s="458"/>
    </row>
    <row r="129" spans="1:25">
      <c r="A129" s="460"/>
      <c r="B129" s="461"/>
      <c r="C129" s="458"/>
      <c r="D129" s="459"/>
      <c r="E129" s="459"/>
      <c r="F129" s="459"/>
      <c r="G129" s="459"/>
      <c r="H129" s="459"/>
      <c r="I129" s="459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  <c r="Y129" s="458"/>
    </row>
    <row r="130" spans="1:25">
      <c r="A130" s="460"/>
      <c r="B130" s="461"/>
      <c r="C130" s="458"/>
      <c r="D130" s="459"/>
      <c r="E130" s="459"/>
      <c r="F130" s="459"/>
      <c r="G130" s="459"/>
      <c r="H130" s="459"/>
      <c r="I130" s="459"/>
      <c r="J130" s="458"/>
      <c r="K130" s="458"/>
      <c r="L130" s="458"/>
      <c r="M130" s="458"/>
      <c r="N130" s="458"/>
      <c r="O130" s="458"/>
      <c r="P130" s="458"/>
      <c r="Q130" s="458"/>
      <c r="R130" s="458"/>
      <c r="S130" s="458"/>
      <c r="T130" s="458"/>
      <c r="U130" s="458"/>
      <c r="V130" s="458"/>
      <c r="W130" s="458"/>
      <c r="X130" s="458"/>
      <c r="Y130" s="458"/>
    </row>
    <row r="131" spans="1:25">
      <c r="A131" s="460"/>
      <c r="B131" s="461"/>
      <c r="C131" s="458"/>
      <c r="D131" s="459"/>
      <c r="E131" s="459"/>
      <c r="F131" s="459"/>
      <c r="G131" s="459"/>
      <c r="H131" s="459"/>
      <c r="I131" s="459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458"/>
      <c r="Y131" s="458"/>
    </row>
    <row r="132" spans="1:25">
      <c r="A132" s="460"/>
      <c r="B132" s="461"/>
      <c r="C132" s="458"/>
      <c r="D132" s="459"/>
      <c r="E132" s="459"/>
      <c r="F132" s="459"/>
      <c r="G132" s="459"/>
      <c r="H132" s="459"/>
      <c r="I132" s="459"/>
      <c r="J132" s="458"/>
      <c r="K132" s="458"/>
      <c r="L132" s="458"/>
      <c r="M132" s="458"/>
      <c r="N132" s="458"/>
      <c r="O132" s="458"/>
      <c r="P132" s="458"/>
      <c r="Q132" s="458"/>
      <c r="R132" s="458"/>
      <c r="S132" s="458"/>
      <c r="T132" s="458"/>
      <c r="U132" s="458"/>
      <c r="V132" s="458"/>
      <c r="W132" s="458"/>
      <c r="X132" s="458"/>
      <c r="Y132" s="458"/>
    </row>
    <row r="133" spans="1:25">
      <c r="A133" s="460"/>
      <c r="B133" s="461"/>
      <c r="C133" s="458"/>
      <c r="D133" s="459"/>
      <c r="E133" s="459"/>
      <c r="F133" s="459"/>
      <c r="G133" s="459"/>
      <c r="H133" s="459"/>
      <c r="I133" s="459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  <c r="Y133" s="458"/>
    </row>
    <row r="134" spans="1:25">
      <c r="A134" s="460"/>
      <c r="B134" s="461"/>
      <c r="C134" s="458"/>
      <c r="D134" s="459"/>
      <c r="E134" s="459"/>
      <c r="F134" s="459"/>
      <c r="G134" s="459"/>
      <c r="H134" s="459"/>
      <c r="I134" s="459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  <c r="Y134" s="458"/>
    </row>
    <row r="135" spans="1:25">
      <c r="A135" s="460"/>
      <c r="B135" s="461"/>
      <c r="C135" s="458"/>
      <c r="D135" s="459"/>
      <c r="E135" s="459"/>
      <c r="F135" s="459"/>
      <c r="G135" s="459"/>
      <c r="H135" s="459"/>
      <c r="I135" s="459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  <c r="Y135" s="458"/>
    </row>
    <row r="136" spans="1:25">
      <c r="A136" s="460"/>
      <c r="B136" s="461"/>
      <c r="C136" s="458"/>
      <c r="D136" s="459"/>
      <c r="E136" s="459"/>
      <c r="F136" s="459"/>
      <c r="G136" s="459"/>
      <c r="H136" s="459"/>
      <c r="I136" s="459"/>
      <c r="J136" s="458"/>
      <c r="K136" s="458"/>
      <c r="L136" s="458"/>
      <c r="M136" s="458"/>
      <c r="N136" s="458"/>
      <c r="O136" s="458"/>
      <c r="P136" s="458"/>
      <c r="Q136" s="458"/>
      <c r="R136" s="458"/>
      <c r="S136" s="458"/>
      <c r="T136" s="458"/>
      <c r="U136" s="458"/>
      <c r="V136" s="458"/>
      <c r="W136" s="458"/>
      <c r="X136" s="458"/>
      <c r="Y136" s="458"/>
    </row>
    <row r="137" spans="1:25">
      <c r="A137" s="460"/>
      <c r="B137" s="461"/>
      <c r="C137" s="458"/>
      <c r="D137" s="459"/>
      <c r="E137" s="459"/>
      <c r="F137" s="459"/>
      <c r="G137" s="459"/>
      <c r="H137" s="459"/>
      <c r="I137" s="459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458"/>
      <c r="Y137" s="458"/>
    </row>
    <row r="138" spans="1:25">
      <c r="A138" s="460"/>
      <c r="B138" s="461"/>
      <c r="C138" s="458"/>
      <c r="D138" s="459"/>
      <c r="E138" s="459"/>
      <c r="F138" s="459"/>
      <c r="G138" s="459"/>
      <c r="H138" s="459"/>
      <c r="I138" s="459"/>
      <c r="J138" s="458"/>
      <c r="K138" s="458"/>
      <c r="L138" s="458"/>
      <c r="M138" s="458"/>
      <c r="N138" s="458"/>
      <c r="O138" s="458"/>
      <c r="P138" s="458"/>
      <c r="Q138" s="458"/>
      <c r="R138" s="458"/>
      <c r="S138" s="458"/>
      <c r="T138" s="458"/>
      <c r="U138" s="458"/>
      <c r="V138" s="458"/>
      <c r="W138" s="458"/>
      <c r="X138" s="458"/>
      <c r="Y138" s="458"/>
    </row>
    <row r="139" spans="1:25">
      <c r="A139" s="460"/>
      <c r="B139" s="461"/>
      <c r="C139" s="458"/>
      <c r="D139" s="459"/>
      <c r="E139" s="459"/>
      <c r="F139" s="459"/>
      <c r="G139" s="459"/>
      <c r="H139" s="459"/>
      <c r="I139" s="459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  <c r="Y139" s="458"/>
    </row>
    <row r="140" spans="1:25">
      <c r="A140" s="460"/>
      <c r="B140" s="461"/>
      <c r="C140" s="458"/>
      <c r="D140" s="459"/>
      <c r="E140" s="459"/>
      <c r="F140" s="459"/>
      <c r="G140" s="459"/>
      <c r="H140" s="459"/>
      <c r="I140" s="459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458"/>
      <c r="Y140" s="458"/>
    </row>
    <row r="141" spans="1:25">
      <c r="A141" s="460"/>
      <c r="B141" s="461"/>
      <c r="C141" s="458"/>
      <c r="D141" s="459"/>
      <c r="E141" s="459"/>
      <c r="F141" s="459"/>
      <c r="G141" s="459"/>
      <c r="H141" s="459"/>
      <c r="I141" s="459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  <c r="Y141" s="458"/>
    </row>
    <row r="142" spans="1:25">
      <c r="A142" s="460"/>
      <c r="B142" s="461"/>
      <c r="C142" s="458"/>
      <c r="D142" s="459"/>
      <c r="E142" s="459"/>
      <c r="F142" s="459"/>
      <c r="G142" s="459"/>
      <c r="H142" s="459"/>
      <c r="I142" s="459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458"/>
      <c r="Y142" s="458"/>
    </row>
    <row r="143" spans="1:25">
      <c r="A143" s="460"/>
      <c r="B143" s="461"/>
      <c r="C143" s="458"/>
      <c r="D143" s="459"/>
      <c r="E143" s="459"/>
      <c r="F143" s="459"/>
      <c r="G143" s="459"/>
      <c r="H143" s="459"/>
      <c r="I143" s="459"/>
      <c r="J143" s="458"/>
      <c r="K143" s="458"/>
      <c r="L143" s="458"/>
      <c r="M143" s="458"/>
      <c r="N143" s="458"/>
      <c r="O143" s="458"/>
      <c r="P143" s="458"/>
      <c r="Q143" s="458"/>
      <c r="R143" s="458"/>
      <c r="S143" s="458"/>
      <c r="T143" s="458"/>
      <c r="U143" s="458"/>
      <c r="V143" s="458"/>
      <c r="W143" s="458"/>
      <c r="X143" s="458"/>
      <c r="Y143" s="458"/>
    </row>
    <row r="144" spans="1:25">
      <c r="A144" s="460"/>
      <c r="B144" s="461"/>
      <c r="C144" s="458"/>
      <c r="D144" s="459"/>
      <c r="E144" s="459"/>
      <c r="F144" s="459"/>
      <c r="G144" s="459"/>
      <c r="H144" s="459"/>
      <c r="I144" s="459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458"/>
      <c r="Y144" s="458"/>
    </row>
    <row r="145" spans="1:25">
      <c r="A145" s="460"/>
      <c r="B145" s="461"/>
      <c r="C145" s="458"/>
      <c r="D145" s="459"/>
      <c r="E145" s="459"/>
      <c r="F145" s="459"/>
      <c r="G145" s="459"/>
      <c r="H145" s="459"/>
      <c r="I145" s="459"/>
      <c r="J145" s="458"/>
      <c r="K145" s="458"/>
      <c r="L145" s="458"/>
      <c r="M145" s="458"/>
      <c r="N145" s="458"/>
      <c r="O145" s="458"/>
      <c r="P145" s="458"/>
      <c r="Q145" s="458"/>
      <c r="R145" s="458"/>
      <c r="S145" s="458"/>
      <c r="T145" s="458"/>
      <c r="U145" s="458"/>
      <c r="V145" s="458"/>
      <c r="W145" s="458"/>
      <c r="X145" s="458"/>
      <c r="Y145" s="458"/>
    </row>
    <row r="146" spans="1:25">
      <c r="A146" s="460"/>
      <c r="B146" s="461"/>
      <c r="C146" s="458"/>
      <c r="D146" s="459"/>
      <c r="E146" s="459"/>
      <c r="F146" s="459"/>
      <c r="G146" s="459"/>
      <c r="H146" s="459"/>
      <c r="I146" s="459"/>
      <c r="J146" s="458"/>
      <c r="K146" s="458"/>
      <c r="L146" s="458"/>
      <c r="M146" s="458"/>
      <c r="N146" s="458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  <c r="Y146" s="458"/>
    </row>
    <row r="147" spans="1:25">
      <c r="A147" s="460"/>
      <c r="B147" s="461"/>
      <c r="C147" s="458"/>
      <c r="D147" s="459"/>
      <c r="E147" s="459"/>
      <c r="F147" s="459"/>
      <c r="G147" s="459"/>
      <c r="H147" s="459"/>
      <c r="I147" s="459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  <c r="Y147" s="458"/>
    </row>
    <row r="148" spans="1:25">
      <c r="A148" s="460"/>
      <c r="B148" s="461"/>
      <c r="C148" s="458"/>
      <c r="D148" s="459"/>
      <c r="E148" s="459"/>
      <c r="F148" s="459"/>
      <c r="G148" s="459"/>
      <c r="H148" s="459"/>
      <c r="I148" s="459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58"/>
    </row>
    <row r="149" spans="1:25">
      <c r="A149" s="460"/>
      <c r="B149" s="461"/>
      <c r="C149" s="458"/>
      <c r="D149" s="459"/>
      <c r="E149" s="459"/>
      <c r="F149" s="459"/>
      <c r="G149" s="459"/>
      <c r="H149" s="459"/>
      <c r="I149" s="459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  <c r="Y149" s="458"/>
    </row>
    <row r="150" spans="1:25">
      <c r="A150" s="460"/>
      <c r="B150" s="461"/>
      <c r="C150" s="458"/>
      <c r="D150" s="459"/>
      <c r="E150" s="459"/>
      <c r="F150" s="459"/>
      <c r="G150" s="459"/>
      <c r="H150" s="459"/>
      <c r="I150" s="459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  <c r="Y150" s="458"/>
    </row>
    <row r="151" spans="1:25">
      <c r="A151" s="460"/>
      <c r="B151" s="461"/>
      <c r="C151" s="458"/>
      <c r="D151" s="459"/>
      <c r="E151" s="459"/>
      <c r="F151" s="459"/>
      <c r="G151" s="459"/>
      <c r="H151" s="459"/>
      <c r="I151" s="459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  <c r="Y151" s="458"/>
    </row>
    <row r="152" spans="1:25">
      <c r="A152" s="460"/>
      <c r="B152" s="461"/>
      <c r="C152" s="458"/>
      <c r="D152" s="459"/>
      <c r="E152" s="459"/>
      <c r="F152" s="459"/>
      <c r="G152" s="459"/>
      <c r="H152" s="459"/>
      <c r="I152" s="459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  <c r="Y152" s="458"/>
    </row>
    <row r="153" spans="1:25">
      <c r="A153" s="460"/>
      <c r="B153" s="461"/>
      <c r="C153" s="458"/>
      <c r="D153" s="459"/>
      <c r="E153" s="459"/>
      <c r="F153" s="459"/>
      <c r="G153" s="459"/>
      <c r="H153" s="459"/>
      <c r="I153" s="459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  <c r="Y153" s="458"/>
    </row>
    <row r="154" spans="1:25">
      <c r="A154" s="460"/>
      <c r="B154" s="461"/>
      <c r="C154" s="458"/>
      <c r="D154" s="459"/>
      <c r="E154" s="459"/>
      <c r="F154" s="459"/>
      <c r="G154" s="459"/>
      <c r="H154" s="459"/>
      <c r="I154" s="459"/>
      <c r="J154" s="458"/>
      <c r="K154" s="458"/>
      <c r="L154" s="458"/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</row>
    <row r="155" spans="1:25">
      <c r="A155" s="460"/>
      <c r="B155" s="461"/>
      <c r="C155" s="458"/>
      <c r="D155" s="459"/>
      <c r="E155" s="459"/>
      <c r="F155" s="459"/>
      <c r="G155" s="459"/>
      <c r="H155" s="459"/>
      <c r="I155" s="459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</row>
    <row r="156" spans="1:25">
      <c r="A156" s="460"/>
      <c r="B156" s="461"/>
      <c r="C156" s="458"/>
      <c r="D156" s="459"/>
      <c r="E156" s="459"/>
      <c r="F156" s="459"/>
      <c r="G156" s="459"/>
      <c r="H156" s="459"/>
      <c r="I156" s="459"/>
      <c r="J156" s="458"/>
      <c r="K156" s="458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</row>
    <row r="157" spans="1:25">
      <c r="A157" s="460"/>
      <c r="B157" s="461"/>
      <c r="C157" s="458"/>
      <c r="D157" s="459"/>
      <c r="E157" s="459"/>
      <c r="F157" s="459"/>
      <c r="G157" s="459"/>
      <c r="H157" s="459"/>
      <c r="I157" s="459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</row>
    <row r="158" spans="1:25">
      <c r="A158" s="460"/>
      <c r="B158" s="461"/>
      <c r="C158" s="458"/>
      <c r="D158" s="459"/>
      <c r="E158" s="459"/>
      <c r="F158" s="459"/>
      <c r="G158" s="459"/>
      <c r="H158" s="459"/>
      <c r="I158" s="459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  <c r="Y158" s="458"/>
    </row>
    <row r="159" spans="1:25">
      <c r="A159" s="460"/>
      <c r="B159" s="461"/>
      <c r="C159" s="458"/>
      <c r="D159" s="459"/>
      <c r="E159" s="459"/>
      <c r="F159" s="459"/>
      <c r="G159" s="459"/>
      <c r="H159" s="459"/>
      <c r="I159" s="459"/>
      <c r="J159" s="458"/>
      <c r="K159" s="458"/>
      <c r="L159" s="458"/>
      <c r="M159" s="458"/>
      <c r="N159" s="458"/>
      <c r="O159" s="458"/>
      <c r="P159" s="458"/>
      <c r="Q159" s="458"/>
      <c r="R159" s="458"/>
      <c r="S159" s="458"/>
      <c r="T159" s="458"/>
      <c r="U159" s="458"/>
      <c r="V159" s="458"/>
      <c r="W159" s="458"/>
      <c r="X159" s="458"/>
      <c r="Y159" s="458"/>
    </row>
    <row r="160" spans="1:25">
      <c r="A160" s="460"/>
      <c r="B160" s="461"/>
      <c r="C160" s="458"/>
      <c r="D160" s="459"/>
      <c r="E160" s="459"/>
      <c r="F160" s="459"/>
      <c r="G160" s="459"/>
      <c r="H160" s="459"/>
      <c r="I160" s="459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  <c r="Y160" s="458"/>
    </row>
    <row r="161" spans="1:25">
      <c r="A161" s="460"/>
      <c r="B161" s="461"/>
      <c r="C161" s="458"/>
      <c r="D161" s="459"/>
      <c r="E161" s="459"/>
      <c r="F161" s="459"/>
      <c r="G161" s="459"/>
      <c r="H161" s="459"/>
      <c r="I161" s="459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</row>
    <row r="162" spans="1:25">
      <c r="A162" s="460"/>
      <c r="B162" s="461"/>
      <c r="C162" s="458"/>
      <c r="D162" s="459"/>
      <c r="E162" s="459"/>
      <c r="F162" s="459"/>
      <c r="G162" s="459"/>
      <c r="H162" s="459"/>
      <c r="I162" s="459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</row>
    <row r="163" spans="1:25">
      <c r="A163" s="460"/>
      <c r="B163" s="461"/>
      <c r="C163" s="458"/>
      <c r="D163" s="459"/>
      <c r="E163" s="459"/>
      <c r="F163" s="459"/>
      <c r="G163" s="459"/>
      <c r="H163" s="459"/>
      <c r="I163" s="459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</row>
    <row r="164" spans="1:25">
      <c r="A164" s="460"/>
      <c r="B164" s="461"/>
      <c r="C164" s="458"/>
      <c r="D164" s="459"/>
      <c r="E164" s="459"/>
      <c r="F164" s="459"/>
      <c r="G164" s="459"/>
      <c r="H164" s="459"/>
      <c r="I164" s="459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</row>
    <row r="165" spans="1:25">
      <c r="A165" s="460"/>
      <c r="B165" s="461"/>
      <c r="C165" s="458"/>
      <c r="D165" s="459"/>
      <c r="E165" s="459"/>
      <c r="F165" s="459"/>
      <c r="G165" s="459"/>
      <c r="H165" s="459"/>
      <c r="I165" s="459"/>
      <c r="J165" s="458"/>
      <c r="K165" s="458"/>
      <c r="L165" s="458"/>
      <c r="M165" s="458"/>
      <c r="N165" s="458"/>
      <c r="O165" s="458"/>
      <c r="P165" s="458"/>
      <c r="Q165" s="458"/>
      <c r="R165" s="458"/>
      <c r="S165" s="458"/>
      <c r="T165" s="458"/>
      <c r="U165" s="458"/>
      <c r="V165" s="458"/>
      <c r="W165" s="458"/>
      <c r="X165" s="458"/>
      <c r="Y165" s="458"/>
    </row>
    <row r="166" spans="1:25">
      <c r="A166" s="460"/>
      <c r="B166" s="461"/>
      <c r="C166" s="458"/>
      <c r="D166" s="459"/>
      <c r="E166" s="459"/>
      <c r="F166" s="459"/>
      <c r="G166" s="459"/>
      <c r="H166" s="459"/>
      <c r="I166" s="459"/>
      <c r="J166" s="458"/>
      <c r="K166" s="458"/>
      <c r="L166" s="458"/>
      <c r="M166" s="458"/>
      <c r="N166" s="458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  <c r="Y166" s="458"/>
    </row>
    <row r="167" spans="1:25">
      <c r="A167" s="460"/>
      <c r="B167" s="461"/>
      <c r="C167" s="458"/>
      <c r="D167" s="459"/>
      <c r="E167" s="459"/>
      <c r="F167" s="459"/>
      <c r="G167" s="459"/>
      <c r="H167" s="459"/>
      <c r="I167" s="459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  <c r="Y167" s="458"/>
    </row>
    <row r="168" spans="1:25">
      <c r="A168" s="460"/>
      <c r="B168" s="461"/>
      <c r="C168" s="458"/>
      <c r="D168" s="459"/>
      <c r="E168" s="459"/>
      <c r="F168" s="459"/>
      <c r="G168" s="459"/>
      <c r="H168" s="459"/>
      <c r="I168" s="459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</row>
    <row r="169" spans="1:25">
      <c r="A169" s="460"/>
      <c r="B169" s="461"/>
      <c r="C169" s="458"/>
      <c r="D169" s="459"/>
      <c r="E169" s="459"/>
      <c r="F169" s="459"/>
      <c r="G169" s="459"/>
      <c r="H169" s="459"/>
      <c r="I169" s="459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</row>
    <row r="170" spans="1:25">
      <c r="A170" s="460"/>
      <c r="B170" s="461"/>
      <c r="C170" s="458"/>
      <c r="D170" s="459"/>
      <c r="E170" s="459"/>
      <c r="F170" s="459"/>
      <c r="G170" s="459"/>
      <c r="H170" s="459"/>
      <c r="I170" s="459"/>
      <c r="J170" s="458"/>
      <c r="K170" s="458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</row>
    <row r="171" spans="1:25">
      <c r="A171" s="460"/>
      <c r="B171" s="461"/>
      <c r="C171" s="458"/>
      <c r="D171" s="459"/>
      <c r="E171" s="459"/>
      <c r="F171" s="459"/>
      <c r="G171" s="459"/>
      <c r="H171" s="459"/>
      <c r="I171" s="459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</row>
    <row r="172" spans="1:25">
      <c r="A172" s="460"/>
      <c r="B172" s="461"/>
      <c r="C172" s="458"/>
      <c r="D172" s="459"/>
      <c r="E172" s="459"/>
      <c r="F172" s="459"/>
      <c r="G172" s="459"/>
      <c r="H172" s="459"/>
      <c r="I172" s="459"/>
      <c r="J172" s="458"/>
      <c r="K172" s="458"/>
      <c r="L172" s="458"/>
      <c r="M172" s="458"/>
      <c r="N172" s="458"/>
      <c r="O172" s="458"/>
      <c r="P172" s="458"/>
      <c r="Q172" s="458"/>
      <c r="R172" s="458"/>
      <c r="S172" s="458"/>
      <c r="T172" s="458"/>
      <c r="U172" s="458"/>
      <c r="V172" s="458"/>
      <c r="W172" s="458"/>
      <c r="X172" s="458"/>
      <c r="Y172" s="458"/>
    </row>
    <row r="173" spans="1:25">
      <c r="A173" s="460"/>
      <c r="B173" s="461"/>
      <c r="C173" s="458"/>
      <c r="D173" s="459"/>
      <c r="E173" s="459"/>
      <c r="F173" s="459"/>
      <c r="G173" s="459"/>
      <c r="H173" s="459"/>
      <c r="I173" s="459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  <c r="Y173" s="458"/>
    </row>
    <row r="174" spans="1:25">
      <c r="A174" s="460"/>
      <c r="B174" s="461"/>
      <c r="C174" s="458"/>
      <c r="D174" s="459"/>
      <c r="E174" s="459"/>
      <c r="F174" s="459"/>
      <c r="G174" s="459"/>
      <c r="H174" s="459"/>
      <c r="I174" s="459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  <c r="Y174" s="458"/>
    </row>
    <row r="175" spans="1:25">
      <c r="A175" s="460"/>
      <c r="B175" s="461"/>
      <c r="C175" s="458"/>
      <c r="D175" s="459"/>
      <c r="E175" s="459"/>
      <c r="F175" s="459"/>
      <c r="G175" s="459"/>
      <c r="H175" s="459"/>
      <c r="I175" s="459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</row>
    <row r="176" spans="1:25">
      <c r="A176" s="460"/>
      <c r="B176" s="461"/>
      <c r="C176" s="458"/>
      <c r="D176" s="459"/>
      <c r="E176" s="459"/>
      <c r="F176" s="459"/>
      <c r="G176" s="459"/>
      <c r="H176" s="459"/>
      <c r="I176" s="459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</row>
    <row r="177" spans="1:25">
      <c r="A177" s="460"/>
      <c r="B177" s="461"/>
      <c r="C177" s="458"/>
      <c r="D177" s="459"/>
      <c r="E177" s="459"/>
      <c r="F177" s="459"/>
      <c r="G177" s="459"/>
      <c r="H177" s="459"/>
      <c r="I177" s="459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</row>
    <row r="178" spans="1:25">
      <c r="A178" s="460"/>
      <c r="B178" s="461"/>
      <c r="C178" s="458"/>
      <c r="D178" s="459"/>
      <c r="E178" s="459"/>
      <c r="F178" s="459"/>
      <c r="G178" s="459"/>
      <c r="H178" s="459"/>
      <c r="I178" s="459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</row>
    <row r="179" spans="1:25">
      <c r="A179" s="460"/>
      <c r="B179" s="461"/>
      <c r="C179" s="458"/>
      <c r="D179" s="459"/>
      <c r="E179" s="459"/>
      <c r="F179" s="459"/>
      <c r="G179" s="459"/>
      <c r="H179" s="459"/>
      <c r="I179" s="459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  <c r="Y179" s="458"/>
    </row>
    <row r="180" spans="1:25">
      <c r="A180" s="460"/>
      <c r="B180" s="461"/>
      <c r="C180" s="458"/>
      <c r="D180" s="459"/>
      <c r="E180" s="459"/>
      <c r="F180" s="459"/>
      <c r="G180" s="459"/>
      <c r="H180" s="459"/>
      <c r="I180" s="459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  <c r="Y180" s="458"/>
    </row>
    <row r="181" spans="1:25">
      <c r="A181" s="460"/>
      <c r="B181" s="461"/>
      <c r="C181" s="458"/>
      <c r="D181" s="459"/>
      <c r="E181" s="459"/>
      <c r="F181" s="459"/>
      <c r="G181" s="459"/>
      <c r="H181" s="459"/>
      <c r="I181" s="459"/>
      <c r="J181" s="458"/>
      <c r="K181" s="458"/>
      <c r="L181" s="458"/>
      <c r="M181" s="458"/>
      <c r="N181" s="458"/>
      <c r="O181" s="458"/>
      <c r="P181" s="458"/>
      <c r="Q181" s="458"/>
      <c r="R181" s="458"/>
      <c r="S181" s="458"/>
      <c r="T181" s="458"/>
      <c r="U181" s="458"/>
      <c r="V181" s="458"/>
      <c r="W181" s="458"/>
      <c r="X181" s="458"/>
      <c r="Y181" s="458"/>
    </row>
    <row r="182" spans="1:25">
      <c r="A182" s="460"/>
      <c r="B182" s="461"/>
      <c r="C182" s="458"/>
      <c r="D182" s="459"/>
      <c r="E182" s="459"/>
      <c r="F182" s="459"/>
      <c r="G182" s="459"/>
      <c r="H182" s="459"/>
      <c r="I182" s="459"/>
      <c r="J182" s="458"/>
      <c r="K182" s="458"/>
      <c r="L182" s="458"/>
      <c r="M182" s="458"/>
      <c r="N182" s="458"/>
      <c r="O182" s="458"/>
      <c r="P182" s="458"/>
      <c r="Q182" s="458"/>
      <c r="R182" s="458"/>
      <c r="S182" s="458"/>
      <c r="T182" s="458"/>
      <c r="U182" s="458"/>
      <c r="V182" s="458"/>
      <c r="W182" s="458"/>
      <c r="X182" s="458"/>
      <c r="Y182" s="458"/>
    </row>
    <row r="183" spans="1:25">
      <c r="A183" s="460"/>
      <c r="B183" s="461"/>
      <c r="C183" s="458"/>
      <c r="D183" s="459"/>
      <c r="E183" s="459"/>
      <c r="F183" s="459"/>
      <c r="G183" s="459"/>
      <c r="H183" s="459"/>
      <c r="I183" s="459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  <c r="Y183" s="458"/>
    </row>
    <row r="184" spans="1:25">
      <c r="A184" s="460"/>
      <c r="B184" s="461"/>
      <c r="C184" s="458"/>
      <c r="D184" s="459"/>
      <c r="E184" s="459"/>
      <c r="F184" s="459"/>
      <c r="G184" s="459"/>
      <c r="H184" s="459"/>
      <c r="I184" s="459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  <c r="Y184" s="458"/>
    </row>
    <row r="185" spans="1:25">
      <c r="A185" s="460"/>
      <c r="B185" s="461"/>
      <c r="C185" s="458"/>
      <c r="D185" s="459"/>
      <c r="E185" s="459"/>
      <c r="F185" s="459"/>
      <c r="G185" s="459"/>
      <c r="H185" s="459"/>
      <c r="I185" s="459"/>
      <c r="J185" s="458"/>
      <c r="K185" s="458"/>
      <c r="L185" s="458"/>
      <c r="M185" s="458"/>
      <c r="N185" s="458"/>
      <c r="O185" s="458"/>
      <c r="P185" s="458"/>
      <c r="Q185" s="458"/>
      <c r="R185" s="458"/>
      <c r="S185" s="458"/>
      <c r="T185" s="458"/>
      <c r="U185" s="458"/>
      <c r="V185" s="458"/>
      <c r="W185" s="458"/>
      <c r="X185" s="458"/>
      <c r="Y185" s="458"/>
    </row>
    <row r="186" spans="1:25">
      <c r="A186" s="460"/>
      <c r="B186" s="461"/>
      <c r="C186" s="458"/>
      <c r="D186" s="459"/>
      <c r="E186" s="459"/>
      <c r="F186" s="459"/>
      <c r="G186" s="459"/>
      <c r="H186" s="459"/>
      <c r="I186" s="459"/>
      <c r="J186" s="458"/>
      <c r="K186" s="458"/>
      <c r="L186" s="458"/>
      <c r="M186" s="458"/>
      <c r="N186" s="458"/>
      <c r="O186" s="458"/>
      <c r="P186" s="458"/>
      <c r="Q186" s="458"/>
      <c r="R186" s="458"/>
      <c r="S186" s="458"/>
      <c r="T186" s="458"/>
      <c r="U186" s="458"/>
      <c r="V186" s="458"/>
      <c r="W186" s="458"/>
      <c r="X186" s="458"/>
      <c r="Y186" s="458"/>
    </row>
    <row r="187" spans="1:25">
      <c r="A187" s="460"/>
      <c r="B187" s="461"/>
      <c r="C187" s="458"/>
      <c r="D187" s="459"/>
      <c r="E187" s="459"/>
      <c r="F187" s="459"/>
      <c r="G187" s="459"/>
      <c r="H187" s="459"/>
      <c r="I187" s="459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  <c r="Y187" s="458"/>
    </row>
    <row r="188" spans="1:25">
      <c r="A188" s="460"/>
      <c r="B188" s="461"/>
      <c r="C188" s="458"/>
      <c r="D188" s="459"/>
      <c r="E188" s="459"/>
      <c r="F188" s="459"/>
      <c r="G188" s="459"/>
      <c r="H188" s="459"/>
      <c r="I188" s="459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  <c r="Y188" s="458"/>
    </row>
    <row r="189" spans="1:25">
      <c r="A189" s="460"/>
      <c r="B189" s="461"/>
      <c r="C189" s="458"/>
      <c r="D189" s="459"/>
      <c r="E189" s="459"/>
      <c r="F189" s="459"/>
      <c r="G189" s="459"/>
      <c r="H189" s="459"/>
      <c r="I189" s="459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  <c r="Y189" s="458"/>
    </row>
    <row r="190" spans="1:25">
      <c r="A190" s="460"/>
      <c r="B190" s="461"/>
      <c r="C190" s="458"/>
      <c r="D190" s="459"/>
      <c r="E190" s="459"/>
      <c r="F190" s="459"/>
      <c r="G190" s="459"/>
      <c r="H190" s="459"/>
      <c r="I190" s="459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  <c r="Y190" s="458"/>
    </row>
    <row r="191" spans="1:25">
      <c r="A191" s="460"/>
      <c r="B191" s="461"/>
      <c r="C191" s="458"/>
      <c r="D191" s="459"/>
      <c r="E191" s="459"/>
      <c r="F191" s="459"/>
      <c r="G191" s="459"/>
      <c r="H191" s="459"/>
      <c r="I191" s="459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  <c r="Y191" s="458"/>
    </row>
    <row r="192" spans="1:25">
      <c r="A192" s="460"/>
      <c r="B192" s="461"/>
      <c r="C192" s="458"/>
      <c r="D192" s="459"/>
      <c r="E192" s="459"/>
      <c r="F192" s="459"/>
      <c r="G192" s="459"/>
      <c r="H192" s="459"/>
      <c r="I192" s="459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  <c r="Y192" s="458"/>
    </row>
    <row r="193" spans="1:25">
      <c r="A193" s="460"/>
      <c r="B193" s="461"/>
      <c r="C193" s="458"/>
      <c r="D193" s="459"/>
      <c r="E193" s="459"/>
      <c r="F193" s="459"/>
      <c r="G193" s="459"/>
      <c r="H193" s="459"/>
      <c r="I193" s="459"/>
      <c r="J193" s="458"/>
      <c r="K193" s="458"/>
      <c r="L193" s="458"/>
      <c r="M193" s="458"/>
      <c r="N193" s="458"/>
      <c r="O193" s="458"/>
      <c r="P193" s="458"/>
      <c r="Q193" s="458"/>
      <c r="R193" s="458"/>
      <c r="S193" s="458"/>
      <c r="T193" s="458"/>
      <c r="U193" s="458"/>
      <c r="V193" s="458"/>
      <c r="W193" s="458"/>
      <c r="X193" s="458"/>
      <c r="Y193" s="458"/>
    </row>
    <row r="194" spans="1:25">
      <c r="A194" s="460"/>
      <c r="B194" s="461"/>
      <c r="C194" s="458"/>
      <c r="D194" s="459"/>
      <c r="E194" s="459"/>
      <c r="F194" s="459"/>
      <c r="G194" s="459"/>
      <c r="H194" s="459"/>
      <c r="I194" s="459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  <c r="Y194" s="458"/>
    </row>
    <row r="195" spans="1:25">
      <c r="A195" s="460"/>
      <c r="B195" s="461"/>
      <c r="C195" s="458"/>
      <c r="D195" s="459"/>
      <c r="E195" s="459"/>
      <c r="F195" s="459"/>
      <c r="G195" s="459"/>
      <c r="H195" s="459"/>
      <c r="I195" s="459"/>
      <c r="J195" s="458"/>
      <c r="K195" s="458"/>
      <c r="L195" s="458"/>
      <c r="M195" s="458"/>
      <c r="N195" s="458"/>
      <c r="O195" s="458"/>
      <c r="P195" s="458"/>
      <c r="Q195" s="458"/>
      <c r="R195" s="458"/>
      <c r="S195" s="458"/>
      <c r="T195" s="458"/>
      <c r="U195" s="458"/>
      <c r="V195" s="458"/>
      <c r="W195" s="458"/>
      <c r="X195" s="458"/>
      <c r="Y195" s="458"/>
    </row>
    <row r="196" spans="1:25">
      <c r="A196" s="460"/>
      <c r="B196" s="461"/>
      <c r="C196" s="458"/>
      <c r="D196" s="459"/>
      <c r="E196" s="459"/>
      <c r="F196" s="459"/>
      <c r="G196" s="459"/>
      <c r="H196" s="459"/>
      <c r="I196" s="459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  <c r="Y196" s="458"/>
    </row>
    <row r="197" spans="1:25">
      <c r="A197" s="460"/>
      <c r="B197" s="461"/>
      <c r="C197" s="458"/>
      <c r="D197" s="459"/>
      <c r="E197" s="459"/>
      <c r="F197" s="459"/>
      <c r="G197" s="459"/>
      <c r="H197" s="459"/>
      <c r="I197" s="459"/>
      <c r="J197" s="458"/>
      <c r="K197" s="458"/>
      <c r="L197" s="458"/>
      <c r="M197" s="458"/>
      <c r="N197" s="458"/>
      <c r="O197" s="458"/>
      <c r="P197" s="458"/>
      <c r="Q197" s="458"/>
      <c r="R197" s="458"/>
      <c r="S197" s="458"/>
      <c r="T197" s="458"/>
      <c r="U197" s="458"/>
      <c r="V197" s="458"/>
      <c r="W197" s="458"/>
      <c r="X197" s="458"/>
      <c r="Y197" s="458"/>
    </row>
    <row r="198" spans="1:25">
      <c r="A198" s="460"/>
      <c r="B198" s="461"/>
      <c r="C198" s="458"/>
      <c r="D198" s="459"/>
      <c r="E198" s="459"/>
      <c r="F198" s="459"/>
      <c r="G198" s="459"/>
      <c r="H198" s="459"/>
      <c r="I198" s="459"/>
      <c r="J198" s="458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  <c r="U198" s="458"/>
      <c r="V198" s="458"/>
      <c r="W198" s="458"/>
      <c r="X198" s="458"/>
      <c r="Y198" s="458"/>
    </row>
    <row r="199" spans="1:25">
      <c r="A199" s="460"/>
      <c r="B199" s="461"/>
      <c r="C199" s="458"/>
      <c r="D199" s="459"/>
      <c r="E199" s="459"/>
      <c r="F199" s="459"/>
      <c r="G199" s="459"/>
      <c r="H199" s="459"/>
      <c r="I199" s="459"/>
      <c r="J199" s="458"/>
      <c r="K199" s="458"/>
      <c r="L199" s="458"/>
      <c r="M199" s="458"/>
      <c r="N199" s="458"/>
      <c r="O199" s="458"/>
      <c r="P199" s="458"/>
      <c r="Q199" s="458"/>
      <c r="R199" s="458"/>
      <c r="S199" s="458"/>
      <c r="T199" s="458"/>
      <c r="U199" s="458"/>
      <c r="V199" s="458"/>
      <c r="W199" s="458"/>
      <c r="X199" s="458"/>
      <c r="Y199" s="458"/>
    </row>
    <row r="200" spans="1:25">
      <c r="A200" s="460"/>
      <c r="B200" s="461"/>
      <c r="C200" s="458"/>
      <c r="D200" s="459"/>
      <c r="E200" s="459"/>
      <c r="F200" s="459"/>
      <c r="G200" s="459"/>
      <c r="H200" s="459"/>
      <c r="I200" s="459"/>
      <c r="J200" s="458"/>
      <c r="K200" s="458"/>
      <c r="L200" s="458"/>
      <c r="M200" s="458"/>
      <c r="N200" s="458"/>
      <c r="O200" s="458"/>
      <c r="P200" s="458"/>
      <c r="Q200" s="458"/>
      <c r="R200" s="458"/>
      <c r="S200" s="458"/>
      <c r="T200" s="458"/>
      <c r="U200" s="458"/>
      <c r="V200" s="458"/>
      <c r="W200" s="458"/>
      <c r="X200" s="458"/>
      <c r="Y200" s="458"/>
    </row>
    <row r="201" spans="1:25">
      <c r="A201" s="460"/>
      <c r="B201" s="461"/>
      <c r="C201" s="458"/>
      <c r="D201" s="459"/>
      <c r="E201" s="459"/>
      <c r="F201" s="459"/>
      <c r="G201" s="459"/>
      <c r="H201" s="459"/>
      <c r="I201" s="459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  <c r="Y201" s="458"/>
    </row>
    <row r="202" spans="1:25">
      <c r="A202" s="460"/>
      <c r="B202" s="461"/>
      <c r="C202" s="458"/>
      <c r="D202" s="459"/>
      <c r="E202" s="459"/>
      <c r="F202" s="459"/>
      <c r="G202" s="459"/>
      <c r="H202" s="459"/>
      <c r="I202" s="459"/>
      <c r="J202" s="458"/>
      <c r="K202" s="458"/>
      <c r="L202" s="458"/>
      <c r="M202" s="458"/>
      <c r="N202" s="458"/>
      <c r="O202" s="458"/>
      <c r="P202" s="458"/>
      <c r="Q202" s="458"/>
      <c r="R202" s="458"/>
      <c r="S202" s="458"/>
      <c r="T202" s="458"/>
      <c r="U202" s="458"/>
      <c r="V202" s="458"/>
      <c r="W202" s="458"/>
      <c r="X202" s="458"/>
      <c r="Y202" s="458"/>
    </row>
    <row r="203" spans="1:25">
      <c r="A203" s="460"/>
      <c r="B203" s="461"/>
      <c r="C203" s="458"/>
      <c r="D203" s="459"/>
      <c r="E203" s="459"/>
      <c r="F203" s="459"/>
      <c r="G203" s="459"/>
      <c r="H203" s="459"/>
      <c r="I203" s="459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  <c r="Y203" s="458"/>
    </row>
    <row r="204" spans="1:25">
      <c r="A204" s="460"/>
      <c r="B204" s="461"/>
      <c r="C204" s="458"/>
      <c r="D204" s="459"/>
      <c r="E204" s="459"/>
      <c r="F204" s="459"/>
      <c r="G204" s="459"/>
      <c r="H204" s="459"/>
      <c r="I204" s="459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458"/>
      <c r="Y204" s="458"/>
    </row>
    <row r="205" spans="1:25">
      <c r="A205" s="460"/>
      <c r="B205" s="461"/>
      <c r="C205" s="458"/>
      <c r="D205" s="459"/>
      <c r="E205" s="459"/>
      <c r="F205" s="459"/>
      <c r="G205" s="459"/>
      <c r="H205" s="459"/>
      <c r="I205" s="459"/>
      <c r="J205" s="458"/>
      <c r="K205" s="458"/>
      <c r="L205" s="458"/>
      <c r="M205" s="458"/>
      <c r="N205" s="458"/>
      <c r="O205" s="458"/>
      <c r="P205" s="458"/>
      <c r="Q205" s="458"/>
      <c r="R205" s="458"/>
      <c r="S205" s="458"/>
      <c r="T205" s="458"/>
      <c r="U205" s="458"/>
      <c r="V205" s="458"/>
      <c r="W205" s="458"/>
      <c r="X205" s="458"/>
      <c r="Y205" s="458"/>
    </row>
    <row r="206" spans="1:25">
      <c r="A206" s="460"/>
      <c r="B206" s="461"/>
      <c r="C206" s="458"/>
      <c r="D206" s="459"/>
      <c r="E206" s="459"/>
      <c r="F206" s="459"/>
      <c r="G206" s="459"/>
      <c r="H206" s="459"/>
      <c r="I206" s="459"/>
      <c r="J206" s="458"/>
      <c r="K206" s="458"/>
      <c r="L206" s="458"/>
      <c r="M206" s="458"/>
      <c r="N206" s="458"/>
      <c r="O206" s="458"/>
      <c r="P206" s="458"/>
      <c r="Q206" s="458"/>
      <c r="R206" s="458"/>
      <c r="S206" s="458"/>
      <c r="T206" s="458"/>
      <c r="U206" s="458"/>
      <c r="V206" s="458"/>
      <c r="W206" s="458"/>
      <c r="X206" s="458"/>
      <c r="Y206" s="458"/>
    </row>
    <row r="207" spans="1:25">
      <c r="A207" s="460"/>
      <c r="B207" s="461"/>
      <c r="C207" s="458"/>
      <c r="D207" s="459"/>
      <c r="E207" s="459"/>
      <c r="F207" s="459"/>
      <c r="G207" s="459"/>
      <c r="H207" s="459"/>
      <c r="I207" s="459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  <c r="Y207" s="458"/>
    </row>
    <row r="208" spans="1:25">
      <c r="A208" s="460"/>
      <c r="B208" s="461"/>
      <c r="C208" s="458"/>
      <c r="D208" s="459"/>
      <c r="E208" s="459"/>
      <c r="F208" s="459"/>
      <c r="G208" s="459"/>
      <c r="H208" s="459"/>
      <c r="I208" s="459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  <c r="Y208" s="458"/>
    </row>
    <row r="209" spans="1:25">
      <c r="A209" s="460"/>
      <c r="B209" s="461"/>
      <c r="C209" s="458"/>
      <c r="D209" s="459"/>
      <c r="E209" s="459"/>
      <c r="F209" s="459"/>
      <c r="G209" s="459"/>
      <c r="H209" s="459"/>
      <c r="I209" s="459"/>
      <c r="J209" s="458"/>
      <c r="K209" s="458"/>
      <c r="L209" s="458"/>
      <c r="M209" s="458"/>
      <c r="N209" s="458"/>
      <c r="O209" s="458"/>
      <c r="P209" s="458"/>
      <c r="Q209" s="458"/>
      <c r="R209" s="458"/>
      <c r="S209" s="458"/>
      <c r="T209" s="458"/>
      <c r="U209" s="458"/>
      <c r="V209" s="458"/>
      <c r="W209" s="458"/>
      <c r="X209" s="458"/>
      <c r="Y209" s="458"/>
    </row>
    <row r="210" spans="1:25">
      <c r="A210" s="460"/>
      <c r="B210" s="461"/>
      <c r="C210" s="458"/>
      <c r="D210" s="459"/>
      <c r="E210" s="459"/>
      <c r="F210" s="459"/>
      <c r="G210" s="459"/>
      <c r="H210" s="459"/>
      <c r="I210" s="459"/>
      <c r="J210" s="458"/>
      <c r="K210" s="458"/>
      <c r="L210" s="458"/>
      <c r="M210" s="458"/>
      <c r="N210" s="458"/>
      <c r="O210" s="458"/>
      <c r="P210" s="458"/>
      <c r="Q210" s="458"/>
      <c r="R210" s="458"/>
      <c r="S210" s="458"/>
      <c r="T210" s="458"/>
      <c r="U210" s="458"/>
      <c r="V210" s="458"/>
      <c r="W210" s="458"/>
      <c r="X210" s="458"/>
      <c r="Y210" s="458"/>
    </row>
    <row r="211" spans="1:25">
      <c r="A211" s="460"/>
      <c r="B211" s="461"/>
      <c r="C211" s="458"/>
      <c r="D211" s="459"/>
      <c r="E211" s="459"/>
      <c r="F211" s="459"/>
      <c r="G211" s="459"/>
      <c r="H211" s="459"/>
      <c r="I211" s="459"/>
      <c r="J211" s="458"/>
      <c r="K211" s="458"/>
      <c r="L211" s="458"/>
      <c r="M211" s="458"/>
      <c r="N211" s="458"/>
      <c r="O211" s="458"/>
      <c r="P211" s="458"/>
      <c r="Q211" s="458"/>
      <c r="R211" s="458"/>
      <c r="S211" s="458"/>
      <c r="T211" s="458"/>
      <c r="U211" s="458"/>
      <c r="V211" s="458"/>
      <c r="W211" s="458"/>
      <c r="X211" s="458"/>
      <c r="Y211" s="458"/>
    </row>
    <row r="212" spans="1:25">
      <c r="A212" s="460"/>
      <c r="B212" s="461"/>
      <c r="C212" s="458"/>
      <c r="D212" s="459"/>
      <c r="E212" s="459"/>
      <c r="F212" s="459"/>
      <c r="G212" s="459"/>
      <c r="H212" s="459"/>
      <c r="I212" s="459"/>
      <c r="J212" s="458"/>
      <c r="K212" s="458"/>
      <c r="L212" s="458"/>
      <c r="M212" s="458"/>
      <c r="N212" s="458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  <c r="Y212" s="458"/>
    </row>
    <row r="213" spans="1:25">
      <c r="A213" s="460"/>
      <c r="B213" s="461"/>
      <c r="C213" s="458"/>
      <c r="D213" s="459"/>
      <c r="E213" s="459"/>
      <c r="F213" s="459"/>
      <c r="G213" s="459"/>
      <c r="H213" s="459"/>
      <c r="I213" s="459"/>
      <c r="J213" s="458"/>
      <c r="K213" s="458"/>
      <c r="L213" s="458"/>
      <c r="M213" s="458"/>
      <c r="N213" s="458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  <c r="Y213" s="458"/>
    </row>
    <row r="214" spans="1:25">
      <c r="A214" s="460"/>
      <c r="B214" s="461"/>
      <c r="C214" s="458"/>
      <c r="D214" s="459"/>
      <c r="E214" s="459"/>
      <c r="F214" s="459"/>
      <c r="G214" s="459"/>
      <c r="H214" s="459"/>
      <c r="I214" s="459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  <c r="Y214" s="458"/>
    </row>
    <row r="215" spans="1:25">
      <c r="A215" s="460"/>
      <c r="B215" s="461"/>
      <c r="C215" s="458"/>
      <c r="D215" s="459"/>
      <c r="E215" s="459"/>
      <c r="F215" s="459"/>
      <c r="G215" s="459"/>
      <c r="H215" s="459"/>
      <c r="I215" s="459"/>
      <c r="J215" s="458"/>
      <c r="K215" s="458"/>
      <c r="L215" s="458"/>
      <c r="M215" s="458"/>
      <c r="N215" s="458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  <c r="Y215" s="458"/>
    </row>
    <row r="216" spans="1:25">
      <c r="A216" s="460"/>
      <c r="B216" s="461"/>
      <c r="C216" s="458"/>
      <c r="D216" s="459"/>
      <c r="E216" s="459"/>
      <c r="F216" s="459"/>
      <c r="G216" s="459"/>
      <c r="H216" s="459"/>
      <c r="I216" s="459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  <c r="Y216" s="458"/>
    </row>
    <row r="217" spans="1:25">
      <c r="A217" s="460"/>
      <c r="B217" s="461"/>
      <c r="C217" s="458"/>
      <c r="D217" s="459"/>
      <c r="E217" s="459"/>
      <c r="F217" s="459"/>
      <c r="G217" s="459"/>
      <c r="H217" s="459"/>
      <c r="I217" s="459"/>
      <c r="J217" s="458"/>
      <c r="K217" s="458"/>
      <c r="L217" s="458"/>
      <c r="M217" s="458"/>
      <c r="N217" s="458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  <c r="Y217" s="458"/>
    </row>
    <row r="218" spans="1:25">
      <c r="A218" s="460"/>
      <c r="B218" s="461"/>
      <c r="C218" s="458"/>
      <c r="D218" s="459"/>
      <c r="E218" s="459"/>
      <c r="F218" s="459"/>
      <c r="G218" s="459"/>
      <c r="H218" s="459"/>
      <c r="I218" s="459"/>
      <c r="J218" s="458"/>
      <c r="K218" s="458"/>
      <c r="L218" s="458"/>
      <c r="M218" s="458"/>
      <c r="N218" s="458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  <c r="Y218" s="458"/>
    </row>
    <row r="219" spans="1:25">
      <c r="A219" s="460"/>
      <c r="B219" s="461"/>
      <c r="C219" s="458"/>
      <c r="D219" s="459"/>
      <c r="E219" s="459"/>
      <c r="F219" s="459"/>
      <c r="G219" s="459"/>
      <c r="H219" s="459"/>
      <c r="I219" s="459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  <c r="Y219" s="458"/>
    </row>
    <row r="220" spans="1:25">
      <c r="A220" s="460"/>
      <c r="B220" s="461"/>
      <c r="C220" s="458"/>
      <c r="D220" s="459"/>
      <c r="E220" s="459"/>
      <c r="F220" s="459"/>
      <c r="G220" s="459"/>
      <c r="H220" s="459"/>
      <c r="I220" s="459"/>
      <c r="J220" s="458"/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  <c r="Y220" s="458"/>
    </row>
    <row r="221" spans="1:25">
      <c r="A221" s="460"/>
      <c r="B221" s="461"/>
      <c r="C221" s="458"/>
      <c r="D221" s="459"/>
      <c r="E221" s="459"/>
      <c r="F221" s="459"/>
      <c r="G221" s="459"/>
      <c r="H221" s="459"/>
      <c r="I221" s="459"/>
      <c r="J221" s="458"/>
      <c r="K221" s="458"/>
      <c r="L221" s="458"/>
      <c r="M221" s="458"/>
      <c r="N221" s="458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  <c r="Y221" s="458"/>
    </row>
    <row r="222" spans="1:25">
      <c r="A222" s="460"/>
      <c r="B222" s="461"/>
      <c r="C222" s="458"/>
      <c r="D222" s="459"/>
      <c r="E222" s="459"/>
      <c r="F222" s="459"/>
      <c r="G222" s="459"/>
      <c r="H222" s="459"/>
      <c r="I222" s="459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</row>
    <row r="223" spans="1:25">
      <c r="A223" s="460"/>
      <c r="B223" s="461"/>
      <c r="C223" s="458"/>
      <c r="D223" s="459"/>
      <c r="E223" s="459"/>
      <c r="F223" s="459"/>
      <c r="G223" s="459"/>
      <c r="H223" s="459"/>
      <c r="I223" s="459"/>
      <c r="J223" s="458"/>
      <c r="K223" s="458"/>
      <c r="L223" s="458"/>
      <c r="M223" s="458"/>
      <c r="N223" s="458"/>
      <c r="O223" s="458"/>
      <c r="P223" s="458"/>
      <c r="Q223" s="458"/>
      <c r="R223" s="458"/>
      <c r="S223" s="458"/>
      <c r="T223" s="458"/>
      <c r="U223" s="458"/>
      <c r="V223" s="458"/>
      <c r="W223" s="458"/>
      <c r="X223" s="458"/>
      <c r="Y223" s="458"/>
    </row>
    <row r="224" spans="1:25">
      <c r="A224" s="460"/>
      <c r="B224" s="461"/>
      <c r="C224" s="458"/>
      <c r="D224" s="459"/>
      <c r="E224" s="459"/>
      <c r="F224" s="459"/>
      <c r="G224" s="459"/>
      <c r="H224" s="459"/>
      <c r="I224" s="459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  <c r="Y224" s="458"/>
    </row>
    <row r="225" spans="1:25">
      <c r="A225" s="460"/>
      <c r="B225" s="461"/>
      <c r="C225" s="458"/>
      <c r="D225" s="459"/>
      <c r="E225" s="459"/>
      <c r="F225" s="459"/>
      <c r="G225" s="459"/>
      <c r="H225" s="459"/>
      <c r="I225" s="459"/>
      <c r="J225" s="458"/>
      <c r="K225" s="458"/>
      <c r="L225" s="458"/>
      <c r="M225" s="458"/>
      <c r="N225" s="458"/>
      <c r="O225" s="458"/>
      <c r="P225" s="458"/>
      <c r="Q225" s="458"/>
      <c r="R225" s="458"/>
      <c r="S225" s="458"/>
      <c r="T225" s="458"/>
      <c r="U225" s="458"/>
      <c r="V225" s="458"/>
      <c r="W225" s="458"/>
      <c r="X225" s="458"/>
      <c r="Y225" s="458"/>
    </row>
    <row r="226" spans="1:25">
      <c r="A226" s="460"/>
      <c r="B226" s="461"/>
      <c r="C226" s="458"/>
      <c r="D226" s="459"/>
      <c r="E226" s="459"/>
      <c r="F226" s="459"/>
      <c r="G226" s="459"/>
      <c r="H226" s="459"/>
      <c r="I226" s="459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  <c r="Y226" s="458"/>
    </row>
    <row r="227" spans="1:25">
      <c r="A227" s="460"/>
      <c r="B227" s="461"/>
      <c r="C227" s="458"/>
      <c r="D227" s="459"/>
      <c r="E227" s="459"/>
      <c r="F227" s="459"/>
      <c r="G227" s="459"/>
      <c r="H227" s="459"/>
      <c r="I227" s="459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  <c r="Y227" s="458"/>
    </row>
    <row r="228" spans="1:25">
      <c r="A228" s="460"/>
      <c r="B228" s="461"/>
      <c r="C228" s="458"/>
      <c r="D228" s="459"/>
      <c r="E228" s="459"/>
      <c r="F228" s="459"/>
      <c r="G228" s="459"/>
      <c r="H228" s="459"/>
      <c r="I228" s="459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  <c r="Y228" s="458"/>
    </row>
    <row r="229" spans="1:25">
      <c r="A229" s="460"/>
      <c r="B229" s="461"/>
      <c r="C229" s="458"/>
      <c r="D229" s="459"/>
      <c r="E229" s="459"/>
      <c r="F229" s="459"/>
      <c r="G229" s="459"/>
      <c r="H229" s="459"/>
      <c r="I229" s="459"/>
      <c r="J229" s="458"/>
      <c r="K229" s="458"/>
      <c r="L229" s="458"/>
      <c r="M229" s="458"/>
      <c r="N229" s="458"/>
      <c r="O229" s="458"/>
      <c r="P229" s="458"/>
      <c r="Q229" s="458"/>
      <c r="R229" s="458"/>
      <c r="S229" s="458"/>
      <c r="T229" s="458"/>
      <c r="U229" s="458"/>
      <c r="V229" s="458"/>
      <c r="W229" s="458"/>
      <c r="X229" s="458"/>
      <c r="Y229" s="458"/>
    </row>
    <row r="230" spans="1:25">
      <c r="A230" s="460"/>
      <c r="B230" s="461"/>
      <c r="C230" s="458"/>
      <c r="D230" s="459"/>
      <c r="E230" s="459"/>
      <c r="F230" s="459"/>
      <c r="G230" s="459"/>
      <c r="H230" s="459"/>
      <c r="I230" s="459"/>
      <c r="J230" s="458"/>
      <c r="K230" s="458"/>
      <c r="L230" s="458"/>
      <c r="M230" s="458"/>
      <c r="N230" s="458"/>
      <c r="O230" s="458"/>
      <c r="P230" s="458"/>
      <c r="Q230" s="458"/>
      <c r="R230" s="458"/>
      <c r="S230" s="458"/>
      <c r="T230" s="458"/>
      <c r="U230" s="458"/>
      <c r="V230" s="458"/>
      <c r="W230" s="458"/>
      <c r="X230" s="458"/>
      <c r="Y230" s="458"/>
    </row>
    <row r="231" spans="1:25">
      <c r="A231" s="460"/>
      <c r="B231" s="461"/>
      <c r="C231" s="458"/>
      <c r="D231" s="459"/>
      <c r="E231" s="459"/>
      <c r="F231" s="459"/>
      <c r="G231" s="459"/>
      <c r="H231" s="459"/>
      <c r="I231" s="459"/>
      <c r="J231" s="458"/>
      <c r="K231" s="458"/>
      <c r="L231" s="458"/>
      <c r="M231" s="458"/>
      <c r="N231" s="458"/>
      <c r="O231" s="458"/>
      <c r="P231" s="458"/>
      <c r="Q231" s="458"/>
      <c r="R231" s="458"/>
      <c r="S231" s="458"/>
      <c r="T231" s="458"/>
      <c r="U231" s="458"/>
      <c r="V231" s="458"/>
      <c r="W231" s="458"/>
      <c r="X231" s="458"/>
      <c r="Y231" s="458"/>
    </row>
    <row r="232" spans="1:25">
      <c r="A232" s="460"/>
      <c r="B232" s="461"/>
      <c r="C232" s="458"/>
      <c r="D232" s="459"/>
      <c r="E232" s="459"/>
      <c r="F232" s="459"/>
      <c r="G232" s="459"/>
      <c r="H232" s="459"/>
      <c r="I232" s="459"/>
      <c r="J232" s="458"/>
      <c r="K232" s="458"/>
      <c r="L232" s="458"/>
      <c r="M232" s="458"/>
      <c r="N232" s="458"/>
      <c r="O232" s="458"/>
      <c r="P232" s="458"/>
      <c r="Q232" s="458"/>
      <c r="R232" s="458"/>
      <c r="S232" s="458"/>
      <c r="T232" s="458"/>
      <c r="U232" s="458"/>
      <c r="V232" s="458"/>
      <c r="W232" s="458"/>
      <c r="X232" s="458"/>
      <c r="Y232" s="458"/>
    </row>
    <row r="233" spans="1:25">
      <c r="A233" s="460"/>
      <c r="B233" s="461"/>
      <c r="C233" s="458"/>
      <c r="D233" s="459"/>
      <c r="E233" s="459"/>
      <c r="F233" s="459"/>
      <c r="G233" s="459"/>
      <c r="H233" s="459"/>
      <c r="I233" s="459"/>
      <c r="J233" s="458"/>
      <c r="K233" s="458"/>
      <c r="L233" s="458"/>
      <c r="M233" s="458"/>
      <c r="N233" s="458"/>
      <c r="O233" s="458"/>
      <c r="P233" s="458"/>
      <c r="Q233" s="458"/>
      <c r="R233" s="458"/>
      <c r="S233" s="458"/>
      <c r="T233" s="458"/>
      <c r="U233" s="458"/>
      <c r="V233" s="458"/>
      <c r="W233" s="458"/>
      <c r="X233" s="458"/>
      <c r="Y233" s="458"/>
    </row>
    <row r="234" spans="1:25">
      <c r="A234" s="460"/>
      <c r="B234" s="461"/>
      <c r="C234" s="458"/>
      <c r="D234" s="459"/>
      <c r="E234" s="459"/>
      <c r="F234" s="459"/>
      <c r="G234" s="459"/>
      <c r="H234" s="459"/>
      <c r="I234" s="459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  <c r="Y234" s="458"/>
    </row>
    <row r="235" spans="1:25">
      <c r="A235" s="460"/>
      <c r="B235" s="461"/>
      <c r="C235" s="458"/>
      <c r="D235" s="459"/>
      <c r="E235" s="459"/>
      <c r="F235" s="459"/>
      <c r="G235" s="459"/>
      <c r="H235" s="459"/>
      <c r="I235" s="459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  <c r="U235" s="458"/>
      <c r="V235" s="458"/>
      <c r="W235" s="458"/>
      <c r="X235" s="458"/>
      <c r="Y235" s="458"/>
    </row>
    <row r="236" spans="1:25">
      <c r="A236" s="460"/>
      <c r="B236" s="461"/>
      <c r="C236" s="458"/>
      <c r="D236" s="459"/>
      <c r="E236" s="459"/>
      <c r="F236" s="459"/>
      <c r="G236" s="459"/>
      <c r="H236" s="459"/>
      <c r="I236" s="459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  <c r="Y236" s="458"/>
    </row>
    <row r="237" spans="1:25">
      <c r="A237" s="460"/>
      <c r="B237" s="461"/>
      <c r="C237" s="458"/>
      <c r="D237" s="459"/>
      <c r="E237" s="459"/>
      <c r="F237" s="459"/>
      <c r="G237" s="459"/>
      <c r="H237" s="459"/>
      <c r="I237" s="459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  <c r="Y237" s="458"/>
    </row>
    <row r="238" spans="1:25">
      <c r="A238" s="460"/>
      <c r="B238" s="461"/>
      <c r="C238" s="458"/>
      <c r="D238" s="459"/>
      <c r="E238" s="459"/>
      <c r="F238" s="459"/>
      <c r="G238" s="459"/>
      <c r="H238" s="459"/>
      <c r="I238" s="459"/>
      <c r="J238" s="458"/>
      <c r="K238" s="458"/>
      <c r="L238" s="458"/>
      <c r="M238" s="458"/>
      <c r="N238" s="458"/>
      <c r="O238" s="458"/>
      <c r="P238" s="458"/>
      <c r="Q238" s="458"/>
      <c r="R238" s="458"/>
      <c r="S238" s="458"/>
      <c r="T238" s="458"/>
      <c r="U238" s="458"/>
      <c r="V238" s="458"/>
      <c r="W238" s="458"/>
      <c r="X238" s="458"/>
      <c r="Y238" s="458"/>
    </row>
    <row r="239" spans="1:25">
      <c r="A239" s="460"/>
      <c r="B239" s="461"/>
      <c r="C239" s="458"/>
      <c r="D239" s="459"/>
      <c r="E239" s="459"/>
      <c r="F239" s="459"/>
      <c r="G239" s="459"/>
      <c r="H239" s="459"/>
      <c r="I239" s="459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  <c r="Y239" s="458"/>
    </row>
    <row r="240" spans="1:25">
      <c r="A240" s="460"/>
      <c r="B240" s="461"/>
      <c r="C240" s="458"/>
      <c r="D240" s="459"/>
      <c r="E240" s="459"/>
      <c r="F240" s="459"/>
      <c r="G240" s="459"/>
      <c r="H240" s="459"/>
      <c r="I240" s="459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  <c r="Y240" s="458"/>
    </row>
    <row r="241" spans="1:25">
      <c r="A241" s="460"/>
      <c r="B241" s="461"/>
      <c r="C241" s="458"/>
      <c r="D241" s="459"/>
      <c r="E241" s="459"/>
      <c r="F241" s="459"/>
      <c r="G241" s="459"/>
      <c r="H241" s="459"/>
      <c r="I241" s="459"/>
      <c r="J241" s="458"/>
      <c r="K241" s="458"/>
      <c r="L241" s="458"/>
      <c r="M241" s="458"/>
      <c r="N241" s="458"/>
      <c r="O241" s="458"/>
      <c r="P241" s="458"/>
      <c r="Q241" s="458"/>
      <c r="R241" s="458"/>
      <c r="S241" s="458"/>
      <c r="T241" s="458"/>
      <c r="U241" s="458"/>
      <c r="V241" s="458"/>
      <c r="W241" s="458"/>
      <c r="X241" s="458"/>
      <c r="Y241" s="458"/>
    </row>
    <row r="242" spans="1:25">
      <c r="A242" s="460"/>
      <c r="B242" s="461"/>
      <c r="C242" s="458"/>
      <c r="D242" s="459"/>
      <c r="E242" s="459"/>
      <c r="F242" s="459"/>
      <c r="G242" s="459"/>
      <c r="H242" s="459"/>
      <c r="I242" s="459"/>
      <c r="J242" s="458"/>
      <c r="K242" s="458"/>
      <c r="L242" s="458"/>
      <c r="M242" s="458"/>
      <c r="N242" s="458"/>
      <c r="O242" s="458"/>
      <c r="P242" s="458"/>
      <c r="Q242" s="458"/>
      <c r="R242" s="458"/>
      <c r="S242" s="458"/>
      <c r="T242" s="458"/>
      <c r="U242" s="458"/>
      <c r="V242" s="458"/>
      <c r="W242" s="458"/>
      <c r="X242" s="458"/>
      <c r="Y242" s="458"/>
    </row>
    <row r="243" spans="1:25">
      <c r="A243" s="460"/>
      <c r="B243" s="461"/>
      <c r="C243" s="458"/>
      <c r="D243" s="459"/>
      <c r="E243" s="459"/>
      <c r="F243" s="459"/>
      <c r="G243" s="459"/>
      <c r="H243" s="459"/>
      <c r="I243" s="459"/>
      <c r="J243" s="458"/>
      <c r="K243" s="458"/>
      <c r="L243" s="458"/>
      <c r="M243" s="458"/>
      <c r="N243" s="458"/>
      <c r="O243" s="458"/>
      <c r="P243" s="458"/>
      <c r="Q243" s="458"/>
      <c r="R243" s="458"/>
      <c r="S243" s="458"/>
      <c r="T243" s="458"/>
      <c r="U243" s="458"/>
      <c r="V243" s="458"/>
      <c r="W243" s="458"/>
      <c r="X243" s="458"/>
      <c r="Y243" s="458"/>
    </row>
    <row r="244" spans="1:25">
      <c r="A244" s="460"/>
      <c r="B244" s="461"/>
      <c r="C244" s="458"/>
      <c r="D244" s="459"/>
      <c r="E244" s="459"/>
      <c r="F244" s="459"/>
      <c r="G244" s="459"/>
      <c r="H244" s="459"/>
      <c r="I244" s="459"/>
      <c r="J244" s="458"/>
      <c r="K244" s="458"/>
      <c r="L244" s="458"/>
      <c r="M244" s="458"/>
      <c r="N244" s="458"/>
      <c r="O244" s="458"/>
      <c r="P244" s="458"/>
      <c r="Q244" s="458"/>
      <c r="R244" s="458"/>
      <c r="S244" s="458"/>
      <c r="T244" s="458"/>
      <c r="U244" s="458"/>
      <c r="V244" s="458"/>
      <c r="W244" s="458"/>
      <c r="X244" s="458"/>
      <c r="Y244" s="458"/>
    </row>
    <row r="245" spans="1:25">
      <c r="A245" s="460"/>
      <c r="B245" s="461"/>
      <c r="C245" s="458"/>
      <c r="D245" s="459"/>
      <c r="E245" s="459"/>
      <c r="F245" s="459"/>
      <c r="G245" s="459"/>
      <c r="H245" s="459"/>
      <c r="I245" s="459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  <c r="Y245" s="458"/>
    </row>
    <row r="246" spans="1:25">
      <c r="A246" s="460"/>
      <c r="B246" s="461"/>
      <c r="C246" s="458"/>
      <c r="D246" s="459"/>
      <c r="E246" s="459"/>
      <c r="F246" s="459"/>
      <c r="G246" s="459"/>
      <c r="H246" s="459"/>
      <c r="I246" s="459"/>
      <c r="J246" s="458"/>
      <c r="K246" s="458"/>
      <c r="L246" s="458"/>
      <c r="M246" s="458"/>
      <c r="N246" s="458"/>
      <c r="O246" s="458"/>
      <c r="P246" s="458"/>
      <c r="Q246" s="458"/>
      <c r="R246" s="458"/>
      <c r="S246" s="458"/>
      <c r="T246" s="458"/>
      <c r="U246" s="458"/>
      <c r="V246" s="458"/>
      <c r="W246" s="458"/>
      <c r="X246" s="458"/>
      <c r="Y246" s="458"/>
    </row>
    <row r="247" spans="1:25">
      <c r="A247" s="460"/>
      <c r="B247" s="461"/>
      <c r="C247" s="458"/>
      <c r="D247" s="459"/>
      <c r="E247" s="459"/>
      <c r="F247" s="459"/>
      <c r="G247" s="459"/>
      <c r="H247" s="459"/>
      <c r="I247" s="459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  <c r="Y247" s="458"/>
    </row>
    <row r="248" spans="1:25">
      <c r="A248" s="460"/>
      <c r="B248" s="461"/>
      <c r="C248" s="458"/>
      <c r="D248" s="459"/>
      <c r="E248" s="459"/>
      <c r="F248" s="459"/>
      <c r="G248" s="459"/>
      <c r="H248" s="459"/>
      <c r="I248" s="459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  <c r="U248" s="458"/>
      <c r="V248" s="458"/>
      <c r="W248" s="458"/>
      <c r="X248" s="458"/>
      <c r="Y248" s="458"/>
    </row>
    <row r="249" spans="1:25">
      <c r="A249" s="460"/>
      <c r="B249" s="461"/>
      <c r="C249" s="458"/>
      <c r="D249" s="459"/>
      <c r="E249" s="459"/>
      <c r="F249" s="459"/>
      <c r="G249" s="459"/>
      <c r="H249" s="459"/>
      <c r="I249" s="459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  <c r="Y249" s="458"/>
    </row>
    <row r="250" spans="1:25">
      <c r="A250" s="460"/>
      <c r="B250" s="461"/>
      <c r="C250" s="458"/>
      <c r="D250" s="459"/>
      <c r="E250" s="459"/>
      <c r="F250" s="459"/>
      <c r="G250" s="459"/>
      <c r="H250" s="459"/>
      <c r="I250" s="459"/>
      <c r="J250" s="458"/>
      <c r="K250" s="458"/>
      <c r="L250" s="458"/>
      <c r="M250" s="458"/>
      <c r="N250" s="458"/>
      <c r="O250" s="458"/>
      <c r="P250" s="458"/>
      <c r="Q250" s="458"/>
      <c r="R250" s="458"/>
      <c r="S250" s="458"/>
      <c r="T250" s="458"/>
      <c r="U250" s="458"/>
      <c r="V250" s="458"/>
      <c r="W250" s="458"/>
      <c r="X250" s="458"/>
      <c r="Y250" s="458"/>
    </row>
    <row r="251" spans="1:25">
      <c r="A251" s="460"/>
      <c r="B251" s="461"/>
      <c r="C251" s="458"/>
      <c r="D251" s="459"/>
      <c r="E251" s="459"/>
      <c r="F251" s="459"/>
      <c r="G251" s="459"/>
      <c r="H251" s="459"/>
      <c r="I251" s="459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  <c r="Y251" s="458"/>
    </row>
    <row r="252" spans="1:25">
      <c r="A252" s="460"/>
      <c r="B252" s="461"/>
      <c r="C252" s="458"/>
      <c r="D252" s="459"/>
      <c r="E252" s="459"/>
      <c r="F252" s="459"/>
      <c r="G252" s="459"/>
      <c r="H252" s="459"/>
      <c r="I252" s="459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  <c r="Y252" s="458"/>
    </row>
    <row r="253" spans="1:25">
      <c r="A253" s="460"/>
      <c r="B253" s="461"/>
      <c r="C253" s="458"/>
      <c r="D253" s="459"/>
      <c r="E253" s="459"/>
      <c r="F253" s="459"/>
      <c r="G253" s="459"/>
      <c r="H253" s="459"/>
      <c r="I253" s="459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  <c r="Y253" s="458"/>
    </row>
    <row r="254" spans="1:25">
      <c r="A254" s="460"/>
      <c r="B254" s="461"/>
      <c r="C254" s="458"/>
      <c r="D254" s="459"/>
      <c r="E254" s="459"/>
      <c r="F254" s="459"/>
      <c r="G254" s="459"/>
      <c r="H254" s="459"/>
      <c r="I254" s="459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</row>
    <row r="255" spans="1:25">
      <c r="A255" s="460"/>
      <c r="B255" s="461"/>
      <c r="C255" s="458"/>
      <c r="D255" s="459"/>
      <c r="E255" s="459"/>
      <c r="F255" s="459"/>
      <c r="G255" s="459"/>
      <c r="H255" s="459"/>
      <c r="I255" s="459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</row>
    <row r="256" spans="1:25">
      <c r="A256" s="460"/>
      <c r="B256" s="461"/>
      <c r="C256" s="458"/>
      <c r="D256" s="459"/>
      <c r="E256" s="459"/>
      <c r="F256" s="459"/>
      <c r="G256" s="459"/>
      <c r="H256" s="459"/>
      <c r="I256" s="459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  <c r="Y256" s="458"/>
    </row>
    <row r="257" spans="1:25">
      <c r="A257" s="460"/>
      <c r="B257" s="461"/>
      <c r="C257" s="458"/>
      <c r="D257" s="459"/>
      <c r="E257" s="459"/>
      <c r="F257" s="459"/>
      <c r="G257" s="459"/>
      <c r="H257" s="459"/>
      <c r="I257" s="459"/>
      <c r="J257" s="458"/>
      <c r="K257" s="458"/>
      <c r="L257" s="458"/>
      <c r="M257" s="458"/>
      <c r="N257" s="458"/>
      <c r="O257" s="458"/>
      <c r="P257" s="458"/>
      <c r="Q257" s="458"/>
      <c r="R257" s="458"/>
      <c r="S257" s="458"/>
      <c r="T257" s="458"/>
      <c r="U257" s="458"/>
      <c r="V257" s="458"/>
      <c r="W257" s="458"/>
      <c r="X257" s="458"/>
      <c r="Y257" s="458"/>
    </row>
    <row r="258" spans="1:25">
      <c r="A258" s="460"/>
      <c r="B258" s="461"/>
      <c r="C258" s="458"/>
      <c r="D258" s="459"/>
      <c r="E258" s="459"/>
      <c r="F258" s="459"/>
      <c r="G258" s="459"/>
      <c r="H258" s="459"/>
      <c r="I258" s="459"/>
      <c r="J258" s="458"/>
      <c r="K258" s="458"/>
      <c r="L258" s="458"/>
      <c r="M258" s="458"/>
      <c r="N258" s="458"/>
      <c r="O258" s="458"/>
      <c r="P258" s="458"/>
      <c r="Q258" s="458"/>
      <c r="R258" s="458"/>
      <c r="S258" s="458"/>
      <c r="T258" s="458"/>
      <c r="U258" s="458"/>
      <c r="V258" s="458"/>
      <c r="W258" s="458"/>
      <c r="X258" s="458"/>
      <c r="Y258" s="458"/>
    </row>
    <row r="259" spans="1:25">
      <c r="A259" s="460"/>
      <c r="B259" s="461"/>
      <c r="C259" s="458"/>
      <c r="D259" s="459"/>
      <c r="E259" s="459"/>
      <c r="F259" s="459"/>
      <c r="G259" s="459"/>
      <c r="H259" s="459"/>
      <c r="I259" s="459"/>
      <c r="J259" s="458"/>
      <c r="K259" s="458"/>
      <c r="L259" s="458"/>
      <c r="M259" s="458"/>
      <c r="N259" s="458"/>
      <c r="O259" s="458"/>
      <c r="P259" s="458"/>
      <c r="Q259" s="458"/>
      <c r="R259" s="458"/>
      <c r="S259" s="458"/>
      <c r="T259" s="458"/>
      <c r="U259" s="458"/>
      <c r="V259" s="458"/>
      <c r="W259" s="458"/>
      <c r="X259" s="458"/>
      <c r="Y259" s="458"/>
    </row>
    <row r="260" spans="1:25">
      <c r="A260" s="460"/>
      <c r="B260" s="461"/>
      <c r="C260" s="458"/>
      <c r="D260" s="459"/>
      <c r="E260" s="459"/>
      <c r="F260" s="459"/>
      <c r="G260" s="459"/>
      <c r="H260" s="459"/>
      <c r="I260" s="459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  <c r="Y260" s="458"/>
    </row>
    <row r="261" spans="1:25">
      <c r="A261" s="460"/>
      <c r="B261" s="461"/>
      <c r="C261" s="458"/>
      <c r="D261" s="459"/>
      <c r="E261" s="459"/>
      <c r="F261" s="459"/>
      <c r="G261" s="459"/>
      <c r="H261" s="459"/>
      <c r="I261" s="459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  <c r="Y261" s="458"/>
    </row>
    <row r="262" spans="1:25">
      <c r="A262" s="460"/>
      <c r="B262" s="461"/>
      <c r="C262" s="458"/>
      <c r="D262" s="459"/>
      <c r="E262" s="459"/>
      <c r="F262" s="459"/>
      <c r="G262" s="459"/>
      <c r="H262" s="459"/>
      <c r="I262" s="459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  <c r="Y262" s="458"/>
    </row>
    <row r="263" spans="1:25">
      <c r="A263" s="460"/>
      <c r="B263" s="461"/>
      <c r="C263" s="458"/>
      <c r="D263" s="459"/>
      <c r="E263" s="459"/>
      <c r="F263" s="459"/>
      <c r="G263" s="459"/>
      <c r="H263" s="459"/>
      <c r="I263" s="459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  <c r="Y263" s="458"/>
    </row>
    <row r="264" spans="1:25">
      <c r="A264" s="460"/>
      <c r="B264" s="461"/>
      <c r="C264" s="458"/>
      <c r="D264" s="459"/>
      <c r="E264" s="459"/>
      <c r="F264" s="459"/>
      <c r="G264" s="459"/>
      <c r="H264" s="459"/>
      <c r="I264" s="459"/>
      <c r="J264" s="458"/>
      <c r="K264" s="458"/>
      <c r="L264" s="458"/>
      <c r="M264" s="458"/>
      <c r="N264" s="458"/>
      <c r="O264" s="458"/>
      <c r="P264" s="458"/>
      <c r="Q264" s="458"/>
      <c r="R264" s="458"/>
      <c r="S264" s="458"/>
      <c r="T264" s="458"/>
      <c r="U264" s="458"/>
      <c r="V264" s="458"/>
      <c r="W264" s="458"/>
      <c r="X264" s="458"/>
      <c r="Y264" s="458"/>
    </row>
    <row r="265" spans="1:25">
      <c r="A265" s="460"/>
      <c r="B265" s="461"/>
      <c r="C265" s="458"/>
      <c r="D265" s="459"/>
      <c r="E265" s="459"/>
      <c r="F265" s="459"/>
      <c r="G265" s="459"/>
      <c r="H265" s="459"/>
      <c r="I265" s="459"/>
      <c r="J265" s="458"/>
      <c r="K265" s="458"/>
      <c r="L265" s="458"/>
      <c r="M265" s="458"/>
      <c r="N265" s="458"/>
      <c r="O265" s="458"/>
      <c r="P265" s="458"/>
      <c r="Q265" s="458"/>
      <c r="R265" s="458"/>
      <c r="S265" s="458"/>
      <c r="T265" s="458"/>
      <c r="U265" s="458"/>
      <c r="V265" s="458"/>
      <c r="W265" s="458"/>
      <c r="X265" s="458"/>
      <c r="Y265" s="458"/>
    </row>
    <row r="266" spans="1:25">
      <c r="A266" s="460"/>
      <c r="B266" s="461"/>
      <c r="C266" s="458"/>
      <c r="D266" s="459"/>
      <c r="E266" s="459"/>
      <c r="F266" s="459"/>
      <c r="G266" s="459"/>
      <c r="H266" s="459"/>
      <c r="I266" s="459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  <c r="Y266" s="458"/>
    </row>
    <row r="267" spans="1:25">
      <c r="A267" s="460"/>
      <c r="B267" s="461"/>
      <c r="C267" s="458"/>
      <c r="D267" s="459"/>
      <c r="E267" s="459"/>
      <c r="F267" s="459"/>
      <c r="G267" s="459"/>
      <c r="H267" s="459"/>
      <c r="I267" s="459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  <c r="Y267" s="458"/>
    </row>
    <row r="268" spans="1:25">
      <c r="A268" s="460"/>
      <c r="B268" s="461"/>
      <c r="C268" s="458"/>
      <c r="D268" s="459"/>
      <c r="E268" s="459"/>
      <c r="F268" s="459"/>
      <c r="G268" s="459"/>
      <c r="H268" s="459"/>
      <c r="I268" s="459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  <c r="Y268" s="458"/>
    </row>
    <row r="269" spans="1:25">
      <c r="A269" s="460"/>
      <c r="B269" s="461"/>
      <c r="C269" s="458"/>
      <c r="D269" s="459"/>
      <c r="E269" s="459"/>
      <c r="F269" s="459"/>
      <c r="G269" s="459"/>
      <c r="H269" s="459"/>
      <c r="I269" s="459"/>
      <c r="J269" s="458"/>
      <c r="K269" s="458"/>
      <c r="L269" s="458"/>
      <c r="M269" s="458"/>
      <c r="N269" s="458"/>
      <c r="O269" s="458"/>
      <c r="P269" s="458"/>
      <c r="Q269" s="458"/>
      <c r="R269" s="458"/>
      <c r="S269" s="458"/>
      <c r="T269" s="458"/>
      <c r="U269" s="458"/>
      <c r="V269" s="458"/>
      <c r="W269" s="458"/>
      <c r="X269" s="458"/>
      <c r="Y269" s="458"/>
    </row>
    <row r="270" spans="1:25">
      <c r="A270" s="460"/>
      <c r="B270" s="461"/>
      <c r="C270" s="458"/>
      <c r="D270" s="459"/>
      <c r="E270" s="459"/>
      <c r="F270" s="459"/>
      <c r="G270" s="459"/>
      <c r="H270" s="459"/>
      <c r="I270" s="459"/>
      <c r="J270" s="458"/>
      <c r="K270" s="458"/>
      <c r="L270" s="458"/>
      <c r="M270" s="458"/>
      <c r="N270" s="458"/>
      <c r="O270" s="458"/>
      <c r="P270" s="458"/>
      <c r="Q270" s="458"/>
      <c r="R270" s="458"/>
      <c r="S270" s="458"/>
      <c r="T270" s="458"/>
      <c r="U270" s="458"/>
      <c r="V270" s="458"/>
      <c r="W270" s="458"/>
      <c r="X270" s="458"/>
      <c r="Y270" s="458"/>
    </row>
    <row r="271" spans="1:25">
      <c r="A271" s="460"/>
      <c r="B271" s="461"/>
      <c r="C271" s="458"/>
      <c r="D271" s="459"/>
      <c r="E271" s="459"/>
      <c r="F271" s="459"/>
      <c r="G271" s="459"/>
      <c r="H271" s="459"/>
      <c r="I271" s="459"/>
      <c r="J271" s="458"/>
      <c r="K271" s="458"/>
      <c r="L271" s="458"/>
      <c r="M271" s="458"/>
      <c r="N271" s="458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  <c r="Y271" s="458"/>
    </row>
    <row r="272" spans="1:25">
      <c r="A272" s="460"/>
      <c r="B272" s="461"/>
      <c r="C272" s="458"/>
      <c r="D272" s="459"/>
      <c r="E272" s="459"/>
      <c r="F272" s="459"/>
      <c r="G272" s="459"/>
      <c r="H272" s="459"/>
      <c r="I272" s="459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  <c r="Y272" s="458"/>
    </row>
    <row r="273" spans="1:25">
      <c r="A273" s="460"/>
      <c r="B273" s="461"/>
      <c r="C273" s="458"/>
      <c r="D273" s="459"/>
      <c r="E273" s="459"/>
      <c r="F273" s="459"/>
      <c r="G273" s="459"/>
      <c r="H273" s="459"/>
      <c r="I273" s="459"/>
      <c r="J273" s="458"/>
      <c r="K273" s="458"/>
      <c r="L273" s="458"/>
      <c r="M273" s="458"/>
      <c r="N273" s="458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  <c r="Y273" s="458"/>
    </row>
    <row r="274" spans="1:25">
      <c r="A274" s="460"/>
      <c r="B274" s="461"/>
      <c r="C274" s="458"/>
      <c r="D274" s="459"/>
      <c r="E274" s="459"/>
      <c r="F274" s="459"/>
      <c r="G274" s="459"/>
      <c r="H274" s="459"/>
      <c r="I274" s="459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  <c r="Y274" s="458"/>
    </row>
    <row r="275" spans="1:25">
      <c r="A275" s="460"/>
      <c r="B275" s="461"/>
      <c r="C275" s="458"/>
      <c r="D275" s="459"/>
      <c r="E275" s="459"/>
      <c r="F275" s="459"/>
      <c r="G275" s="459"/>
      <c r="H275" s="459"/>
      <c r="I275" s="459"/>
      <c r="J275" s="458"/>
      <c r="K275" s="458"/>
      <c r="L275" s="458"/>
      <c r="M275" s="458"/>
      <c r="N275" s="458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  <c r="Y275" s="458"/>
    </row>
    <row r="276" spans="1:25">
      <c r="A276" s="460"/>
      <c r="B276" s="461"/>
      <c r="C276" s="458"/>
      <c r="D276" s="459"/>
      <c r="E276" s="459"/>
      <c r="F276" s="459"/>
      <c r="G276" s="459"/>
      <c r="H276" s="459"/>
      <c r="I276" s="459"/>
      <c r="J276" s="458"/>
      <c r="K276" s="458"/>
      <c r="L276" s="458"/>
      <c r="M276" s="458"/>
      <c r="N276" s="458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  <c r="Y276" s="458"/>
    </row>
    <row r="277" spans="1:25">
      <c r="A277" s="460"/>
      <c r="B277" s="461"/>
      <c r="C277" s="458"/>
      <c r="D277" s="459"/>
      <c r="E277" s="459"/>
      <c r="F277" s="459"/>
      <c r="G277" s="459"/>
      <c r="H277" s="459"/>
      <c r="I277" s="459"/>
      <c r="J277" s="458"/>
      <c r="K277" s="458"/>
      <c r="L277" s="458"/>
      <c r="M277" s="458"/>
      <c r="N277" s="458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  <c r="Y277" s="458"/>
    </row>
    <row r="278" spans="1:25">
      <c r="A278" s="460"/>
      <c r="B278" s="461"/>
      <c r="C278" s="458"/>
      <c r="D278" s="459"/>
      <c r="E278" s="459"/>
      <c r="F278" s="459"/>
      <c r="G278" s="459"/>
      <c r="H278" s="459"/>
      <c r="I278" s="459"/>
      <c r="J278" s="458"/>
      <c r="K278" s="458"/>
      <c r="L278" s="458"/>
      <c r="M278" s="458"/>
      <c r="N278" s="458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  <c r="Y278" s="458"/>
    </row>
    <row r="279" spans="1:25">
      <c r="A279" s="460"/>
      <c r="B279" s="461"/>
      <c r="C279" s="458"/>
      <c r="D279" s="459"/>
      <c r="E279" s="459"/>
      <c r="F279" s="459"/>
      <c r="G279" s="459"/>
      <c r="H279" s="459"/>
      <c r="I279" s="459"/>
      <c r="J279" s="458"/>
      <c r="K279" s="458"/>
      <c r="L279" s="458"/>
      <c r="M279" s="458"/>
      <c r="N279" s="458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  <c r="Y279" s="458"/>
    </row>
    <row r="280" spans="1:25">
      <c r="A280" s="460"/>
      <c r="B280" s="461"/>
      <c r="C280" s="458"/>
      <c r="D280" s="459"/>
      <c r="E280" s="459"/>
      <c r="F280" s="459"/>
      <c r="G280" s="459"/>
      <c r="H280" s="459"/>
      <c r="I280" s="459"/>
      <c r="J280" s="458"/>
      <c r="K280" s="458"/>
      <c r="L280" s="458"/>
      <c r="M280" s="458"/>
      <c r="N280" s="458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  <c r="Y280" s="458"/>
    </row>
    <row r="281" spans="1:25">
      <c r="A281" s="460"/>
      <c r="B281" s="461"/>
      <c r="C281" s="458"/>
      <c r="D281" s="459"/>
      <c r="E281" s="459"/>
      <c r="F281" s="459"/>
      <c r="G281" s="459"/>
      <c r="H281" s="459"/>
      <c r="I281" s="459"/>
      <c r="J281" s="458"/>
      <c r="K281" s="458"/>
      <c r="L281" s="458"/>
      <c r="M281" s="458"/>
      <c r="N281" s="458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  <c r="Y281" s="458"/>
    </row>
    <row r="282" spans="1:25">
      <c r="A282" s="460"/>
      <c r="B282" s="461"/>
      <c r="C282" s="458"/>
      <c r="D282" s="459"/>
      <c r="E282" s="459"/>
      <c r="F282" s="459"/>
      <c r="G282" s="459"/>
      <c r="H282" s="459"/>
      <c r="I282" s="459"/>
      <c r="J282" s="458"/>
      <c r="K282" s="458"/>
      <c r="L282" s="458"/>
      <c r="M282" s="458"/>
      <c r="N282" s="458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  <c r="Y282" s="458"/>
    </row>
    <row r="283" spans="1:25">
      <c r="A283" s="460"/>
      <c r="B283" s="461"/>
      <c r="C283" s="458"/>
      <c r="D283" s="459"/>
      <c r="E283" s="459"/>
      <c r="F283" s="459"/>
      <c r="G283" s="459"/>
      <c r="H283" s="459"/>
      <c r="I283" s="459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  <c r="Y283" s="458"/>
    </row>
    <row r="284" spans="1:25">
      <c r="A284" s="460"/>
      <c r="B284" s="461"/>
      <c r="C284" s="458"/>
      <c r="D284" s="459"/>
      <c r="E284" s="459"/>
      <c r="F284" s="459"/>
      <c r="G284" s="459"/>
      <c r="H284" s="459"/>
      <c r="I284" s="459"/>
      <c r="J284" s="458"/>
      <c r="K284" s="458"/>
      <c r="L284" s="458"/>
      <c r="M284" s="458"/>
      <c r="N284" s="458"/>
      <c r="O284" s="458"/>
      <c r="P284" s="458"/>
      <c r="Q284" s="458"/>
      <c r="R284" s="458"/>
      <c r="S284" s="458"/>
      <c r="T284" s="458"/>
      <c r="U284" s="458"/>
      <c r="V284" s="458"/>
      <c r="W284" s="458"/>
      <c r="X284" s="458"/>
      <c r="Y284" s="458"/>
    </row>
    <row r="285" spans="1:25">
      <c r="A285" s="460"/>
      <c r="B285" s="461"/>
      <c r="C285" s="458"/>
      <c r="D285" s="459"/>
      <c r="E285" s="459"/>
      <c r="F285" s="459"/>
      <c r="G285" s="459"/>
      <c r="H285" s="459"/>
      <c r="I285" s="459"/>
      <c r="J285" s="458"/>
      <c r="K285" s="458"/>
      <c r="L285" s="458"/>
      <c r="M285" s="458"/>
      <c r="N285" s="458"/>
      <c r="O285" s="458"/>
      <c r="P285" s="458"/>
      <c r="Q285" s="458"/>
      <c r="R285" s="458"/>
      <c r="S285" s="458"/>
      <c r="T285" s="458"/>
      <c r="U285" s="458"/>
      <c r="V285" s="458"/>
      <c r="W285" s="458"/>
      <c r="X285" s="458"/>
      <c r="Y285" s="458"/>
    </row>
    <row r="286" spans="1:25">
      <c r="A286" s="460"/>
      <c r="B286" s="461"/>
      <c r="C286" s="458"/>
      <c r="D286" s="459"/>
      <c r="E286" s="459"/>
      <c r="F286" s="459"/>
      <c r="G286" s="459"/>
      <c r="H286" s="459"/>
      <c r="I286" s="459"/>
      <c r="J286" s="458"/>
      <c r="K286" s="458"/>
      <c r="L286" s="458"/>
      <c r="M286" s="458"/>
      <c r="N286" s="458"/>
      <c r="O286" s="458"/>
      <c r="P286" s="458"/>
      <c r="Q286" s="458"/>
      <c r="R286" s="458"/>
      <c r="S286" s="458"/>
      <c r="T286" s="458"/>
      <c r="U286" s="458"/>
      <c r="V286" s="458"/>
      <c r="W286" s="458"/>
      <c r="X286" s="458"/>
      <c r="Y286" s="458"/>
    </row>
    <row r="287" spans="1:25">
      <c r="A287" s="460"/>
      <c r="B287" s="461"/>
      <c r="C287" s="458"/>
      <c r="D287" s="459"/>
      <c r="E287" s="459"/>
      <c r="F287" s="459"/>
      <c r="G287" s="459"/>
      <c r="H287" s="459"/>
      <c r="I287" s="459"/>
      <c r="J287" s="458"/>
      <c r="K287" s="458"/>
      <c r="L287" s="458"/>
      <c r="M287" s="458"/>
      <c r="N287" s="458"/>
      <c r="O287" s="458"/>
      <c r="P287" s="458"/>
      <c r="Q287" s="458"/>
      <c r="R287" s="458"/>
      <c r="S287" s="458"/>
      <c r="T287" s="458"/>
      <c r="U287" s="458"/>
      <c r="V287" s="458"/>
      <c r="W287" s="458"/>
      <c r="X287" s="458"/>
      <c r="Y287" s="458"/>
    </row>
    <row r="288" spans="1:25">
      <c r="A288" s="460"/>
      <c r="B288" s="461"/>
      <c r="C288" s="458"/>
      <c r="D288" s="459"/>
      <c r="E288" s="459"/>
      <c r="F288" s="459"/>
      <c r="G288" s="459"/>
      <c r="H288" s="459"/>
      <c r="I288" s="459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  <c r="Y288" s="458"/>
    </row>
    <row r="289" spans="1:25">
      <c r="A289" s="460"/>
      <c r="B289" s="461"/>
      <c r="C289" s="458"/>
      <c r="D289" s="459"/>
      <c r="E289" s="459"/>
      <c r="F289" s="459"/>
      <c r="G289" s="459"/>
      <c r="H289" s="459"/>
      <c r="I289" s="459"/>
      <c r="J289" s="458"/>
      <c r="K289" s="458"/>
      <c r="L289" s="458"/>
      <c r="M289" s="458"/>
      <c r="N289" s="458"/>
      <c r="O289" s="458"/>
      <c r="P289" s="458"/>
      <c r="Q289" s="458"/>
      <c r="R289" s="458"/>
      <c r="S289" s="458"/>
      <c r="T289" s="458"/>
      <c r="U289" s="458"/>
      <c r="V289" s="458"/>
      <c r="W289" s="458"/>
      <c r="X289" s="458"/>
      <c r="Y289" s="458"/>
    </row>
    <row r="290" spans="1:25">
      <c r="A290" s="460"/>
      <c r="B290" s="461"/>
      <c r="C290" s="458"/>
      <c r="D290" s="459"/>
      <c r="E290" s="459"/>
      <c r="F290" s="459"/>
      <c r="G290" s="459"/>
      <c r="H290" s="459"/>
      <c r="I290" s="459"/>
      <c r="J290" s="458"/>
      <c r="K290" s="458"/>
      <c r="L290" s="458"/>
      <c r="M290" s="458"/>
      <c r="N290" s="458"/>
      <c r="O290" s="458"/>
      <c r="P290" s="458"/>
      <c r="Q290" s="458"/>
      <c r="R290" s="458"/>
      <c r="S290" s="458"/>
      <c r="T290" s="458"/>
      <c r="U290" s="458"/>
      <c r="V290" s="458"/>
      <c r="W290" s="458"/>
      <c r="X290" s="458"/>
      <c r="Y290" s="458"/>
    </row>
    <row r="291" spans="1:25">
      <c r="A291" s="460"/>
      <c r="B291" s="461"/>
      <c r="C291" s="458"/>
      <c r="D291" s="459"/>
      <c r="E291" s="459"/>
      <c r="F291" s="459"/>
      <c r="G291" s="459"/>
      <c r="H291" s="459"/>
      <c r="I291" s="459"/>
      <c r="J291" s="458"/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  <c r="Y291" s="458"/>
    </row>
    <row r="292" spans="1:25">
      <c r="A292" s="460"/>
      <c r="B292" s="461"/>
      <c r="C292" s="458"/>
      <c r="D292" s="459"/>
      <c r="E292" s="459"/>
      <c r="F292" s="459"/>
      <c r="G292" s="459"/>
      <c r="H292" s="459"/>
      <c r="I292" s="459"/>
      <c r="J292" s="458"/>
      <c r="K292" s="458"/>
      <c r="L292" s="458"/>
      <c r="M292" s="458"/>
      <c r="N292" s="458"/>
      <c r="O292" s="458"/>
      <c r="P292" s="458"/>
      <c r="Q292" s="458"/>
      <c r="R292" s="458"/>
      <c r="S292" s="458"/>
      <c r="T292" s="458"/>
      <c r="U292" s="458"/>
      <c r="V292" s="458"/>
      <c r="W292" s="458"/>
      <c r="X292" s="458"/>
      <c r="Y292" s="458"/>
    </row>
    <row r="293" spans="1:25">
      <c r="A293" s="460"/>
      <c r="B293" s="461"/>
      <c r="C293" s="458"/>
      <c r="D293" s="459"/>
      <c r="E293" s="459"/>
      <c r="F293" s="459"/>
      <c r="G293" s="459"/>
      <c r="H293" s="459"/>
      <c r="I293" s="459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  <c r="Y293" s="458"/>
    </row>
    <row r="294" spans="1:25">
      <c r="A294" s="460"/>
      <c r="B294" s="461"/>
      <c r="C294" s="458"/>
      <c r="D294" s="459"/>
      <c r="E294" s="459"/>
      <c r="F294" s="459"/>
      <c r="G294" s="459"/>
      <c r="H294" s="459"/>
      <c r="I294" s="459"/>
      <c r="J294" s="458"/>
      <c r="K294" s="458"/>
      <c r="L294" s="458"/>
      <c r="M294" s="458"/>
      <c r="N294" s="458"/>
      <c r="O294" s="458"/>
      <c r="P294" s="458"/>
      <c r="Q294" s="458"/>
      <c r="R294" s="458"/>
      <c r="S294" s="458"/>
      <c r="T294" s="458"/>
      <c r="U294" s="458"/>
      <c r="V294" s="458"/>
      <c r="W294" s="458"/>
      <c r="X294" s="458"/>
      <c r="Y294" s="458"/>
    </row>
    <row r="295" spans="1:25">
      <c r="A295" s="460"/>
      <c r="B295" s="461"/>
      <c r="C295" s="458"/>
      <c r="D295" s="459"/>
      <c r="E295" s="459"/>
      <c r="F295" s="459"/>
      <c r="G295" s="459"/>
      <c r="H295" s="459"/>
      <c r="I295" s="459"/>
      <c r="J295" s="458"/>
      <c r="K295" s="458"/>
      <c r="L295" s="458"/>
      <c r="M295" s="458"/>
      <c r="N295" s="458"/>
      <c r="O295" s="458"/>
      <c r="P295" s="458"/>
      <c r="Q295" s="458"/>
      <c r="R295" s="458"/>
      <c r="S295" s="458"/>
      <c r="T295" s="458"/>
      <c r="U295" s="458"/>
      <c r="V295" s="458"/>
      <c r="W295" s="458"/>
      <c r="X295" s="458"/>
      <c r="Y295" s="458"/>
    </row>
    <row r="296" spans="1:25">
      <c r="A296" s="460"/>
      <c r="B296" s="461"/>
      <c r="C296" s="458"/>
      <c r="D296" s="459"/>
      <c r="E296" s="459"/>
      <c r="F296" s="459"/>
      <c r="G296" s="459"/>
      <c r="H296" s="459"/>
      <c r="I296" s="459"/>
      <c r="J296" s="458"/>
      <c r="K296" s="458"/>
      <c r="L296" s="458"/>
      <c r="M296" s="458"/>
      <c r="N296" s="458"/>
      <c r="O296" s="458"/>
      <c r="P296" s="458"/>
      <c r="Q296" s="458"/>
      <c r="R296" s="458"/>
      <c r="S296" s="458"/>
      <c r="T296" s="458"/>
      <c r="U296" s="458"/>
      <c r="V296" s="458"/>
      <c r="W296" s="458"/>
      <c r="X296" s="458"/>
      <c r="Y296" s="458"/>
    </row>
    <row r="297" spans="1:25">
      <c r="A297" s="460"/>
      <c r="B297" s="461"/>
      <c r="C297" s="458"/>
      <c r="D297" s="459"/>
      <c r="E297" s="459"/>
      <c r="F297" s="459"/>
      <c r="G297" s="459"/>
      <c r="H297" s="459"/>
      <c r="I297" s="459"/>
      <c r="J297" s="458"/>
      <c r="K297" s="458"/>
      <c r="L297" s="458"/>
      <c r="M297" s="458"/>
      <c r="N297" s="458"/>
      <c r="O297" s="458"/>
      <c r="P297" s="458"/>
      <c r="Q297" s="458"/>
      <c r="R297" s="458"/>
      <c r="S297" s="458"/>
      <c r="T297" s="458"/>
      <c r="U297" s="458"/>
      <c r="V297" s="458"/>
      <c r="W297" s="458"/>
      <c r="X297" s="458"/>
      <c r="Y297" s="458"/>
    </row>
    <row r="298" spans="1:25">
      <c r="A298" s="460"/>
      <c r="B298" s="461"/>
      <c r="C298" s="458"/>
      <c r="D298" s="459"/>
      <c r="E298" s="459"/>
      <c r="F298" s="459"/>
      <c r="G298" s="459"/>
      <c r="H298" s="459"/>
      <c r="I298" s="459"/>
      <c r="J298" s="458"/>
      <c r="K298" s="458"/>
      <c r="L298" s="458"/>
      <c r="M298" s="458"/>
      <c r="N298" s="458"/>
      <c r="O298" s="458"/>
      <c r="P298" s="458"/>
      <c r="Q298" s="458"/>
      <c r="R298" s="458"/>
      <c r="S298" s="458"/>
      <c r="T298" s="458"/>
      <c r="U298" s="458"/>
      <c r="V298" s="458"/>
      <c r="W298" s="458"/>
      <c r="X298" s="458"/>
      <c r="Y298" s="458"/>
    </row>
    <row r="299" spans="1:25">
      <c r="A299" s="460"/>
      <c r="B299" s="461"/>
      <c r="C299" s="458"/>
      <c r="D299" s="459"/>
      <c r="E299" s="459"/>
      <c r="F299" s="459"/>
      <c r="G299" s="459"/>
      <c r="H299" s="459"/>
      <c r="I299" s="459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  <c r="Y299" s="458"/>
    </row>
    <row r="300" spans="1:25">
      <c r="A300" s="460"/>
      <c r="B300" s="461"/>
      <c r="C300" s="458"/>
      <c r="D300" s="459"/>
      <c r="E300" s="459"/>
      <c r="F300" s="459"/>
      <c r="G300" s="459"/>
      <c r="H300" s="459"/>
      <c r="I300" s="459"/>
      <c r="J300" s="458"/>
      <c r="K300" s="458"/>
      <c r="L300" s="458"/>
      <c r="M300" s="458"/>
      <c r="N300" s="458"/>
      <c r="O300" s="458"/>
      <c r="P300" s="458"/>
      <c r="Q300" s="458"/>
      <c r="R300" s="458"/>
      <c r="S300" s="458"/>
      <c r="T300" s="458"/>
      <c r="U300" s="458"/>
      <c r="V300" s="458"/>
      <c r="W300" s="458"/>
      <c r="X300" s="458"/>
      <c r="Y300" s="458"/>
    </row>
    <row r="301" spans="1:25">
      <c r="A301" s="460"/>
      <c r="B301" s="461"/>
      <c r="C301" s="458"/>
      <c r="D301" s="459"/>
      <c r="E301" s="459"/>
      <c r="F301" s="459"/>
      <c r="G301" s="459"/>
      <c r="H301" s="459"/>
      <c r="I301" s="459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  <c r="Y301" s="458"/>
    </row>
    <row r="302" spans="1:25">
      <c r="A302" s="460"/>
      <c r="B302" s="461"/>
      <c r="C302" s="458"/>
      <c r="D302" s="459"/>
      <c r="E302" s="459"/>
      <c r="F302" s="459"/>
      <c r="G302" s="459"/>
      <c r="H302" s="459"/>
      <c r="I302" s="459"/>
      <c r="J302" s="458"/>
      <c r="K302" s="458"/>
      <c r="L302" s="458"/>
      <c r="M302" s="458"/>
      <c r="N302" s="458"/>
      <c r="O302" s="458"/>
      <c r="P302" s="458"/>
      <c r="Q302" s="458"/>
      <c r="R302" s="458"/>
      <c r="S302" s="458"/>
      <c r="T302" s="458"/>
      <c r="U302" s="458"/>
      <c r="V302" s="458"/>
      <c r="W302" s="458"/>
      <c r="X302" s="458"/>
      <c r="Y302" s="458"/>
    </row>
    <row r="303" spans="1:25">
      <c r="A303" s="460"/>
      <c r="B303" s="461"/>
      <c r="C303" s="458"/>
      <c r="D303" s="459"/>
      <c r="E303" s="459"/>
      <c r="F303" s="459"/>
      <c r="G303" s="459"/>
      <c r="H303" s="459"/>
      <c r="I303" s="459"/>
      <c r="J303" s="458"/>
      <c r="K303" s="458"/>
      <c r="L303" s="458"/>
      <c r="M303" s="458"/>
      <c r="N303" s="458"/>
      <c r="O303" s="458"/>
      <c r="P303" s="458"/>
      <c r="Q303" s="458"/>
      <c r="R303" s="458"/>
      <c r="S303" s="458"/>
      <c r="T303" s="458"/>
      <c r="U303" s="458"/>
      <c r="V303" s="458"/>
      <c r="W303" s="458"/>
      <c r="X303" s="458"/>
      <c r="Y303" s="458"/>
    </row>
    <row r="304" spans="1:25">
      <c r="A304" s="460"/>
      <c r="B304" s="461"/>
      <c r="C304" s="458"/>
      <c r="D304" s="459"/>
      <c r="E304" s="459"/>
      <c r="F304" s="459"/>
      <c r="G304" s="459"/>
      <c r="H304" s="459"/>
      <c r="I304" s="459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  <c r="Y304" s="458"/>
    </row>
    <row r="305" spans="1:25">
      <c r="A305" s="460"/>
      <c r="B305" s="461"/>
      <c r="C305" s="458"/>
      <c r="D305" s="459"/>
      <c r="E305" s="459"/>
      <c r="F305" s="459"/>
      <c r="G305" s="459"/>
      <c r="H305" s="459"/>
      <c r="I305" s="459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  <c r="Y305" s="458"/>
    </row>
    <row r="306" spans="1:25">
      <c r="A306" s="460"/>
      <c r="B306" s="461"/>
      <c r="C306" s="458"/>
      <c r="D306" s="459"/>
      <c r="E306" s="459"/>
      <c r="F306" s="459"/>
      <c r="G306" s="459"/>
      <c r="H306" s="459"/>
      <c r="I306" s="459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  <c r="Y306" s="458"/>
    </row>
    <row r="307" spans="1:25">
      <c r="A307" s="460"/>
      <c r="B307" s="461"/>
      <c r="C307" s="458"/>
      <c r="D307" s="459"/>
      <c r="E307" s="459"/>
      <c r="F307" s="459"/>
      <c r="G307" s="459"/>
      <c r="H307" s="459"/>
      <c r="I307" s="459"/>
      <c r="J307" s="458"/>
      <c r="K307" s="458"/>
      <c r="L307" s="458"/>
      <c r="M307" s="458"/>
      <c r="N307" s="458"/>
      <c r="O307" s="458"/>
      <c r="P307" s="458"/>
      <c r="Q307" s="458"/>
      <c r="R307" s="458"/>
      <c r="S307" s="458"/>
      <c r="T307" s="458"/>
      <c r="U307" s="458"/>
      <c r="V307" s="458"/>
      <c r="W307" s="458"/>
      <c r="X307" s="458"/>
      <c r="Y307" s="458"/>
    </row>
    <row r="308" spans="1:25">
      <c r="A308" s="460"/>
      <c r="B308" s="461"/>
      <c r="C308" s="458"/>
      <c r="D308" s="459"/>
      <c r="E308" s="459"/>
      <c r="F308" s="459"/>
      <c r="G308" s="459"/>
      <c r="H308" s="459"/>
      <c r="I308" s="459"/>
      <c r="J308" s="458"/>
      <c r="K308" s="458"/>
      <c r="L308" s="458"/>
      <c r="M308" s="458"/>
      <c r="N308" s="458"/>
      <c r="O308" s="458"/>
      <c r="P308" s="458"/>
      <c r="Q308" s="458"/>
      <c r="R308" s="458"/>
      <c r="S308" s="458"/>
      <c r="T308" s="458"/>
      <c r="U308" s="458"/>
      <c r="V308" s="458"/>
      <c r="W308" s="458"/>
      <c r="X308" s="458"/>
      <c r="Y308" s="458"/>
    </row>
    <row r="309" spans="1:25">
      <c r="A309" s="460"/>
      <c r="B309" s="461"/>
      <c r="C309" s="458"/>
      <c r="D309" s="459"/>
      <c r="E309" s="459"/>
      <c r="F309" s="459"/>
      <c r="G309" s="459"/>
      <c r="H309" s="459"/>
      <c r="I309" s="459"/>
      <c r="J309" s="458"/>
      <c r="K309" s="458"/>
      <c r="L309" s="458"/>
      <c r="M309" s="458"/>
      <c r="N309" s="458"/>
      <c r="O309" s="458"/>
      <c r="P309" s="458"/>
      <c r="Q309" s="458"/>
      <c r="R309" s="458"/>
      <c r="S309" s="458"/>
      <c r="T309" s="458"/>
      <c r="U309" s="458"/>
      <c r="V309" s="458"/>
      <c r="W309" s="458"/>
      <c r="X309" s="458"/>
      <c r="Y309" s="458"/>
    </row>
    <row r="310" spans="1:25">
      <c r="A310" s="460"/>
      <c r="B310" s="461"/>
      <c r="C310" s="458"/>
      <c r="D310" s="459"/>
      <c r="E310" s="459"/>
      <c r="F310" s="459"/>
      <c r="G310" s="459"/>
      <c r="H310" s="459"/>
      <c r="I310" s="459"/>
      <c r="J310" s="458"/>
      <c r="K310" s="458"/>
      <c r="L310" s="458"/>
      <c r="M310" s="458"/>
      <c r="N310" s="458"/>
      <c r="O310" s="458"/>
      <c r="P310" s="458"/>
      <c r="Q310" s="458"/>
      <c r="R310" s="458"/>
      <c r="S310" s="458"/>
      <c r="T310" s="458"/>
      <c r="U310" s="458"/>
      <c r="V310" s="458"/>
      <c r="W310" s="458"/>
      <c r="X310" s="458"/>
      <c r="Y310" s="458"/>
    </row>
    <row r="311" spans="1:25">
      <c r="A311" s="460"/>
      <c r="B311" s="461"/>
      <c r="C311" s="458"/>
      <c r="D311" s="459"/>
      <c r="E311" s="459"/>
      <c r="F311" s="459"/>
      <c r="G311" s="459"/>
      <c r="H311" s="459"/>
      <c r="I311" s="459"/>
      <c r="J311" s="458"/>
      <c r="K311" s="458"/>
      <c r="L311" s="458"/>
      <c r="M311" s="458"/>
      <c r="N311" s="458"/>
      <c r="O311" s="458"/>
      <c r="P311" s="458"/>
      <c r="Q311" s="458"/>
      <c r="R311" s="458"/>
      <c r="S311" s="458"/>
      <c r="T311" s="458"/>
      <c r="U311" s="458"/>
      <c r="V311" s="458"/>
      <c r="W311" s="458"/>
      <c r="X311" s="458"/>
      <c r="Y311" s="458"/>
    </row>
    <row r="312" spans="1:25">
      <c r="A312" s="460"/>
      <c r="B312" s="461"/>
      <c r="C312" s="458"/>
      <c r="D312" s="459"/>
      <c r="E312" s="459"/>
      <c r="F312" s="459"/>
      <c r="G312" s="459"/>
      <c r="H312" s="459"/>
      <c r="I312" s="459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  <c r="Y312" s="458"/>
    </row>
    <row r="313" spans="1:25">
      <c r="A313" s="460"/>
      <c r="B313" s="461"/>
      <c r="C313" s="458"/>
      <c r="D313" s="459"/>
      <c r="E313" s="459"/>
      <c r="F313" s="459"/>
      <c r="G313" s="459"/>
      <c r="H313" s="459"/>
      <c r="I313" s="459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  <c r="Y313" s="458"/>
    </row>
    <row r="314" spans="1:25">
      <c r="A314" s="460"/>
      <c r="B314" s="461"/>
      <c r="C314" s="458"/>
      <c r="D314" s="459"/>
      <c r="E314" s="459"/>
      <c r="F314" s="459"/>
      <c r="G314" s="459"/>
      <c r="H314" s="459"/>
      <c r="I314" s="459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  <c r="Y314" s="458"/>
    </row>
    <row r="315" spans="1:25">
      <c r="A315" s="460"/>
      <c r="B315" s="461"/>
      <c r="C315" s="458"/>
      <c r="D315" s="459"/>
      <c r="E315" s="459"/>
      <c r="F315" s="459"/>
      <c r="G315" s="459"/>
      <c r="H315" s="459"/>
      <c r="I315" s="459"/>
      <c r="J315" s="458"/>
      <c r="K315" s="458"/>
      <c r="L315" s="458"/>
      <c r="M315" s="458"/>
      <c r="N315" s="458"/>
      <c r="O315" s="458"/>
      <c r="P315" s="458"/>
      <c r="Q315" s="458"/>
      <c r="R315" s="458"/>
      <c r="S315" s="458"/>
      <c r="T315" s="458"/>
      <c r="U315" s="458"/>
      <c r="V315" s="458"/>
      <c r="W315" s="458"/>
      <c r="X315" s="458"/>
      <c r="Y315" s="458"/>
    </row>
    <row r="316" spans="1:25">
      <c r="A316" s="460"/>
      <c r="B316" s="461"/>
      <c r="C316" s="458"/>
      <c r="D316" s="459"/>
      <c r="E316" s="459"/>
      <c r="F316" s="459"/>
      <c r="G316" s="459"/>
      <c r="H316" s="459"/>
      <c r="I316" s="459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  <c r="Y316" s="458"/>
    </row>
    <row r="317" spans="1:25">
      <c r="A317" s="460"/>
      <c r="B317" s="461"/>
      <c r="C317" s="458"/>
      <c r="D317" s="459"/>
      <c r="E317" s="459"/>
      <c r="F317" s="459"/>
      <c r="G317" s="459"/>
      <c r="H317" s="459"/>
      <c r="I317" s="459"/>
      <c r="J317" s="458"/>
      <c r="K317" s="458"/>
      <c r="L317" s="458"/>
      <c r="M317" s="458"/>
      <c r="N317" s="458"/>
      <c r="O317" s="458"/>
      <c r="P317" s="458"/>
      <c r="Q317" s="458"/>
      <c r="R317" s="458"/>
      <c r="S317" s="458"/>
      <c r="T317" s="458"/>
      <c r="U317" s="458"/>
      <c r="V317" s="458"/>
      <c r="W317" s="458"/>
      <c r="X317" s="458"/>
      <c r="Y317" s="458"/>
    </row>
    <row r="318" spans="1:25">
      <c r="A318" s="460"/>
      <c r="B318" s="461"/>
      <c r="C318" s="458"/>
      <c r="D318" s="459"/>
      <c r="E318" s="459"/>
      <c r="F318" s="459"/>
      <c r="G318" s="459"/>
      <c r="H318" s="459"/>
      <c r="I318" s="459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  <c r="Y318" s="458"/>
    </row>
    <row r="319" spans="1:25">
      <c r="A319" s="460"/>
      <c r="B319" s="461"/>
      <c r="C319" s="458"/>
      <c r="D319" s="459"/>
      <c r="E319" s="459"/>
      <c r="F319" s="459"/>
      <c r="G319" s="459"/>
      <c r="H319" s="459"/>
      <c r="I319" s="459"/>
      <c r="J319" s="458"/>
      <c r="K319" s="458"/>
      <c r="L319" s="458"/>
      <c r="M319" s="458"/>
      <c r="N319" s="458"/>
      <c r="O319" s="458"/>
      <c r="P319" s="458"/>
      <c r="Q319" s="458"/>
      <c r="R319" s="458"/>
      <c r="S319" s="458"/>
      <c r="T319" s="458"/>
      <c r="U319" s="458"/>
      <c r="V319" s="458"/>
      <c r="W319" s="458"/>
      <c r="X319" s="458"/>
      <c r="Y319" s="458"/>
    </row>
    <row r="320" spans="1:25">
      <c r="A320" s="460"/>
      <c r="B320" s="461"/>
      <c r="C320" s="458"/>
      <c r="D320" s="459"/>
      <c r="E320" s="459"/>
      <c r="F320" s="459"/>
      <c r="G320" s="459"/>
      <c r="H320" s="459"/>
      <c r="I320" s="459"/>
      <c r="J320" s="458"/>
      <c r="K320" s="458"/>
      <c r="L320" s="458"/>
      <c r="M320" s="458"/>
      <c r="N320" s="458"/>
      <c r="O320" s="458"/>
      <c r="P320" s="458"/>
      <c r="Q320" s="458"/>
      <c r="R320" s="458"/>
      <c r="S320" s="458"/>
      <c r="T320" s="458"/>
      <c r="U320" s="458"/>
      <c r="V320" s="458"/>
      <c r="W320" s="458"/>
      <c r="X320" s="458"/>
      <c r="Y320" s="458"/>
    </row>
    <row r="321" spans="1:25">
      <c r="A321" s="460"/>
      <c r="B321" s="461"/>
      <c r="C321" s="458"/>
      <c r="D321" s="459"/>
      <c r="E321" s="459"/>
      <c r="F321" s="459"/>
      <c r="G321" s="459"/>
      <c r="H321" s="459"/>
      <c r="I321" s="459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58"/>
    </row>
    <row r="322" spans="1:25">
      <c r="A322" s="460"/>
      <c r="B322" s="461"/>
      <c r="C322" s="458"/>
      <c r="D322" s="459"/>
      <c r="E322" s="459"/>
      <c r="F322" s="459"/>
      <c r="G322" s="459"/>
      <c r="H322" s="459"/>
      <c r="I322" s="459"/>
      <c r="J322" s="458"/>
      <c r="K322" s="458"/>
      <c r="L322" s="458"/>
      <c r="M322" s="458"/>
      <c r="N322" s="458"/>
      <c r="O322" s="458"/>
      <c r="P322" s="458"/>
      <c r="Q322" s="458"/>
      <c r="R322" s="458"/>
      <c r="S322" s="458"/>
      <c r="T322" s="458"/>
      <c r="U322" s="458"/>
      <c r="V322" s="458"/>
      <c r="W322" s="458"/>
      <c r="X322" s="458"/>
      <c r="Y322" s="458"/>
    </row>
    <row r="323" spans="1:25">
      <c r="A323" s="460"/>
      <c r="B323" s="461"/>
      <c r="C323" s="458"/>
      <c r="D323" s="459"/>
      <c r="E323" s="459"/>
      <c r="F323" s="459"/>
      <c r="G323" s="459"/>
      <c r="H323" s="459"/>
      <c r="I323" s="459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  <c r="Y323" s="458"/>
    </row>
    <row r="324" spans="1:25">
      <c r="A324" s="460"/>
      <c r="B324" s="461"/>
      <c r="C324" s="458"/>
      <c r="D324" s="459"/>
      <c r="E324" s="459"/>
      <c r="F324" s="459"/>
      <c r="G324" s="459"/>
      <c r="H324" s="459"/>
      <c r="I324" s="459"/>
      <c r="J324" s="458"/>
      <c r="K324" s="458"/>
      <c r="L324" s="458"/>
      <c r="M324" s="458"/>
      <c r="N324" s="458"/>
      <c r="O324" s="458"/>
      <c r="P324" s="458"/>
      <c r="Q324" s="458"/>
      <c r="R324" s="458"/>
      <c r="S324" s="458"/>
      <c r="T324" s="458"/>
      <c r="U324" s="458"/>
      <c r="V324" s="458"/>
      <c r="W324" s="458"/>
      <c r="X324" s="458"/>
      <c r="Y324" s="458"/>
    </row>
    <row r="325" spans="1:25">
      <c r="A325" s="460"/>
      <c r="B325" s="461"/>
      <c r="C325" s="458"/>
      <c r="D325" s="459"/>
      <c r="E325" s="459"/>
      <c r="F325" s="459"/>
      <c r="G325" s="459"/>
      <c r="H325" s="459"/>
      <c r="I325" s="459"/>
      <c r="J325" s="458"/>
      <c r="K325" s="458"/>
      <c r="L325" s="458"/>
      <c r="M325" s="458"/>
      <c r="N325" s="458"/>
      <c r="O325" s="458"/>
      <c r="P325" s="458"/>
      <c r="Q325" s="458"/>
      <c r="R325" s="458"/>
      <c r="S325" s="458"/>
      <c r="T325" s="458"/>
      <c r="U325" s="458"/>
      <c r="V325" s="458"/>
      <c r="W325" s="458"/>
      <c r="X325" s="458"/>
      <c r="Y325" s="458"/>
    </row>
    <row r="326" spans="1:25">
      <c r="A326" s="460"/>
      <c r="B326" s="461"/>
      <c r="C326" s="458"/>
      <c r="D326" s="459"/>
      <c r="E326" s="459"/>
      <c r="F326" s="459"/>
      <c r="G326" s="459"/>
      <c r="H326" s="459"/>
      <c r="I326" s="459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  <c r="Y326" s="458"/>
    </row>
    <row r="327" spans="1:25">
      <c r="A327" s="460"/>
      <c r="B327" s="461"/>
      <c r="C327" s="458"/>
      <c r="D327" s="459"/>
      <c r="E327" s="459"/>
      <c r="F327" s="459"/>
      <c r="G327" s="459"/>
      <c r="H327" s="459"/>
      <c r="I327" s="459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  <c r="Y327" s="458"/>
    </row>
    <row r="328" spans="1:25">
      <c r="A328" s="460"/>
      <c r="B328" s="461"/>
      <c r="C328" s="458"/>
      <c r="D328" s="459"/>
      <c r="E328" s="459"/>
      <c r="F328" s="459"/>
      <c r="G328" s="459"/>
      <c r="H328" s="459"/>
      <c r="I328" s="459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  <c r="Y328" s="458"/>
    </row>
    <row r="329" spans="1:25">
      <c r="A329" s="460"/>
      <c r="B329" s="461"/>
      <c r="C329" s="458"/>
      <c r="D329" s="459"/>
      <c r="E329" s="459"/>
      <c r="F329" s="459"/>
      <c r="G329" s="459"/>
      <c r="H329" s="459"/>
      <c r="I329" s="459"/>
      <c r="J329" s="458"/>
      <c r="K329" s="458"/>
      <c r="L329" s="458"/>
      <c r="M329" s="458"/>
      <c r="N329" s="458"/>
      <c r="O329" s="458"/>
      <c r="P329" s="458"/>
      <c r="Q329" s="458"/>
      <c r="R329" s="458"/>
      <c r="S329" s="458"/>
      <c r="T329" s="458"/>
      <c r="U329" s="458"/>
      <c r="V329" s="458"/>
      <c r="W329" s="458"/>
      <c r="X329" s="458"/>
      <c r="Y329" s="458"/>
    </row>
    <row r="330" spans="1:25">
      <c r="A330" s="460"/>
      <c r="B330" s="461"/>
      <c r="C330" s="458"/>
      <c r="D330" s="459"/>
      <c r="E330" s="459"/>
      <c r="F330" s="459"/>
      <c r="G330" s="459"/>
      <c r="H330" s="459"/>
      <c r="I330" s="459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  <c r="Y330" s="458"/>
    </row>
    <row r="331" spans="1:25">
      <c r="A331" s="460"/>
      <c r="B331" s="461"/>
      <c r="C331" s="458"/>
      <c r="D331" s="459"/>
      <c r="E331" s="459"/>
      <c r="F331" s="459"/>
      <c r="G331" s="459"/>
      <c r="H331" s="459"/>
      <c r="I331" s="459"/>
      <c r="J331" s="458"/>
      <c r="K331" s="458"/>
      <c r="L331" s="458"/>
      <c r="M331" s="458"/>
      <c r="N331" s="458"/>
      <c r="O331" s="458"/>
      <c r="P331" s="458"/>
      <c r="Q331" s="458"/>
      <c r="R331" s="458"/>
      <c r="S331" s="458"/>
      <c r="T331" s="458"/>
      <c r="U331" s="458"/>
      <c r="V331" s="458"/>
      <c r="W331" s="458"/>
      <c r="X331" s="458"/>
      <c r="Y331" s="458"/>
    </row>
    <row r="332" spans="1:25">
      <c r="A332" s="460"/>
      <c r="B332" s="461"/>
      <c r="C332" s="458"/>
      <c r="D332" s="459"/>
      <c r="E332" s="459"/>
      <c r="F332" s="459"/>
      <c r="G332" s="459"/>
      <c r="H332" s="459"/>
      <c r="I332" s="459"/>
      <c r="J332" s="458"/>
      <c r="K332" s="458"/>
      <c r="L332" s="458"/>
      <c r="M332" s="458"/>
      <c r="N332" s="458"/>
      <c r="O332" s="458"/>
      <c r="P332" s="458"/>
      <c r="Q332" s="458"/>
      <c r="R332" s="458"/>
      <c r="S332" s="458"/>
      <c r="T332" s="458"/>
      <c r="U332" s="458"/>
      <c r="V332" s="458"/>
      <c r="W332" s="458"/>
      <c r="X332" s="458"/>
      <c r="Y332" s="458"/>
    </row>
    <row r="333" spans="1:25">
      <c r="A333" s="460"/>
      <c r="B333" s="461"/>
      <c r="C333" s="458"/>
      <c r="D333" s="459"/>
      <c r="E333" s="459"/>
      <c r="F333" s="459"/>
      <c r="G333" s="459"/>
      <c r="H333" s="459"/>
      <c r="I333" s="459"/>
      <c r="J333" s="458"/>
      <c r="K333" s="458"/>
      <c r="L333" s="458"/>
      <c r="M333" s="458"/>
      <c r="N333" s="458"/>
      <c r="O333" s="458"/>
      <c r="P333" s="458"/>
      <c r="Q333" s="458"/>
      <c r="R333" s="458"/>
      <c r="S333" s="458"/>
      <c r="T333" s="458"/>
      <c r="U333" s="458"/>
      <c r="V333" s="458"/>
      <c r="W333" s="458"/>
      <c r="X333" s="458"/>
      <c r="Y333" s="458"/>
    </row>
    <row r="334" spans="1:25">
      <c r="A334" s="460"/>
      <c r="B334" s="461"/>
      <c r="C334" s="458"/>
      <c r="D334" s="459"/>
      <c r="E334" s="459"/>
      <c r="F334" s="459"/>
      <c r="G334" s="459"/>
      <c r="H334" s="459"/>
      <c r="I334" s="459"/>
      <c r="J334" s="458"/>
      <c r="K334" s="458"/>
      <c r="L334" s="458"/>
      <c r="M334" s="458"/>
      <c r="N334" s="458"/>
      <c r="O334" s="458"/>
      <c r="P334" s="458"/>
      <c r="Q334" s="458"/>
      <c r="R334" s="458"/>
      <c r="S334" s="458"/>
      <c r="T334" s="458"/>
      <c r="U334" s="458"/>
      <c r="V334" s="458"/>
      <c r="W334" s="458"/>
      <c r="X334" s="458"/>
      <c r="Y334" s="458"/>
    </row>
    <row r="335" spans="1:25">
      <c r="A335" s="460"/>
      <c r="B335" s="461"/>
      <c r="C335" s="458"/>
      <c r="D335" s="459"/>
      <c r="E335" s="459"/>
      <c r="F335" s="459"/>
      <c r="G335" s="459"/>
      <c r="H335" s="459"/>
      <c r="I335" s="459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  <c r="Y335" s="458"/>
    </row>
    <row r="336" spans="1:25">
      <c r="A336" s="460"/>
      <c r="B336" s="461"/>
      <c r="C336" s="458"/>
      <c r="D336" s="459"/>
      <c r="E336" s="459"/>
      <c r="F336" s="459"/>
      <c r="G336" s="459"/>
      <c r="H336" s="459"/>
      <c r="I336" s="459"/>
      <c r="J336" s="458"/>
      <c r="K336" s="458"/>
      <c r="L336" s="458"/>
      <c r="M336" s="458"/>
      <c r="N336" s="458"/>
      <c r="O336" s="458"/>
      <c r="P336" s="458"/>
      <c r="Q336" s="458"/>
      <c r="R336" s="458"/>
      <c r="S336" s="458"/>
      <c r="T336" s="458"/>
      <c r="U336" s="458"/>
      <c r="V336" s="458"/>
      <c r="W336" s="458"/>
      <c r="X336" s="458"/>
      <c r="Y336" s="458"/>
    </row>
    <row r="337" spans="1:25">
      <c r="A337" s="460"/>
      <c r="B337" s="461"/>
      <c r="C337" s="458"/>
      <c r="D337" s="459"/>
      <c r="E337" s="459"/>
      <c r="F337" s="459"/>
      <c r="G337" s="459"/>
      <c r="H337" s="459"/>
      <c r="I337" s="459"/>
      <c r="J337" s="458"/>
      <c r="K337" s="458"/>
      <c r="L337" s="458"/>
      <c r="M337" s="458"/>
      <c r="N337" s="458"/>
      <c r="O337" s="458"/>
      <c r="P337" s="458"/>
      <c r="Q337" s="458"/>
      <c r="R337" s="458"/>
      <c r="S337" s="458"/>
      <c r="T337" s="458"/>
      <c r="U337" s="458"/>
      <c r="V337" s="458"/>
      <c r="W337" s="458"/>
      <c r="X337" s="458"/>
      <c r="Y337" s="458"/>
    </row>
    <row r="338" spans="1:25">
      <c r="A338" s="460"/>
      <c r="B338" s="461"/>
      <c r="C338" s="458"/>
      <c r="D338" s="459"/>
      <c r="E338" s="459"/>
      <c r="F338" s="459"/>
      <c r="G338" s="459"/>
      <c r="H338" s="459"/>
      <c r="I338" s="459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  <c r="Y338" s="458"/>
    </row>
    <row r="339" spans="1:25">
      <c r="A339" s="460"/>
      <c r="B339" s="461"/>
      <c r="C339" s="458"/>
      <c r="D339" s="459"/>
      <c r="E339" s="459"/>
      <c r="F339" s="459"/>
      <c r="G339" s="459"/>
      <c r="H339" s="459"/>
      <c r="I339" s="459"/>
      <c r="J339" s="458"/>
      <c r="K339" s="458"/>
      <c r="L339" s="458"/>
      <c r="M339" s="458"/>
      <c r="N339" s="458"/>
      <c r="O339" s="458"/>
      <c r="P339" s="458"/>
      <c r="Q339" s="458"/>
      <c r="R339" s="458"/>
      <c r="S339" s="458"/>
      <c r="T339" s="458"/>
      <c r="U339" s="458"/>
      <c r="V339" s="458"/>
      <c r="W339" s="458"/>
      <c r="X339" s="458"/>
      <c r="Y339" s="458"/>
    </row>
    <row r="340" spans="1:25">
      <c r="A340" s="460"/>
      <c r="B340" s="461"/>
      <c r="C340" s="458"/>
      <c r="D340" s="459"/>
      <c r="E340" s="459"/>
      <c r="F340" s="459"/>
      <c r="G340" s="459"/>
      <c r="H340" s="459"/>
      <c r="I340" s="459"/>
      <c r="J340" s="458"/>
      <c r="K340" s="458"/>
      <c r="L340" s="458"/>
      <c r="M340" s="458"/>
      <c r="N340" s="458"/>
      <c r="O340" s="458"/>
      <c r="P340" s="458"/>
      <c r="Q340" s="458"/>
      <c r="R340" s="458"/>
      <c r="S340" s="458"/>
      <c r="T340" s="458"/>
      <c r="U340" s="458"/>
      <c r="V340" s="458"/>
      <c r="W340" s="458"/>
      <c r="X340" s="458"/>
      <c r="Y340" s="458"/>
    </row>
    <row r="341" spans="1:25">
      <c r="A341" s="460"/>
      <c r="B341" s="461"/>
      <c r="C341" s="458"/>
      <c r="D341" s="459"/>
      <c r="E341" s="459"/>
      <c r="F341" s="459"/>
      <c r="G341" s="459"/>
      <c r="H341" s="459"/>
      <c r="I341" s="459"/>
      <c r="J341" s="458"/>
      <c r="K341" s="458"/>
      <c r="L341" s="458"/>
      <c r="M341" s="458"/>
      <c r="N341" s="458"/>
      <c r="O341" s="458"/>
      <c r="P341" s="458"/>
      <c r="Q341" s="458"/>
      <c r="R341" s="458"/>
      <c r="S341" s="458"/>
      <c r="T341" s="458"/>
      <c r="U341" s="458"/>
      <c r="V341" s="458"/>
      <c r="W341" s="458"/>
      <c r="X341" s="458"/>
      <c r="Y341" s="458"/>
    </row>
    <row r="342" spans="1:25">
      <c r="A342" s="460"/>
      <c r="B342" s="461"/>
      <c r="C342" s="458"/>
      <c r="D342" s="459"/>
      <c r="E342" s="459"/>
      <c r="F342" s="459"/>
      <c r="G342" s="459"/>
      <c r="H342" s="459"/>
      <c r="I342" s="459"/>
      <c r="J342" s="458"/>
      <c r="K342" s="458"/>
      <c r="L342" s="458"/>
      <c r="M342" s="458"/>
      <c r="N342" s="458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  <c r="Y342" s="458"/>
    </row>
    <row r="343" spans="1:25">
      <c r="A343" s="460"/>
      <c r="B343" s="461"/>
      <c r="C343" s="458"/>
      <c r="D343" s="459"/>
      <c r="E343" s="459"/>
      <c r="F343" s="459"/>
      <c r="G343" s="459"/>
      <c r="H343" s="459"/>
      <c r="I343" s="459"/>
      <c r="J343" s="458"/>
      <c r="K343" s="458"/>
      <c r="L343" s="458"/>
      <c r="M343" s="458"/>
      <c r="N343" s="458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  <c r="Y343" s="458"/>
    </row>
    <row r="344" spans="1:25">
      <c r="A344" s="460"/>
      <c r="B344" s="461"/>
      <c r="C344" s="458"/>
      <c r="D344" s="459"/>
      <c r="E344" s="459"/>
      <c r="F344" s="459"/>
      <c r="G344" s="459"/>
      <c r="H344" s="459"/>
      <c r="I344" s="459"/>
      <c r="J344" s="458"/>
      <c r="K344" s="458"/>
      <c r="L344" s="458"/>
      <c r="M344" s="458"/>
      <c r="N344" s="458"/>
      <c r="O344" s="458"/>
      <c r="P344" s="458"/>
      <c r="Q344" s="458"/>
      <c r="R344" s="458"/>
      <c r="S344" s="458"/>
      <c r="T344" s="458"/>
      <c r="U344" s="458"/>
      <c r="V344" s="458"/>
      <c r="W344" s="458"/>
      <c r="X344" s="458"/>
      <c r="Y344" s="458"/>
    </row>
    <row r="345" spans="1:25">
      <c r="A345" s="460"/>
      <c r="B345" s="461"/>
      <c r="C345" s="458"/>
      <c r="D345" s="459"/>
      <c r="E345" s="459"/>
      <c r="F345" s="459"/>
      <c r="G345" s="459"/>
      <c r="H345" s="459"/>
      <c r="I345" s="459"/>
      <c r="J345" s="458"/>
      <c r="K345" s="458"/>
      <c r="L345" s="458"/>
      <c r="M345" s="458"/>
      <c r="N345" s="458"/>
      <c r="O345" s="458"/>
      <c r="P345" s="458"/>
      <c r="Q345" s="458"/>
      <c r="R345" s="458"/>
      <c r="S345" s="458"/>
      <c r="T345" s="458"/>
      <c r="U345" s="458"/>
      <c r="V345" s="458"/>
      <c r="W345" s="458"/>
      <c r="X345" s="458"/>
      <c r="Y345" s="458"/>
    </row>
    <row r="346" spans="1:25">
      <c r="A346" s="460"/>
      <c r="B346" s="461"/>
      <c r="C346" s="458"/>
      <c r="D346" s="459"/>
      <c r="E346" s="459"/>
      <c r="F346" s="459"/>
      <c r="G346" s="459"/>
      <c r="H346" s="459"/>
      <c r="I346" s="459"/>
      <c r="J346" s="458"/>
      <c r="K346" s="458"/>
      <c r="L346" s="458"/>
      <c r="M346" s="458"/>
      <c r="N346" s="458"/>
      <c r="O346" s="458"/>
      <c r="P346" s="458"/>
      <c r="Q346" s="458"/>
      <c r="R346" s="458"/>
      <c r="S346" s="458"/>
      <c r="T346" s="458"/>
      <c r="U346" s="458"/>
      <c r="V346" s="458"/>
      <c r="W346" s="458"/>
      <c r="X346" s="458"/>
      <c r="Y346" s="458"/>
    </row>
    <row r="347" spans="1:25">
      <c r="A347" s="460"/>
      <c r="B347" s="461"/>
      <c r="C347" s="458"/>
      <c r="D347" s="459"/>
      <c r="E347" s="459"/>
      <c r="F347" s="459"/>
      <c r="G347" s="459"/>
      <c r="H347" s="459"/>
      <c r="I347" s="459"/>
      <c r="J347" s="458"/>
      <c r="K347" s="458"/>
      <c r="L347" s="458"/>
      <c r="M347" s="458"/>
      <c r="N347" s="458"/>
      <c r="O347" s="458"/>
      <c r="P347" s="458"/>
      <c r="Q347" s="458"/>
      <c r="R347" s="458"/>
      <c r="S347" s="458"/>
      <c r="T347" s="458"/>
      <c r="U347" s="458"/>
      <c r="V347" s="458"/>
      <c r="W347" s="458"/>
      <c r="X347" s="458"/>
      <c r="Y347" s="458"/>
    </row>
    <row r="348" spans="1:25">
      <c r="A348" s="460"/>
      <c r="B348" s="461"/>
      <c r="C348" s="458"/>
      <c r="D348" s="459"/>
      <c r="E348" s="459"/>
      <c r="F348" s="459"/>
      <c r="G348" s="459"/>
      <c r="H348" s="459"/>
      <c r="I348" s="459"/>
      <c r="J348" s="458"/>
      <c r="K348" s="458"/>
      <c r="L348" s="458"/>
      <c r="M348" s="458"/>
      <c r="N348" s="458"/>
      <c r="O348" s="458"/>
      <c r="P348" s="458"/>
      <c r="Q348" s="458"/>
      <c r="R348" s="458"/>
      <c r="S348" s="458"/>
      <c r="T348" s="458"/>
      <c r="U348" s="458"/>
      <c r="V348" s="458"/>
      <c r="W348" s="458"/>
      <c r="X348" s="458"/>
      <c r="Y348" s="458"/>
    </row>
    <row r="349" spans="1:25">
      <c r="A349" s="460"/>
      <c r="B349" s="461"/>
      <c r="C349" s="458"/>
      <c r="D349" s="459"/>
      <c r="E349" s="459"/>
      <c r="F349" s="459"/>
      <c r="G349" s="459"/>
      <c r="H349" s="459"/>
      <c r="I349" s="459"/>
      <c r="J349" s="458"/>
      <c r="K349" s="458"/>
      <c r="L349" s="458"/>
      <c r="M349" s="458"/>
      <c r="N349" s="458"/>
      <c r="O349" s="458"/>
      <c r="P349" s="458"/>
      <c r="Q349" s="458"/>
      <c r="R349" s="458"/>
      <c r="S349" s="458"/>
      <c r="T349" s="458"/>
      <c r="U349" s="458"/>
      <c r="V349" s="458"/>
      <c r="W349" s="458"/>
      <c r="X349" s="458"/>
      <c r="Y349" s="458"/>
    </row>
    <row r="350" spans="1:25">
      <c r="A350" s="460"/>
      <c r="B350" s="461"/>
      <c r="C350" s="458"/>
      <c r="D350" s="459"/>
      <c r="E350" s="459"/>
      <c r="F350" s="459"/>
      <c r="G350" s="459"/>
      <c r="H350" s="459"/>
      <c r="I350" s="459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  <c r="Y350" s="458"/>
    </row>
    <row r="351" spans="1:25">
      <c r="A351" s="460"/>
      <c r="B351" s="461"/>
      <c r="C351" s="458"/>
      <c r="D351" s="459"/>
      <c r="E351" s="459"/>
      <c r="F351" s="459"/>
      <c r="G351" s="459"/>
      <c r="H351" s="459"/>
      <c r="I351" s="459"/>
      <c r="J351" s="458"/>
      <c r="K351" s="458"/>
      <c r="L351" s="458"/>
      <c r="M351" s="458"/>
      <c r="N351" s="458"/>
      <c r="O351" s="458"/>
      <c r="P351" s="458"/>
      <c r="Q351" s="458"/>
      <c r="R351" s="458"/>
      <c r="S351" s="458"/>
      <c r="T351" s="458"/>
      <c r="U351" s="458"/>
      <c r="V351" s="458"/>
      <c r="W351" s="458"/>
      <c r="X351" s="458"/>
      <c r="Y351" s="458"/>
    </row>
    <row r="352" spans="1:25">
      <c r="A352" s="460"/>
      <c r="B352" s="461"/>
      <c r="C352" s="458"/>
      <c r="D352" s="459"/>
      <c r="E352" s="459"/>
      <c r="F352" s="459"/>
      <c r="G352" s="459"/>
      <c r="H352" s="459"/>
      <c r="I352" s="459"/>
      <c r="J352" s="458"/>
      <c r="K352" s="458"/>
      <c r="L352" s="458"/>
      <c r="M352" s="458"/>
      <c r="N352" s="458"/>
      <c r="O352" s="458"/>
      <c r="P352" s="458"/>
      <c r="Q352" s="458"/>
      <c r="R352" s="458"/>
      <c r="S352" s="458"/>
      <c r="T352" s="458"/>
      <c r="U352" s="458"/>
      <c r="V352" s="458"/>
      <c r="W352" s="458"/>
      <c r="X352" s="458"/>
      <c r="Y352" s="458"/>
    </row>
    <row r="353" spans="1:25">
      <c r="A353" s="460"/>
      <c r="B353" s="461"/>
      <c r="C353" s="458"/>
      <c r="D353" s="459"/>
      <c r="E353" s="459"/>
      <c r="F353" s="459"/>
      <c r="G353" s="459"/>
      <c r="H353" s="459"/>
      <c r="I353" s="459"/>
      <c r="J353" s="458"/>
      <c r="K353" s="458"/>
      <c r="L353" s="458"/>
      <c r="M353" s="458"/>
      <c r="N353" s="458"/>
      <c r="O353" s="458"/>
      <c r="P353" s="458"/>
      <c r="Q353" s="458"/>
      <c r="R353" s="458"/>
      <c r="S353" s="458"/>
      <c r="T353" s="458"/>
      <c r="U353" s="458"/>
      <c r="V353" s="458"/>
      <c r="W353" s="458"/>
      <c r="X353" s="458"/>
      <c r="Y353" s="458"/>
    </row>
    <row r="354" spans="1:25">
      <c r="A354" s="460"/>
      <c r="B354" s="461"/>
      <c r="C354" s="458"/>
      <c r="D354" s="459"/>
      <c r="E354" s="459"/>
      <c r="F354" s="459"/>
      <c r="G354" s="459"/>
      <c r="H354" s="459"/>
      <c r="I354" s="459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  <c r="Y354" s="458"/>
    </row>
    <row r="355" spans="1:25">
      <c r="A355" s="460"/>
      <c r="B355" s="461"/>
      <c r="C355" s="458"/>
      <c r="D355" s="459"/>
      <c r="E355" s="459"/>
      <c r="F355" s="459"/>
      <c r="G355" s="459"/>
      <c r="H355" s="459"/>
      <c r="I355" s="459"/>
      <c r="J355" s="458"/>
      <c r="K355" s="458"/>
      <c r="L355" s="458"/>
      <c r="M355" s="458"/>
      <c r="N355" s="458"/>
      <c r="O355" s="458"/>
      <c r="P355" s="458"/>
      <c r="Q355" s="458"/>
      <c r="R355" s="458"/>
      <c r="S355" s="458"/>
      <c r="T355" s="458"/>
      <c r="U355" s="458"/>
      <c r="V355" s="458"/>
      <c r="W355" s="458"/>
      <c r="X355" s="458"/>
      <c r="Y355" s="458"/>
    </row>
    <row r="356" spans="1:25">
      <c r="A356" s="460"/>
      <c r="B356" s="461"/>
      <c r="C356" s="458"/>
      <c r="D356" s="459"/>
      <c r="E356" s="459"/>
      <c r="F356" s="459"/>
      <c r="G356" s="459"/>
      <c r="H356" s="459"/>
      <c r="I356" s="459"/>
      <c r="J356" s="458"/>
      <c r="K356" s="458"/>
      <c r="L356" s="458"/>
      <c r="M356" s="458"/>
      <c r="N356" s="458"/>
      <c r="O356" s="458"/>
      <c r="P356" s="458"/>
      <c r="Q356" s="458"/>
      <c r="R356" s="458"/>
      <c r="S356" s="458"/>
      <c r="T356" s="458"/>
      <c r="U356" s="458"/>
      <c r="V356" s="458"/>
      <c r="W356" s="458"/>
      <c r="X356" s="458"/>
      <c r="Y356" s="458"/>
    </row>
    <row r="357" spans="1:25">
      <c r="A357" s="460"/>
      <c r="B357" s="461"/>
      <c r="C357" s="458"/>
      <c r="D357" s="459"/>
      <c r="E357" s="459"/>
      <c r="F357" s="459"/>
      <c r="G357" s="459"/>
      <c r="H357" s="459"/>
      <c r="I357" s="459"/>
      <c r="J357" s="458"/>
      <c r="K357" s="458"/>
      <c r="L357" s="458"/>
      <c r="M357" s="458"/>
      <c r="N357" s="458"/>
      <c r="O357" s="458"/>
      <c r="P357" s="458"/>
      <c r="Q357" s="458"/>
      <c r="R357" s="458"/>
      <c r="S357" s="458"/>
      <c r="T357" s="458"/>
      <c r="U357" s="458"/>
      <c r="V357" s="458"/>
      <c r="W357" s="458"/>
      <c r="X357" s="458"/>
      <c r="Y357" s="458"/>
    </row>
    <row r="358" spans="1:25">
      <c r="A358" s="460"/>
      <c r="B358" s="461"/>
      <c r="C358" s="458"/>
      <c r="D358" s="459"/>
      <c r="E358" s="459"/>
      <c r="F358" s="459"/>
      <c r="G358" s="459"/>
      <c r="H358" s="459"/>
      <c r="I358" s="459"/>
      <c r="J358" s="458"/>
      <c r="K358" s="458"/>
      <c r="L358" s="458"/>
      <c r="M358" s="458"/>
      <c r="N358" s="458"/>
      <c r="O358" s="458"/>
      <c r="P358" s="458"/>
      <c r="Q358" s="458"/>
      <c r="R358" s="458"/>
      <c r="S358" s="458"/>
      <c r="T358" s="458"/>
      <c r="U358" s="458"/>
      <c r="V358" s="458"/>
      <c r="W358" s="458"/>
      <c r="X358" s="458"/>
      <c r="Y358" s="458"/>
    </row>
    <row r="359" spans="1:25">
      <c r="A359" s="460"/>
      <c r="B359" s="461"/>
      <c r="C359" s="458"/>
      <c r="D359" s="459"/>
      <c r="E359" s="459"/>
      <c r="F359" s="459"/>
      <c r="G359" s="459"/>
      <c r="H359" s="459"/>
      <c r="I359" s="459"/>
      <c r="J359" s="458"/>
      <c r="K359" s="458"/>
      <c r="L359" s="458"/>
      <c r="M359" s="458"/>
      <c r="N359" s="458"/>
      <c r="O359" s="458"/>
      <c r="P359" s="458"/>
      <c r="Q359" s="458"/>
      <c r="R359" s="458"/>
      <c r="S359" s="458"/>
      <c r="T359" s="458"/>
      <c r="U359" s="458"/>
      <c r="V359" s="458"/>
      <c r="W359" s="458"/>
      <c r="X359" s="458"/>
      <c r="Y359" s="458"/>
    </row>
    <row r="360" spans="1:25">
      <c r="A360" s="460"/>
      <c r="B360" s="461"/>
      <c r="C360" s="458"/>
      <c r="D360" s="459"/>
      <c r="E360" s="459"/>
      <c r="F360" s="459"/>
      <c r="G360" s="459"/>
      <c r="H360" s="459"/>
      <c r="I360" s="459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  <c r="Y360" s="458"/>
    </row>
    <row r="361" spans="1:25">
      <c r="A361" s="460"/>
      <c r="B361" s="461"/>
      <c r="C361" s="458"/>
      <c r="D361" s="459"/>
      <c r="E361" s="459"/>
      <c r="F361" s="459"/>
      <c r="G361" s="459"/>
      <c r="H361" s="459"/>
      <c r="I361" s="459"/>
      <c r="J361" s="458"/>
      <c r="K361" s="458"/>
      <c r="L361" s="458"/>
      <c r="M361" s="458"/>
      <c r="N361" s="458"/>
      <c r="O361" s="458"/>
      <c r="P361" s="458"/>
      <c r="Q361" s="458"/>
      <c r="R361" s="458"/>
      <c r="S361" s="458"/>
      <c r="T361" s="458"/>
      <c r="U361" s="458"/>
      <c r="V361" s="458"/>
      <c r="W361" s="458"/>
      <c r="X361" s="458"/>
      <c r="Y361" s="458"/>
    </row>
    <row r="362" spans="1:25">
      <c r="A362" s="460"/>
      <c r="B362" s="461"/>
      <c r="C362" s="458"/>
      <c r="D362" s="459"/>
      <c r="E362" s="459"/>
      <c r="F362" s="459"/>
      <c r="G362" s="459"/>
      <c r="H362" s="459"/>
      <c r="I362" s="459"/>
      <c r="J362" s="458"/>
      <c r="K362" s="458"/>
      <c r="L362" s="458"/>
      <c r="M362" s="458"/>
      <c r="N362" s="458"/>
      <c r="O362" s="458"/>
      <c r="P362" s="458"/>
      <c r="Q362" s="458"/>
      <c r="R362" s="458"/>
      <c r="S362" s="458"/>
      <c r="T362" s="458"/>
      <c r="U362" s="458"/>
      <c r="V362" s="458"/>
      <c r="W362" s="458"/>
      <c r="X362" s="458"/>
      <c r="Y362" s="458"/>
    </row>
    <row r="363" spans="1:25">
      <c r="A363" s="460"/>
      <c r="B363" s="461"/>
      <c r="C363" s="458"/>
      <c r="D363" s="459"/>
      <c r="E363" s="459"/>
      <c r="F363" s="459"/>
      <c r="G363" s="459"/>
      <c r="H363" s="459"/>
      <c r="I363" s="459"/>
      <c r="J363" s="458"/>
      <c r="K363" s="458"/>
      <c r="L363" s="458"/>
      <c r="M363" s="458"/>
      <c r="N363" s="458"/>
      <c r="O363" s="458"/>
      <c r="P363" s="458"/>
      <c r="Q363" s="458"/>
      <c r="R363" s="458"/>
      <c r="S363" s="458"/>
      <c r="T363" s="458"/>
      <c r="U363" s="458"/>
      <c r="V363" s="458"/>
      <c r="W363" s="458"/>
      <c r="X363" s="458"/>
      <c r="Y363" s="458"/>
    </row>
    <row r="364" spans="1:25">
      <c r="A364" s="460"/>
      <c r="B364" s="461"/>
      <c r="C364" s="458"/>
      <c r="D364" s="459"/>
      <c r="E364" s="459"/>
      <c r="F364" s="459"/>
      <c r="G364" s="459"/>
      <c r="H364" s="459"/>
      <c r="I364" s="459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  <c r="Y364" s="458"/>
    </row>
    <row r="365" spans="1:25">
      <c r="A365" s="460"/>
      <c r="B365" s="461"/>
      <c r="C365" s="458"/>
      <c r="D365" s="459"/>
      <c r="E365" s="459"/>
      <c r="F365" s="459"/>
      <c r="G365" s="459"/>
      <c r="H365" s="459"/>
      <c r="I365" s="459"/>
      <c r="J365" s="458"/>
      <c r="K365" s="458"/>
      <c r="L365" s="458"/>
      <c r="M365" s="458"/>
      <c r="N365" s="458"/>
      <c r="O365" s="458"/>
      <c r="P365" s="458"/>
      <c r="Q365" s="458"/>
      <c r="R365" s="458"/>
      <c r="S365" s="458"/>
      <c r="T365" s="458"/>
      <c r="U365" s="458"/>
      <c r="V365" s="458"/>
      <c r="W365" s="458"/>
      <c r="X365" s="458"/>
      <c r="Y365" s="458"/>
    </row>
    <row r="366" spans="1:25">
      <c r="A366" s="460"/>
      <c r="B366" s="461"/>
      <c r="C366" s="458"/>
      <c r="D366" s="459"/>
      <c r="E366" s="459"/>
      <c r="F366" s="459"/>
      <c r="G366" s="459"/>
      <c r="H366" s="459"/>
      <c r="I366" s="459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  <c r="Y366" s="458"/>
    </row>
    <row r="367" spans="1:25">
      <c r="A367" s="460"/>
      <c r="B367" s="461"/>
      <c r="C367" s="458"/>
      <c r="D367" s="459"/>
      <c r="E367" s="459"/>
      <c r="F367" s="459"/>
      <c r="G367" s="459"/>
      <c r="H367" s="459"/>
      <c r="I367" s="459"/>
      <c r="J367" s="458"/>
      <c r="K367" s="458"/>
      <c r="L367" s="458"/>
      <c r="M367" s="458"/>
      <c r="N367" s="458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  <c r="Y367" s="458"/>
    </row>
    <row r="368" spans="1:25">
      <c r="A368" s="460"/>
      <c r="B368" s="461"/>
      <c r="C368" s="458"/>
      <c r="D368" s="459"/>
      <c r="E368" s="459"/>
      <c r="F368" s="459"/>
      <c r="G368" s="459"/>
      <c r="H368" s="459"/>
      <c r="I368" s="459"/>
      <c r="J368" s="458"/>
      <c r="K368" s="458"/>
      <c r="L368" s="458"/>
      <c r="M368" s="458"/>
      <c r="N368" s="458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  <c r="Y368" s="458"/>
    </row>
    <row r="369" spans="1:25">
      <c r="A369" s="460"/>
      <c r="B369" s="461"/>
      <c r="C369" s="458"/>
      <c r="D369" s="459"/>
      <c r="E369" s="459"/>
      <c r="F369" s="459"/>
      <c r="G369" s="459"/>
      <c r="H369" s="459"/>
      <c r="I369" s="459"/>
      <c r="J369" s="458"/>
      <c r="K369" s="458"/>
      <c r="L369" s="458"/>
      <c r="M369" s="458"/>
      <c r="N369" s="458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  <c r="Y369" s="458"/>
    </row>
    <row r="370" spans="1:25">
      <c r="A370" s="460"/>
      <c r="B370" s="461"/>
      <c r="C370" s="458"/>
      <c r="D370" s="459"/>
      <c r="E370" s="459"/>
      <c r="F370" s="459"/>
      <c r="G370" s="459"/>
      <c r="H370" s="459"/>
      <c r="I370" s="459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  <c r="Y370" s="458"/>
    </row>
    <row r="371" spans="1:25">
      <c r="A371" s="460"/>
      <c r="B371" s="461"/>
      <c r="C371" s="458"/>
      <c r="D371" s="459"/>
      <c r="E371" s="459"/>
      <c r="F371" s="459"/>
      <c r="G371" s="459"/>
      <c r="H371" s="459"/>
      <c r="I371" s="459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  <c r="Y371" s="458"/>
    </row>
    <row r="372" spans="1:25">
      <c r="A372" s="460"/>
      <c r="B372" s="461"/>
      <c r="C372" s="458"/>
      <c r="D372" s="459"/>
      <c r="E372" s="459"/>
      <c r="F372" s="459"/>
      <c r="G372" s="459"/>
      <c r="H372" s="459"/>
      <c r="I372" s="459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  <c r="Y372" s="458"/>
    </row>
    <row r="373" spans="1:25">
      <c r="A373" s="460"/>
      <c r="B373" s="461"/>
      <c r="C373" s="458"/>
      <c r="D373" s="459"/>
      <c r="E373" s="459"/>
      <c r="F373" s="459"/>
      <c r="G373" s="459"/>
      <c r="H373" s="459"/>
      <c r="I373" s="459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58"/>
    </row>
    <row r="374" spans="1:25">
      <c r="A374" s="460"/>
      <c r="B374" s="461"/>
      <c r="C374" s="458"/>
      <c r="D374" s="459"/>
      <c r="E374" s="459"/>
      <c r="F374" s="459"/>
      <c r="G374" s="459"/>
      <c r="H374" s="459"/>
      <c r="I374" s="459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</row>
    <row r="375" spans="1:25">
      <c r="A375" s="460"/>
      <c r="B375" s="461"/>
      <c r="C375" s="458"/>
      <c r="D375" s="459"/>
      <c r="E375" s="459"/>
      <c r="F375" s="459"/>
      <c r="G375" s="459"/>
      <c r="H375" s="459"/>
      <c r="I375" s="459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  <c r="Y375" s="458"/>
    </row>
    <row r="376" spans="1:25">
      <c r="A376" s="460"/>
      <c r="B376" s="461"/>
      <c r="C376" s="458"/>
      <c r="D376" s="459"/>
      <c r="E376" s="459"/>
      <c r="F376" s="459"/>
      <c r="G376" s="459"/>
      <c r="H376" s="459"/>
      <c r="I376" s="459"/>
      <c r="J376" s="458"/>
      <c r="K376" s="458"/>
      <c r="L376" s="458"/>
      <c r="M376" s="458"/>
      <c r="N376" s="458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  <c r="Y376" s="458"/>
    </row>
    <row r="377" spans="1:25">
      <c r="A377" s="460"/>
      <c r="B377" s="461"/>
      <c r="C377" s="458"/>
      <c r="D377" s="459"/>
      <c r="E377" s="459"/>
      <c r="F377" s="459"/>
      <c r="G377" s="459"/>
      <c r="H377" s="459"/>
      <c r="I377" s="459"/>
      <c r="J377" s="458"/>
      <c r="K377" s="458"/>
      <c r="L377" s="458"/>
      <c r="M377" s="458"/>
      <c r="N377" s="458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  <c r="Y377" s="458"/>
    </row>
    <row r="378" spans="1:25">
      <c r="A378" s="460"/>
      <c r="B378" s="461"/>
      <c r="C378" s="458"/>
      <c r="D378" s="459"/>
      <c r="E378" s="459"/>
      <c r="F378" s="459"/>
      <c r="G378" s="459"/>
      <c r="H378" s="459"/>
      <c r="I378" s="459"/>
      <c r="J378" s="458"/>
      <c r="K378" s="458"/>
      <c r="L378" s="458"/>
      <c r="M378" s="458"/>
      <c r="N378" s="458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  <c r="Y378" s="458"/>
    </row>
    <row r="379" spans="1:25">
      <c r="A379" s="460"/>
      <c r="B379" s="461"/>
      <c r="C379" s="458"/>
      <c r="D379" s="459"/>
      <c r="E379" s="459"/>
      <c r="F379" s="459"/>
      <c r="G379" s="459"/>
      <c r="H379" s="459"/>
      <c r="I379" s="459"/>
      <c r="J379" s="458"/>
      <c r="K379" s="458"/>
      <c r="L379" s="458"/>
      <c r="M379" s="458"/>
      <c r="N379" s="458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  <c r="Y379" s="458"/>
    </row>
    <row r="380" spans="1:25">
      <c r="A380" s="460"/>
      <c r="B380" s="461"/>
      <c r="C380" s="458"/>
      <c r="D380" s="459"/>
      <c r="E380" s="459"/>
      <c r="F380" s="459"/>
      <c r="G380" s="459"/>
      <c r="H380" s="459"/>
      <c r="I380" s="459"/>
      <c r="J380" s="458"/>
      <c r="K380" s="458"/>
      <c r="L380" s="458"/>
      <c r="M380" s="458"/>
      <c r="N380" s="458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  <c r="Y380" s="458"/>
    </row>
    <row r="381" spans="1:25">
      <c r="A381" s="460"/>
      <c r="B381" s="461"/>
      <c r="C381" s="458"/>
      <c r="D381" s="459"/>
      <c r="E381" s="459"/>
      <c r="F381" s="459"/>
      <c r="G381" s="459"/>
      <c r="H381" s="459"/>
      <c r="I381" s="459"/>
      <c r="J381" s="458"/>
      <c r="K381" s="458"/>
      <c r="L381" s="458"/>
      <c r="M381" s="458"/>
      <c r="N381" s="458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  <c r="Y381" s="458"/>
    </row>
    <row r="382" spans="1:25">
      <c r="A382" s="460"/>
      <c r="B382" s="461"/>
      <c r="C382" s="458"/>
      <c r="D382" s="459"/>
      <c r="E382" s="459"/>
      <c r="F382" s="459"/>
      <c r="G382" s="459"/>
      <c r="H382" s="459"/>
      <c r="I382" s="459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  <c r="Y382" s="458"/>
    </row>
    <row r="383" spans="1:25">
      <c r="A383" s="460"/>
      <c r="B383" s="461"/>
      <c r="C383" s="458"/>
      <c r="D383" s="459"/>
      <c r="E383" s="459"/>
      <c r="F383" s="459"/>
      <c r="G383" s="459"/>
      <c r="H383" s="459"/>
      <c r="I383" s="459"/>
      <c r="J383" s="458"/>
      <c r="K383" s="458"/>
      <c r="L383" s="458"/>
      <c r="M383" s="458"/>
      <c r="N383" s="458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  <c r="Y383" s="458"/>
    </row>
    <row r="384" spans="1:25">
      <c r="A384" s="460"/>
      <c r="B384" s="461"/>
      <c r="C384" s="458"/>
      <c r="D384" s="459"/>
      <c r="E384" s="459"/>
      <c r="F384" s="459"/>
      <c r="G384" s="459"/>
      <c r="H384" s="459"/>
      <c r="I384" s="459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  <c r="Y384" s="458"/>
    </row>
    <row r="385" spans="1:25">
      <c r="A385" s="460"/>
      <c r="B385" s="461"/>
      <c r="C385" s="458"/>
      <c r="D385" s="459"/>
      <c r="E385" s="459"/>
      <c r="F385" s="459"/>
      <c r="G385" s="459"/>
      <c r="H385" s="459"/>
      <c r="I385" s="459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  <c r="Y385" s="458"/>
    </row>
    <row r="386" spans="1:25">
      <c r="A386" s="460"/>
      <c r="B386" s="461"/>
      <c r="C386" s="458"/>
      <c r="D386" s="459"/>
      <c r="E386" s="459"/>
      <c r="F386" s="459"/>
      <c r="G386" s="459"/>
      <c r="H386" s="459"/>
      <c r="I386" s="459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  <c r="Y386" s="458"/>
    </row>
    <row r="387" spans="1:25">
      <c r="A387" s="460"/>
      <c r="B387" s="461"/>
      <c r="C387" s="458"/>
      <c r="D387" s="459"/>
      <c r="E387" s="459"/>
      <c r="F387" s="459"/>
      <c r="G387" s="459"/>
      <c r="H387" s="459"/>
      <c r="I387" s="459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  <c r="Y387" s="458"/>
    </row>
    <row r="388" spans="1:25">
      <c r="A388" s="460"/>
      <c r="B388" s="461"/>
      <c r="C388" s="458"/>
      <c r="D388" s="459"/>
      <c r="E388" s="459"/>
      <c r="F388" s="459"/>
      <c r="G388" s="459"/>
      <c r="H388" s="459"/>
      <c r="I388" s="459"/>
      <c r="J388" s="458"/>
      <c r="K388" s="458"/>
      <c r="L388" s="458"/>
      <c r="M388" s="458"/>
      <c r="N388" s="458"/>
      <c r="O388" s="458"/>
      <c r="P388" s="458"/>
      <c r="Q388" s="458"/>
      <c r="R388" s="458"/>
      <c r="S388" s="458"/>
      <c r="T388" s="458"/>
      <c r="U388" s="458"/>
      <c r="V388" s="458"/>
      <c r="W388" s="458"/>
      <c r="X388" s="458"/>
      <c r="Y388" s="458"/>
    </row>
    <row r="389" spans="1:25">
      <c r="A389" s="460"/>
      <c r="B389" s="461"/>
      <c r="C389" s="458"/>
      <c r="D389" s="459"/>
      <c r="E389" s="459"/>
      <c r="F389" s="459"/>
      <c r="G389" s="459"/>
      <c r="H389" s="459"/>
      <c r="I389" s="459"/>
      <c r="J389" s="458"/>
      <c r="K389" s="458"/>
      <c r="L389" s="458"/>
      <c r="M389" s="458"/>
      <c r="N389" s="458"/>
      <c r="O389" s="458"/>
      <c r="P389" s="458"/>
      <c r="Q389" s="458"/>
      <c r="R389" s="458"/>
      <c r="S389" s="458"/>
      <c r="T389" s="458"/>
      <c r="U389" s="458"/>
      <c r="V389" s="458"/>
      <c r="W389" s="458"/>
      <c r="X389" s="458"/>
      <c r="Y389" s="458"/>
    </row>
    <row r="390" spans="1:25">
      <c r="A390" s="460"/>
      <c r="B390" s="461"/>
      <c r="C390" s="458"/>
      <c r="D390" s="459"/>
      <c r="E390" s="459"/>
      <c r="F390" s="459"/>
      <c r="G390" s="459"/>
      <c r="H390" s="459"/>
      <c r="I390" s="459"/>
      <c r="J390" s="458"/>
      <c r="K390" s="458"/>
      <c r="L390" s="458"/>
      <c r="M390" s="458"/>
      <c r="N390" s="458"/>
      <c r="O390" s="458"/>
      <c r="P390" s="458"/>
      <c r="Q390" s="458"/>
      <c r="R390" s="458"/>
      <c r="S390" s="458"/>
      <c r="T390" s="458"/>
      <c r="U390" s="458"/>
      <c r="V390" s="458"/>
      <c r="W390" s="458"/>
      <c r="X390" s="458"/>
      <c r="Y390" s="458"/>
    </row>
    <row r="391" spans="1:25">
      <c r="A391" s="460"/>
      <c r="B391" s="461"/>
      <c r="C391" s="458"/>
      <c r="D391" s="459"/>
      <c r="E391" s="459"/>
      <c r="F391" s="459"/>
      <c r="G391" s="459"/>
      <c r="H391" s="459"/>
      <c r="I391" s="459"/>
      <c r="J391" s="458"/>
      <c r="K391" s="458"/>
      <c r="L391" s="458"/>
      <c r="M391" s="458"/>
      <c r="N391" s="458"/>
      <c r="O391" s="458"/>
      <c r="P391" s="458"/>
      <c r="Q391" s="458"/>
      <c r="R391" s="458"/>
      <c r="S391" s="458"/>
      <c r="T391" s="458"/>
      <c r="U391" s="458"/>
      <c r="V391" s="458"/>
      <c r="W391" s="458"/>
      <c r="X391" s="458"/>
      <c r="Y391" s="458"/>
    </row>
    <row r="392" spans="1:25">
      <c r="A392" s="460"/>
      <c r="B392" s="461"/>
      <c r="C392" s="458"/>
      <c r="D392" s="459"/>
      <c r="E392" s="459"/>
      <c r="F392" s="459"/>
      <c r="G392" s="459"/>
      <c r="H392" s="459"/>
      <c r="I392" s="459"/>
      <c r="J392" s="458"/>
      <c r="K392" s="458"/>
      <c r="L392" s="458"/>
      <c r="M392" s="458"/>
      <c r="N392" s="458"/>
      <c r="O392" s="458"/>
      <c r="P392" s="458"/>
      <c r="Q392" s="458"/>
      <c r="R392" s="458"/>
      <c r="S392" s="458"/>
      <c r="T392" s="458"/>
      <c r="U392" s="458"/>
      <c r="V392" s="458"/>
      <c r="W392" s="458"/>
      <c r="X392" s="458"/>
      <c r="Y392" s="458"/>
    </row>
    <row r="393" spans="1:25">
      <c r="A393" s="460"/>
      <c r="B393" s="461"/>
      <c r="C393" s="458"/>
      <c r="D393" s="459"/>
      <c r="E393" s="459"/>
      <c r="F393" s="459"/>
      <c r="G393" s="459"/>
      <c r="H393" s="459"/>
      <c r="I393" s="459"/>
      <c r="J393" s="458"/>
      <c r="K393" s="458"/>
      <c r="L393" s="458"/>
      <c r="M393" s="458"/>
      <c r="N393" s="458"/>
      <c r="O393" s="458"/>
      <c r="P393" s="458"/>
      <c r="Q393" s="458"/>
      <c r="R393" s="458"/>
      <c r="S393" s="458"/>
      <c r="T393" s="458"/>
      <c r="U393" s="458"/>
      <c r="V393" s="458"/>
      <c r="W393" s="458"/>
      <c r="X393" s="458"/>
      <c r="Y393" s="458"/>
    </row>
    <row r="394" spans="1:25">
      <c r="A394" s="460"/>
      <c r="B394" s="461"/>
      <c r="C394" s="458"/>
      <c r="D394" s="459"/>
      <c r="E394" s="459"/>
      <c r="F394" s="459"/>
      <c r="G394" s="459"/>
      <c r="H394" s="459"/>
      <c r="I394" s="459"/>
      <c r="J394" s="458"/>
      <c r="K394" s="458"/>
      <c r="L394" s="458"/>
      <c r="M394" s="458"/>
      <c r="N394" s="458"/>
      <c r="O394" s="458"/>
      <c r="P394" s="458"/>
      <c r="Q394" s="458"/>
      <c r="R394" s="458"/>
      <c r="S394" s="458"/>
      <c r="T394" s="458"/>
      <c r="U394" s="458"/>
      <c r="V394" s="458"/>
      <c r="W394" s="458"/>
      <c r="X394" s="458"/>
      <c r="Y394" s="458"/>
    </row>
    <row r="395" spans="1:25">
      <c r="A395" s="460"/>
      <c r="B395" s="461"/>
      <c r="C395" s="458"/>
      <c r="D395" s="459"/>
      <c r="E395" s="459"/>
      <c r="F395" s="459"/>
      <c r="G395" s="459"/>
      <c r="H395" s="459"/>
      <c r="I395" s="459"/>
      <c r="J395" s="458"/>
      <c r="K395" s="458"/>
      <c r="L395" s="458"/>
      <c r="M395" s="458"/>
      <c r="N395" s="458"/>
      <c r="O395" s="458"/>
      <c r="P395" s="458"/>
      <c r="Q395" s="458"/>
      <c r="R395" s="458"/>
      <c r="S395" s="458"/>
      <c r="T395" s="458"/>
      <c r="U395" s="458"/>
      <c r="V395" s="458"/>
      <c r="W395" s="458"/>
      <c r="X395" s="458"/>
      <c r="Y395" s="458"/>
    </row>
    <row r="396" spans="1:25">
      <c r="A396" s="460"/>
      <c r="B396" s="461"/>
      <c r="C396" s="458"/>
      <c r="D396" s="459"/>
      <c r="E396" s="459"/>
      <c r="F396" s="459"/>
      <c r="G396" s="459"/>
      <c r="H396" s="459"/>
      <c r="I396" s="459"/>
      <c r="J396" s="458"/>
      <c r="K396" s="458"/>
      <c r="L396" s="458"/>
      <c r="M396" s="458"/>
      <c r="N396" s="458"/>
      <c r="O396" s="458"/>
      <c r="P396" s="458"/>
      <c r="Q396" s="458"/>
      <c r="R396" s="458"/>
      <c r="S396" s="458"/>
      <c r="T396" s="458"/>
      <c r="U396" s="458"/>
      <c r="V396" s="458"/>
      <c r="W396" s="458"/>
      <c r="X396" s="458"/>
      <c r="Y396" s="458"/>
    </row>
    <row r="397" spans="1:25">
      <c r="A397" s="460"/>
      <c r="B397" s="461"/>
      <c r="C397" s="458"/>
      <c r="D397" s="459"/>
      <c r="E397" s="459"/>
      <c r="F397" s="459"/>
      <c r="G397" s="459"/>
      <c r="H397" s="459"/>
      <c r="I397" s="459"/>
      <c r="J397" s="458"/>
      <c r="K397" s="458"/>
      <c r="L397" s="458"/>
      <c r="M397" s="458"/>
      <c r="N397" s="458"/>
      <c r="O397" s="458"/>
      <c r="P397" s="458"/>
      <c r="Q397" s="458"/>
      <c r="R397" s="458"/>
      <c r="S397" s="458"/>
      <c r="T397" s="458"/>
      <c r="U397" s="458"/>
      <c r="V397" s="458"/>
      <c r="W397" s="458"/>
      <c r="X397" s="458"/>
      <c r="Y397" s="458"/>
    </row>
    <row r="398" spans="1:25">
      <c r="A398" s="460"/>
      <c r="B398" s="461"/>
      <c r="C398" s="458"/>
      <c r="D398" s="459"/>
      <c r="E398" s="459"/>
      <c r="F398" s="459"/>
      <c r="G398" s="459"/>
      <c r="H398" s="459"/>
      <c r="I398" s="459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>
      <c r="A399" s="460"/>
      <c r="B399" s="461"/>
      <c r="C399" s="458"/>
      <c r="D399" s="459"/>
      <c r="E399" s="459"/>
      <c r="F399" s="459"/>
      <c r="G399" s="459"/>
      <c r="H399" s="459"/>
      <c r="I399" s="459"/>
      <c r="J399" s="458"/>
      <c r="K399" s="458"/>
      <c r="L399" s="458"/>
      <c r="M399" s="458"/>
      <c r="N399" s="458"/>
      <c r="O399" s="458"/>
      <c r="P399" s="458"/>
      <c r="Q399" s="458"/>
      <c r="R399" s="458"/>
      <c r="S399" s="458"/>
      <c r="T399" s="458"/>
      <c r="U399" s="458"/>
      <c r="V399" s="458"/>
      <c r="W399" s="458"/>
      <c r="X399" s="458"/>
      <c r="Y399" s="458"/>
    </row>
    <row r="400" spans="1:25">
      <c r="A400" s="460"/>
      <c r="B400" s="461"/>
      <c r="C400" s="458"/>
      <c r="D400" s="459"/>
      <c r="E400" s="459"/>
      <c r="F400" s="459"/>
      <c r="G400" s="459"/>
      <c r="H400" s="459"/>
      <c r="I400" s="459"/>
      <c r="J400" s="458"/>
      <c r="K400" s="458"/>
      <c r="L400" s="458"/>
      <c r="M400" s="458"/>
      <c r="N400" s="458"/>
      <c r="O400" s="458"/>
      <c r="P400" s="458"/>
      <c r="Q400" s="458"/>
      <c r="R400" s="458"/>
      <c r="S400" s="458"/>
      <c r="T400" s="458"/>
      <c r="U400" s="458"/>
      <c r="V400" s="458"/>
      <c r="W400" s="458"/>
      <c r="X400" s="458"/>
      <c r="Y400" s="458"/>
    </row>
    <row r="401" spans="1:25">
      <c r="A401" s="460"/>
      <c r="B401" s="461"/>
      <c r="C401" s="458"/>
      <c r="D401" s="459"/>
      <c r="E401" s="459"/>
      <c r="F401" s="459"/>
      <c r="G401" s="459"/>
      <c r="H401" s="459"/>
      <c r="I401" s="459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  <c r="Y401" s="458"/>
    </row>
    <row r="402" spans="1:25">
      <c r="A402" s="460"/>
      <c r="B402" s="461"/>
      <c r="C402" s="458"/>
      <c r="D402" s="459"/>
      <c r="E402" s="459"/>
      <c r="F402" s="459"/>
      <c r="G402" s="459"/>
      <c r="H402" s="459"/>
      <c r="I402" s="459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  <c r="Y402" s="458"/>
    </row>
    <row r="403" spans="1:25">
      <c r="A403" s="460"/>
      <c r="B403" s="461"/>
      <c r="C403" s="458"/>
      <c r="D403" s="459"/>
      <c r="E403" s="459"/>
      <c r="F403" s="459"/>
      <c r="G403" s="459"/>
      <c r="H403" s="459"/>
      <c r="I403" s="459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  <c r="Y403" s="458"/>
    </row>
    <row r="404" spans="1:25">
      <c r="A404" s="460"/>
      <c r="B404" s="461"/>
      <c r="C404" s="458"/>
      <c r="D404" s="459"/>
      <c r="E404" s="459"/>
      <c r="F404" s="459"/>
      <c r="G404" s="459"/>
      <c r="H404" s="459"/>
      <c r="I404" s="459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  <c r="Y404" s="458"/>
    </row>
    <row r="405" spans="1:25">
      <c r="A405" s="460"/>
      <c r="B405" s="461"/>
      <c r="C405" s="458"/>
      <c r="D405" s="459"/>
      <c r="E405" s="459"/>
      <c r="F405" s="459"/>
      <c r="G405" s="459"/>
      <c r="H405" s="459"/>
      <c r="I405" s="459"/>
      <c r="J405" s="458"/>
      <c r="K405" s="458"/>
      <c r="L405" s="458"/>
      <c r="M405" s="458"/>
      <c r="N405" s="458"/>
      <c r="O405" s="458"/>
      <c r="P405" s="458"/>
      <c r="Q405" s="458"/>
      <c r="R405" s="458"/>
      <c r="S405" s="458"/>
      <c r="T405" s="458"/>
      <c r="U405" s="458"/>
      <c r="V405" s="458"/>
      <c r="W405" s="458"/>
      <c r="X405" s="458"/>
      <c r="Y405" s="458"/>
    </row>
    <row r="406" spans="1:25">
      <c r="A406" s="460"/>
      <c r="B406" s="461"/>
      <c r="C406" s="458"/>
      <c r="D406" s="459"/>
      <c r="E406" s="459"/>
      <c r="F406" s="459"/>
      <c r="G406" s="459"/>
      <c r="H406" s="459"/>
      <c r="I406" s="459"/>
      <c r="J406" s="458"/>
      <c r="K406" s="458"/>
      <c r="L406" s="458"/>
      <c r="M406" s="458"/>
      <c r="N406" s="458"/>
      <c r="O406" s="458"/>
      <c r="P406" s="458"/>
      <c r="Q406" s="458"/>
      <c r="R406" s="458"/>
      <c r="S406" s="458"/>
      <c r="T406" s="458"/>
      <c r="U406" s="458"/>
      <c r="V406" s="458"/>
      <c r="W406" s="458"/>
      <c r="X406" s="458"/>
      <c r="Y406" s="458"/>
    </row>
    <row r="407" spans="1:25">
      <c r="A407" s="460"/>
      <c r="B407" s="461"/>
      <c r="C407" s="458"/>
      <c r="D407" s="459"/>
      <c r="E407" s="459"/>
      <c r="F407" s="459"/>
      <c r="G407" s="459"/>
      <c r="H407" s="459"/>
      <c r="I407" s="459"/>
      <c r="J407" s="458"/>
      <c r="K407" s="458"/>
      <c r="L407" s="458"/>
      <c r="M407" s="458"/>
      <c r="N407" s="458"/>
      <c r="O407" s="458"/>
      <c r="P407" s="458"/>
      <c r="Q407" s="458"/>
      <c r="R407" s="458"/>
      <c r="S407" s="458"/>
      <c r="T407" s="458"/>
      <c r="U407" s="458"/>
      <c r="V407" s="458"/>
      <c r="W407" s="458"/>
      <c r="X407" s="458"/>
      <c r="Y407" s="458"/>
    </row>
    <row r="408" spans="1:25">
      <c r="A408" s="460"/>
      <c r="B408" s="461"/>
      <c r="C408" s="458"/>
      <c r="D408" s="459"/>
      <c r="E408" s="459"/>
      <c r="F408" s="459"/>
      <c r="G408" s="459"/>
      <c r="H408" s="459"/>
      <c r="I408" s="459"/>
      <c r="J408" s="458"/>
      <c r="K408" s="458"/>
      <c r="L408" s="458"/>
      <c r="M408" s="458"/>
      <c r="N408" s="458"/>
      <c r="O408" s="458"/>
      <c r="P408" s="458"/>
      <c r="Q408" s="458"/>
      <c r="R408" s="458"/>
      <c r="S408" s="458"/>
      <c r="T408" s="458"/>
      <c r="U408" s="458"/>
      <c r="V408" s="458"/>
      <c r="W408" s="458"/>
      <c r="X408" s="458"/>
      <c r="Y408" s="458"/>
    </row>
    <row r="409" spans="1:25">
      <c r="A409" s="460"/>
      <c r="B409" s="461"/>
      <c r="C409" s="458"/>
      <c r="D409" s="459"/>
      <c r="E409" s="459"/>
      <c r="F409" s="459"/>
      <c r="G409" s="459"/>
      <c r="H409" s="459"/>
      <c r="I409" s="459"/>
      <c r="J409" s="458"/>
      <c r="K409" s="458"/>
      <c r="L409" s="458"/>
      <c r="M409" s="458"/>
      <c r="N409" s="458"/>
      <c r="O409" s="458"/>
      <c r="P409" s="458"/>
      <c r="Q409" s="458"/>
      <c r="R409" s="458"/>
      <c r="S409" s="458"/>
      <c r="T409" s="458"/>
      <c r="U409" s="458"/>
      <c r="V409" s="458"/>
      <c r="W409" s="458"/>
      <c r="X409" s="458"/>
      <c r="Y409" s="458"/>
    </row>
    <row r="410" spans="1:25">
      <c r="A410" s="460"/>
      <c r="B410" s="461"/>
      <c r="C410" s="458"/>
      <c r="D410" s="459"/>
      <c r="E410" s="459"/>
      <c r="F410" s="459"/>
      <c r="G410" s="459"/>
      <c r="H410" s="459"/>
      <c r="I410" s="459"/>
      <c r="J410" s="458"/>
      <c r="K410" s="458"/>
      <c r="L410" s="458"/>
      <c r="M410" s="458"/>
      <c r="N410" s="458"/>
      <c r="O410" s="458"/>
      <c r="P410" s="458"/>
      <c r="Q410" s="458"/>
      <c r="R410" s="458"/>
      <c r="S410" s="458"/>
      <c r="T410" s="458"/>
      <c r="U410" s="458"/>
      <c r="V410" s="458"/>
      <c r="W410" s="458"/>
      <c r="X410" s="458"/>
      <c r="Y410" s="458"/>
    </row>
    <row r="411" spans="1:25">
      <c r="A411" s="460"/>
      <c r="B411" s="461"/>
      <c r="C411" s="458"/>
      <c r="D411" s="459"/>
      <c r="E411" s="459"/>
      <c r="F411" s="459"/>
      <c r="G411" s="459"/>
      <c r="H411" s="459"/>
      <c r="I411" s="459"/>
      <c r="J411" s="458"/>
      <c r="K411" s="458"/>
      <c r="L411" s="458"/>
      <c r="M411" s="458"/>
      <c r="N411" s="458"/>
      <c r="O411" s="458"/>
      <c r="P411" s="458"/>
      <c r="Q411" s="458"/>
      <c r="R411" s="458"/>
      <c r="S411" s="458"/>
      <c r="T411" s="458"/>
      <c r="U411" s="458"/>
      <c r="V411" s="458"/>
      <c r="W411" s="458"/>
      <c r="X411" s="458"/>
      <c r="Y411" s="458"/>
    </row>
    <row r="412" spans="1:25">
      <c r="A412" s="460"/>
      <c r="B412" s="461"/>
      <c r="C412" s="458"/>
      <c r="D412" s="459"/>
      <c r="E412" s="459"/>
      <c r="F412" s="459"/>
      <c r="G412" s="459"/>
      <c r="H412" s="459"/>
      <c r="I412" s="459"/>
      <c r="J412" s="458"/>
      <c r="K412" s="458"/>
      <c r="L412" s="458"/>
      <c r="M412" s="458"/>
      <c r="N412" s="458"/>
      <c r="O412" s="458"/>
      <c r="P412" s="458"/>
      <c r="Q412" s="458"/>
      <c r="R412" s="458"/>
      <c r="S412" s="458"/>
      <c r="T412" s="458"/>
      <c r="U412" s="458"/>
      <c r="V412" s="458"/>
      <c r="W412" s="458"/>
      <c r="X412" s="458"/>
      <c r="Y412" s="458"/>
    </row>
    <row r="413" spans="1:25">
      <c r="A413" s="460"/>
      <c r="B413" s="461"/>
      <c r="C413" s="458"/>
      <c r="D413" s="459"/>
      <c r="E413" s="459"/>
      <c r="F413" s="459"/>
      <c r="G413" s="459"/>
      <c r="H413" s="459"/>
      <c r="I413" s="459"/>
      <c r="J413" s="458"/>
      <c r="K413" s="458"/>
      <c r="L413" s="458"/>
      <c r="M413" s="458"/>
      <c r="N413" s="458"/>
      <c r="O413" s="458"/>
      <c r="P413" s="458"/>
      <c r="Q413" s="458"/>
      <c r="R413" s="458"/>
      <c r="S413" s="458"/>
      <c r="T413" s="458"/>
      <c r="U413" s="458"/>
      <c r="V413" s="458"/>
      <c r="W413" s="458"/>
      <c r="X413" s="458"/>
      <c r="Y413" s="458"/>
    </row>
    <row r="414" spans="1:25">
      <c r="A414" s="460"/>
      <c r="B414" s="461"/>
      <c r="C414" s="458"/>
      <c r="D414" s="459"/>
      <c r="E414" s="459"/>
      <c r="F414" s="459"/>
      <c r="G414" s="459"/>
      <c r="H414" s="459"/>
      <c r="I414" s="459"/>
      <c r="J414" s="458"/>
      <c r="K414" s="458"/>
      <c r="L414" s="458"/>
      <c r="M414" s="458"/>
      <c r="N414" s="458"/>
      <c r="O414" s="458"/>
      <c r="P414" s="458"/>
      <c r="Q414" s="458"/>
      <c r="R414" s="458"/>
      <c r="S414" s="458"/>
      <c r="T414" s="458"/>
      <c r="U414" s="458"/>
      <c r="V414" s="458"/>
      <c r="W414" s="458"/>
      <c r="X414" s="458"/>
      <c r="Y414" s="458"/>
    </row>
    <row r="415" spans="1:25">
      <c r="A415" s="460"/>
      <c r="B415" s="461"/>
      <c r="C415" s="458"/>
      <c r="D415" s="459"/>
      <c r="E415" s="459"/>
      <c r="F415" s="459"/>
      <c r="G415" s="459"/>
      <c r="H415" s="459"/>
      <c r="I415" s="459"/>
      <c r="J415" s="458"/>
      <c r="K415" s="458"/>
      <c r="L415" s="458"/>
      <c r="M415" s="458"/>
      <c r="N415" s="458"/>
      <c r="O415" s="458"/>
      <c r="P415" s="458"/>
      <c r="Q415" s="458"/>
      <c r="R415" s="458"/>
      <c r="S415" s="458"/>
      <c r="T415" s="458"/>
      <c r="U415" s="458"/>
      <c r="V415" s="458"/>
      <c r="W415" s="458"/>
      <c r="X415" s="458"/>
      <c r="Y415" s="458"/>
    </row>
    <row r="416" spans="1:25">
      <c r="A416" s="460"/>
      <c r="B416" s="461"/>
      <c r="C416" s="458"/>
      <c r="D416" s="459"/>
      <c r="E416" s="459"/>
      <c r="F416" s="459"/>
      <c r="G416" s="459"/>
      <c r="H416" s="459"/>
      <c r="I416" s="459"/>
      <c r="J416" s="458"/>
      <c r="K416" s="458"/>
      <c r="L416" s="458"/>
      <c r="M416" s="458"/>
      <c r="N416" s="458"/>
      <c r="O416" s="458"/>
      <c r="P416" s="458"/>
      <c r="Q416" s="458"/>
      <c r="R416" s="458"/>
      <c r="S416" s="458"/>
      <c r="T416" s="458"/>
      <c r="U416" s="458"/>
      <c r="V416" s="458"/>
      <c r="W416" s="458"/>
      <c r="X416" s="458"/>
      <c r="Y416" s="458"/>
    </row>
    <row r="417" spans="1:25">
      <c r="A417" s="460"/>
      <c r="B417" s="461"/>
      <c r="C417" s="458"/>
      <c r="D417" s="459"/>
      <c r="E417" s="459"/>
      <c r="F417" s="459"/>
      <c r="G417" s="459"/>
      <c r="H417" s="459"/>
      <c r="I417" s="459"/>
      <c r="J417" s="458"/>
      <c r="K417" s="458"/>
      <c r="L417" s="458"/>
      <c r="M417" s="458"/>
      <c r="N417" s="458"/>
      <c r="O417" s="458"/>
      <c r="P417" s="458"/>
      <c r="Q417" s="458"/>
      <c r="R417" s="458"/>
      <c r="S417" s="458"/>
      <c r="T417" s="458"/>
      <c r="U417" s="458"/>
      <c r="V417" s="458"/>
      <c r="W417" s="458"/>
      <c r="X417" s="458"/>
      <c r="Y417" s="458"/>
    </row>
    <row r="418" spans="1:25">
      <c r="A418" s="460"/>
      <c r="B418" s="461"/>
      <c r="C418" s="458"/>
      <c r="D418" s="459"/>
      <c r="E418" s="459"/>
      <c r="F418" s="459"/>
      <c r="G418" s="459"/>
      <c r="H418" s="459"/>
      <c r="I418" s="459"/>
      <c r="J418" s="458"/>
      <c r="K418" s="458"/>
      <c r="L418" s="458"/>
      <c r="M418" s="458"/>
      <c r="N418" s="458"/>
      <c r="O418" s="458"/>
      <c r="P418" s="458"/>
      <c r="Q418" s="458"/>
      <c r="R418" s="458"/>
      <c r="S418" s="458"/>
      <c r="T418" s="458"/>
      <c r="U418" s="458"/>
      <c r="V418" s="458"/>
      <c r="W418" s="458"/>
      <c r="X418" s="458"/>
      <c r="Y418" s="458"/>
    </row>
    <row r="419" spans="1:25">
      <c r="A419" s="460"/>
      <c r="B419" s="461"/>
      <c r="C419" s="458"/>
      <c r="D419" s="459"/>
      <c r="E419" s="459"/>
      <c r="F419" s="459"/>
      <c r="G419" s="459"/>
      <c r="H419" s="459"/>
      <c r="I419" s="459"/>
      <c r="J419" s="458"/>
      <c r="K419" s="458"/>
      <c r="L419" s="458"/>
      <c r="M419" s="458"/>
      <c r="N419" s="458"/>
      <c r="O419" s="458"/>
      <c r="P419" s="458"/>
      <c r="Q419" s="458"/>
      <c r="R419" s="458"/>
      <c r="S419" s="458"/>
      <c r="T419" s="458"/>
      <c r="U419" s="458"/>
      <c r="V419" s="458"/>
      <c r="W419" s="458"/>
      <c r="X419" s="458"/>
      <c r="Y419" s="458"/>
    </row>
    <row r="420" spans="1:25">
      <c r="A420" s="460"/>
      <c r="B420" s="461"/>
      <c r="C420" s="458"/>
      <c r="D420" s="459"/>
      <c r="E420" s="459"/>
      <c r="F420" s="459"/>
      <c r="G420" s="459"/>
      <c r="H420" s="459"/>
      <c r="I420" s="459"/>
      <c r="J420" s="458"/>
      <c r="K420" s="458"/>
      <c r="L420" s="458"/>
      <c r="M420" s="458"/>
      <c r="N420" s="458"/>
      <c r="O420" s="458"/>
      <c r="P420" s="458"/>
      <c r="Q420" s="458"/>
      <c r="R420" s="458"/>
      <c r="S420" s="458"/>
      <c r="T420" s="458"/>
      <c r="U420" s="458"/>
      <c r="V420" s="458"/>
      <c r="W420" s="458"/>
      <c r="X420" s="458"/>
      <c r="Y420" s="458"/>
    </row>
    <row r="421" spans="1:25">
      <c r="A421" s="460"/>
      <c r="B421" s="461"/>
      <c r="C421" s="458"/>
      <c r="D421" s="459"/>
      <c r="E421" s="459"/>
      <c r="F421" s="459"/>
      <c r="G421" s="459"/>
      <c r="H421" s="459"/>
      <c r="I421" s="459"/>
      <c r="J421" s="458"/>
      <c r="K421" s="458"/>
      <c r="L421" s="458"/>
      <c r="M421" s="458"/>
      <c r="N421" s="458"/>
      <c r="O421" s="458"/>
      <c r="P421" s="458"/>
      <c r="Q421" s="458"/>
      <c r="R421" s="458"/>
      <c r="S421" s="458"/>
      <c r="T421" s="458"/>
      <c r="U421" s="458"/>
      <c r="V421" s="458"/>
      <c r="W421" s="458"/>
      <c r="X421" s="458"/>
      <c r="Y421" s="458"/>
    </row>
    <row r="422" spans="1:25">
      <c r="A422" s="460"/>
      <c r="B422" s="461"/>
      <c r="C422" s="458"/>
      <c r="D422" s="459"/>
      <c r="E422" s="459"/>
      <c r="F422" s="459"/>
      <c r="G422" s="459"/>
      <c r="H422" s="459"/>
      <c r="I422" s="459"/>
      <c r="J422" s="458"/>
      <c r="K422" s="458"/>
      <c r="L422" s="458"/>
      <c r="M422" s="458"/>
      <c r="N422" s="458"/>
      <c r="O422" s="458"/>
      <c r="P422" s="458"/>
      <c r="Q422" s="458"/>
      <c r="R422" s="458"/>
      <c r="S422" s="458"/>
      <c r="T422" s="458"/>
      <c r="U422" s="458"/>
      <c r="V422" s="458"/>
      <c r="W422" s="458"/>
      <c r="X422" s="458"/>
      <c r="Y422" s="458"/>
    </row>
    <row r="423" spans="1:25">
      <c r="A423" s="460"/>
      <c r="B423" s="461"/>
      <c r="C423" s="458"/>
      <c r="D423" s="459"/>
      <c r="E423" s="459"/>
      <c r="F423" s="459"/>
      <c r="G423" s="459"/>
      <c r="H423" s="459"/>
      <c r="I423" s="459"/>
      <c r="J423" s="458"/>
      <c r="K423" s="458"/>
      <c r="L423" s="458"/>
      <c r="M423" s="458"/>
      <c r="N423" s="458"/>
      <c r="O423" s="458"/>
      <c r="P423" s="458"/>
      <c r="Q423" s="458"/>
      <c r="R423" s="458"/>
      <c r="S423" s="458"/>
      <c r="T423" s="458"/>
      <c r="U423" s="458"/>
      <c r="V423" s="458"/>
      <c r="W423" s="458"/>
      <c r="X423" s="458"/>
      <c r="Y423" s="458"/>
    </row>
    <row r="424" spans="1:25">
      <c r="A424" s="460"/>
      <c r="B424" s="461"/>
      <c r="C424" s="458"/>
      <c r="D424" s="459"/>
      <c r="E424" s="459"/>
      <c r="F424" s="459"/>
      <c r="G424" s="459"/>
      <c r="H424" s="459"/>
      <c r="I424" s="459"/>
      <c r="J424" s="458"/>
      <c r="K424" s="458"/>
      <c r="L424" s="458"/>
      <c r="M424" s="458"/>
      <c r="N424" s="458"/>
      <c r="O424" s="458"/>
      <c r="P424" s="458"/>
      <c r="Q424" s="458"/>
      <c r="R424" s="458"/>
      <c r="S424" s="458"/>
      <c r="T424" s="458"/>
      <c r="U424" s="458"/>
      <c r="V424" s="458"/>
      <c r="W424" s="458"/>
      <c r="X424" s="458"/>
      <c r="Y424" s="458"/>
    </row>
    <row r="425" spans="1:25">
      <c r="A425" s="460"/>
      <c r="B425" s="461"/>
      <c r="C425" s="458"/>
      <c r="D425" s="459"/>
      <c r="E425" s="459"/>
      <c r="F425" s="459"/>
      <c r="G425" s="459"/>
      <c r="H425" s="459"/>
      <c r="I425" s="459"/>
      <c r="J425" s="458"/>
      <c r="K425" s="458"/>
      <c r="L425" s="458"/>
      <c r="M425" s="458"/>
      <c r="N425" s="458"/>
      <c r="O425" s="458"/>
      <c r="P425" s="458"/>
      <c r="Q425" s="458"/>
      <c r="R425" s="458"/>
      <c r="S425" s="458"/>
      <c r="T425" s="458"/>
      <c r="U425" s="458"/>
      <c r="V425" s="458"/>
      <c r="W425" s="458"/>
      <c r="X425" s="458"/>
      <c r="Y425" s="458"/>
    </row>
    <row r="426" spans="1:25">
      <c r="A426" s="460"/>
      <c r="B426" s="461"/>
      <c r="C426" s="458"/>
      <c r="D426" s="459"/>
      <c r="E426" s="459"/>
      <c r="F426" s="459"/>
      <c r="G426" s="459"/>
      <c r="H426" s="459"/>
      <c r="I426" s="459"/>
      <c r="J426" s="458"/>
      <c r="K426" s="458"/>
      <c r="L426" s="458"/>
      <c r="M426" s="458"/>
      <c r="N426" s="458"/>
      <c r="O426" s="458"/>
      <c r="P426" s="458"/>
      <c r="Q426" s="458"/>
      <c r="R426" s="458"/>
      <c r="S426" s="458"/>
      <c r="T426" s="458"/>
      <c r="U426" s="458"/>
      <c r="V426" s="458"/>
      <c r="W426" s="458"/>
      <c r="X426" s="458"/>
      <c r="Y426" s="458"/>
    </row>
    <row r="427" spans="1:25">
      <c r="A427" s="460"/>
      <c r="B427" s="461"/>
      <c r="C427" s="458"/>
      <c r="D427" s="459"/>
      <c r="E427" s="459"/>
      <c r="F427" s="459"/>
      <c r="G427" s="459"/>
      <c r="H427" s="459"/>
      <c r="I427" s="459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  <c r="Y427" s="458"/>
    </row>
    <row r="428" spans="1:25">
      <c r="A428" s="460"/>
      <c r="B428" s="461"/>
      <c r="C428" s="458"/>
      <c r="D428" s="459"/>
      <c r="E428" s="459"/>
      <c r="F428" s="459"/>
      <c r="G428" s="459"/>
      <c r="H428" s="459"/>
      <c r="I428" s="459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/>
      <c r="T428" s="458"/>
      <c r="U428" s="458"/>
      <c r="V428" s="458"/>
      <c r="W428" s="458"/>
      <c r="X428" s="458"/>
      <c r="Y428" s="458"/>
    </row>
    <row r="429" spans="1:25">
      <c r="A429" s="460"/>
      <c r="B429" s="461"/>
      <c r="C429" s="458"/>
      <c r="D429" s="459"/>
      <c r="E429" s="459"/>
      <c r="F429" s="459"/>
      <c r="G429" s="459"/>
      <c r="H429" s="459"/>
      <c r="I429" s="459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  <c r="Y429" s="458"/>
    </row>
    <row r="430" spans="1:25">
      <c r="A430" s="460"/>
      <c r="B430" s="461"/>
      <c r="C430" s="458"/>
      <c r="D430" s="459"/>
      <c r="E430" s="459"/>
      <c r="F430" s="459"/>
      <c r="G430" s="459"/>
      <c r="H430" s="459"/>
      <c r="I430" s="459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  <c r="Y430" s="458"/>
    </row>
    <row r="431" spans="1:25">
      <c r="A431" s="460"/>
      <c r="B431" s="461"/>
      <c r="C431" s="458"/>
      <c r="D431" s="459"/>
      <c r="E431" s="459"/>
      <c r="F431" s="459"/>
      <c r="G431" s="459"/>
      <c r="H431" s="459"/>
      <c r="I431" s="459"/>
      <c r="J431" s="458"/>
      <c r="K431" s="458"/>
      <c r="L431" s="458"/>
      <c r="M431" s="458"/>
      <c r="N431" s="458"/>
      <c r="O431" s="458"/>
      <c r="P431" s="458"/>
      <c r="Q431" s="458"/>
      <c r="R431" s="458"/>
      <c r="S431" s="458"/>
      <c r="T431" s="458"/>
      <c r="U431" s="458"/>
      <c r="V431" s="458"/>
      <c r="W431" s="458"/>
      <c r="X431" s="458"/>
      <c r="Y431" s="458"/>
    </row>
    <row r="432" spans="1:25">
      <c r="A432" s="460"/>
      <c r="B432" s="461"/>
      <c r="C432" s="458"/>
      <c r="D432" s="459"/>
      <c r="E432" s="459"/>
      <c r="F432" s="459"/>
      <c r="G432" s="459"/>
      <c r="H432" s="459"/>
      <c r="I432" s="459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</row>
    <row r="433" spans="1:25">
      <c r="A433" s="460"/>
      <c r="B433" s="461"/>
      <c r="C433" s="458"/>
      <c r="D433" s="459"/>
      <c r="E433" s="459"/>
      <c r="F433" s="459"/>
      <c r="G433" s="459"/>
      <c r="H433" s="459"/>
      <c r="I433" s="459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  <c r="Y433" s="458"/>
    </row>
    <row r="434" spans="1:25">
      <c r="A434" s="460"/>
      <c r="B434" s="461"/>
      <c r="C434" s="458"/>
      <c r="D434" s="459"/>
      <c r="E434" s="459"/>
      <c r="F434" s="459"/>
      <c r="G434" s="459"/>
      <c r="H434" s="459"/>
      <c r="I434" s="459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  <c r="Y434" s="458"/>
    </row>
    <row r="435" spans="1:25">
      <c r="A435" s="460"/>
      <c r="B435" s="461"/>
      <c r="C435" s="458"/>
      <c r="D435" s="459"/>
      <c r="E435" s="459"/>
      <c r="F435" s="459"/>
      <c r="G435" s="459"/>
      <c r="H435" s="459"/>
      <c r="I435" s="459"/>
      <c r="J435" s="458"/>
      <c r="K435" s="458"/>
      <c r="L435" s="458"/>
      <c r="M435" s="458"/>
      <c r="N435" s="458"/>
      <c r="O435" s="458"/>
      <c r="P435" s="458"/>
      <c r="Q435" s="458"/>
      <c r="R435" s="458"/>
      <c r="S435" s="458"/>
      <c r="T435" s="458"/>
      <c r="U435" s="458"/>
      <c r="V435" s="458"/>
      <c r="W435" s="458"/>
      <c r="X435" s="458"/>
      <c r="Y435" s="458"/>
    </row>
    <row r="436" spans="1:25">
      <c r="A436" s="460"/>
      <c r="B436" s="461"/>
      <c r="C436" s="458"/>
      <c r="D436" s="459"/>
      <c r="E436" s="459"/>
      <c r="F436" s="459"/>
      <c r="G436" s="459"/>
      <c r="H436" s="459"/>
      <c r="I436" s="459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  <c r="Y436" s="458"/>
    </row>
    <row r="437" spans="1:25">
      <c r="A437" s="460"/>
      <c r="B437" s="461"/>
      <c r="C437" s="458"/>
      <c r="D437" s="459"/>
      <c r="E437" s="459"/>
      <c r="F437" s="459"/>
      <c r="G437" s="459"/>
      <c r="H437" s="459"/>
      <c r="I437" s="459"/>
      <c r="J437" s="458"/>
      <c r="K437" s="458"/>
      <c r="L437" s="458"/>
      <c r="M437" s="458"/>
      <c r="N437" s="458"/>
      <c r="O437" s="458"/>
      <c r="P437" s="458"/>
      <c r="Q437" s="458"/>
      <c r="R437" s="458"/>
      <c r="S437" s="458"/>
      <c r="T437" s="458"/>
      <c r="U437" s="458"/>
      <c r="V437" s="458"/>
      <c r="W437" s="458"/>
      <c r="X437" s="458"/>
      <c r="Y437" s="458"/>
    </row>
    <row r="438" spans="1:25">
      <c r="A438" s="460"/>
      <c r="B438" s="461"/>
      <c r="C438" s="458"/>
      <c r="D438" s="459"/>
      <c r="E438" s="459"/>
      <c r="F438" s="459"/>
      <c r="G438" s="459"/>
      <c r="H438" s="459"/>
      <c r="I438" s="459"/>
      <c r="J438" s="458"/>
      <c r="K438" s="458"/>
      <c r="L438" s="458"/>
      <c r="M438" s="458"/>
      <c r="N438" s="458"/>
      <c r="O438" s="458"/>
      <c r="P438" s="458"/>
      <c r="Q438" s="458"/>
      <c r="R438" s="458"/>
      <c r="S438" s="458"/>
      <c r="T438" s="458"/>
      <c r="U438" s="458"/>
      <c r="V438" s="458"/>
      <c r="W438" s="458"/>
      <c r="X438" s="458"/>
      <c r="Y438" s="458"/>
    </row>
    <row r="439" spans="1:25">
      <c r="A439" s="460"/>
      <c r="B439" s="461"/>
      <c r="C439" s="458"/>
      <c r="D439" s="459"/>
      <c r="E439" s="459"/>
      <c r="F439" s="459"/>
      <c r="G439" s="459"/>
      <c r="H439" s="459"/>
      <c r="I439" s="459"/>
      <c r="J439" s="458"/>
      <c r="K439" s="458"/>
      <c r="L439" s="458"/>
      <c r="M439" s="458"/>
      <c r="N439" s="458"/>
      <c r="O439" s="458"/>
      <c r="P439" s="458"/>
      <c r="Q439" s="458"/>
      <c r="R439" s="458"/>
      <c r="S439" s="458"/>
      <c r="T439" s="458"/>
      <c r="U439" s="458"/>
      <c r="V439" s="458"/>
      <c r="W439" s="458"/>
      <c r="X439" s="458"/>
      <c r="Y439" s="458"/>
    </row>
    <row r="440" spans="1:25">
      <c r="A440" s="460"/>
      <c r="B440" s="461"/>
      <c r="C440" s="458"/>
      <c r="D440" s="459"/>
      <c r="E440" s="459"/>
      <c r="F440" s="459"/>
      <c r="G440" s="459"/>
      <c r="H440" s="459"/>
      <c r="I440" s="459"/>
      <c r="J440" s="458"/>
      <c r="K440" s="458"/>
      <c r="L440" s="458"/>
      <c r="M440" s="458"/>
      <c r="N440" s="458"/>
      <c r="O440" s="458"/>
      <c r="P440" s="458"/>
      <c r="Q440" s="458"/>
      <c r="R440" s="458"/>
      <c r="S440" s="458"/>
      <c r="T440" s="458"/>
      <c r="U440" s="458"/>
      <c r="V440" s="458"/>
      <c r="W440" s="458"/>
      <c r="X440" s="458"/>
      <c r="Y440" s="458"/>
    </row>
    <row r="441" spans="1:25">
      <c r="A441" s="460"/>
      <c r="B441" s="461"/>
      <c r="C441" s="458"/>
      <c r="D441" s="459"/>
      <c r="E441" s="459"/>
      <c r="F441" s="459"/>
      <c r="G441" s="459"/>
      <c r="H441" s="459"/>
      <c r="I441" s="459"/>
      <c r="J441" s="458"/>
      <c r="K441" s="458"/>
      <c r="L441" s="458"/>
      <c r="M441" s="458"/>
      <c r="N441" s="458"/>
      <c r="O441" s="458"/>
      <c r="P441" s="458"/>
      <c r="Q441" s="458"/>
      <c r="R441" s="458"/>
      <c r="S441" s="458"/>
      <c r="T441" s="458"/>
      <c r="U441" s="458"/>
      <c r="V441" s="458"/>
      <c r="W441" s="458"/>
      <c r="X441" s="458"/>
      <c r="Y441" s="458"/>
    </row>
    <row r="442" spans="1:25">
      <c r="A442" s="460"/>
      <c r="B442" s="461"/>
      <c r="C442" s="458"/>
      <c r="D442" s="459"/>
      <c r="E442" s="459"/>
      <c r="F442" s="459"/>
      <c r="G442" s="459"/>
      <c r="H442" s="459"/>
      <c r="I442" s="459"/>
      <c r="J442" s="458"/>
      <c r="K442" s="458"/>
      <c r="L442" s="458"/>
      <c r="M442" s="458"/>
      <c r="N442" s="458"/>
      <c r="O442" s="458"/>
      <c r="P442" s="458"/>
      <c r="Q442" s="458"/>
      <c r="R442" s="458"/>
      <c r="S442" s="458"/>
      <c r="T442" s="458"/>
      <c r="U442" s="458"/>
      <c r="V442" s="458"/>
      <c r="W442" s="458"/>
      <c r="X442" s="458"/>
      <c r="Y442" s="458"/>
    </row>
    <row r="443" spans="1:25">
      <c r="A443" s="460"/>
      <c r="B443" s="461"/>
      <c r="C443" s="458"/>
      <c r="D443" s="459"/>
      <c r="E443" s="459"/>
      <c r="F443" s="459"/>
      <c r="G443" s="459"/>
      <c r="H443" s="459"/>
      <c r="I443" s="459"/>
      <c r="J443" s="458"/>
      <c r="K443" s="458"/>
      <c r="L443" s="458"/>
      <c r="M443" s="458"/>
      <c r="N443" s="458"/>
      <c r="O443" s="458"/>
      <c r="P443" s="458"/>
      <c r="Q443" s="458"/>
      <c r="R443" s="458"/>
      <c r="S443" s="458"/>
      <c r="T443" s="458"/>
      <c r="U443" s="458"/>
      <c r="V443" s="458"/>
      <c r="W443" s="458"/>
      <c r="X443" s="458"/>
      <c r="Y443" s="458"/>
    </row>
    <row r="444" spans="1:25">
      <c r="A444" s="460"/>
      <c r="B444" s="461"/>
      <c r="C444" s="458"/>
      <c r="D444" s="459"/>
      <c r="E444" s="459"/>
      <c r="F444" s="459"/>
      <c r="G444" s="459"/>
      <c r="H444" s="459"/>
      <c r="I444" s="459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  <c r="Y444" s="458"/>
    </row>
    <row r="445" spans="1:25">
      <c r="A445" s="460"/>
      <c r="B445" s="461"/>
      <c r="C445" s="458"/>
      <c r="D445" s="459"/>
      <c r="E445" s="459"/>
      <c r="F445" s="459"/>
      <c r="G445" s="459"/>
      <c r="H445" s="459"/>
      <c r="I445" s="459"/>
      <c r="J445" s="458"/>
      <c r="K445" s="458"/>
      <c r="L445" s="458"/>
      <c r="M445" s="458"/>
      <c r="N445" s="458"/>
      <c r="O445" s="458"/>
      <c r="P445" s="458"/>
      <c r="Q445" s="458"/>
      <c r="R445" s="458"/>
      <c r="S445" s="458"/>
      <c r="T445" s="458"/>
      <c r="U445" s="458"/>
      <c r="V445" s="458"/>
      <c r="W445" s="458"/>
      <c r="X445" s="458"/>
      <c r="Y445" s="458"/>
    </row>
    <row r="446" spans="1:25">
      <c r="A446" s="460"/>
      <c r="B446" s="461"/>
      <c r="C446" s="458"/>
      <c r="D446" s="459"/>
      <c r="E446" s="459"/>
      <c r="F446" s="459"/>
      <c r="G446" s="459"/>
      <c r="H446" s="459"/>
      <c r="I446" s="459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  <c r="Y446" s="458"/>
    </row>
    <row r="447" spans="1:25">
      <c r="A447" s="460"/>
      <c r="B447" s="461"/>
      <c r="C447" s="458"/>
      <c r="D447" s="459"/>
      <c r="E447" s="459"/>
      <c r="F447" s="459"/>
      <c r="G447" s="459"/>
      <c r="H447" s="459"/>
      <c r="I447" s="459"/>
      <c r="J447" s="458"/>
      <c r="K447" s="458"/>
      <c r="L447" s="458"/>
      <c r="M447" s="458"/>
      <c r="N447" s="458"/>
      <c r="O447" s="458"/>
      <c r="P447" s="458"/>
      <c r="Q447" s="458"/>
      <c r="R447" s="458"/>
      <c r="S447" s="458"/>
      <c r="T447" s="458"/>
      <c r="U447" s="458"/>
      <c r="V447" s="458"/>
      <c r="W447" s="458"/>
      <c r="X447" s="458"/>
      <c r="Y447" s="458"/>
    </row>
    <row r="448" spans="1:25">
      <c r="A448" s="460"/>
      <c r="B448" s="461"/>
      <c r="C448" s="458"/>
      <c r="D448" s="459"/>
      <c r="E448" s="459"/>
      <c r="F448" s="459"/>
      <c r="G448" s="459"/>
      <c r="H448" s="459"/>
      <c r="I448" s="459"/>
      <c r="J448" s="458"/>
      <c r="K448" s="458"/>
      <c r="L448" s="458"/>
      <c r="M448" s="458"/>
      <c r="N448" s="458"/>
      <c r="O448" s="458"/>
      <c r="P448" s="458"/>
      <c r="Q448" s="458"/>
      <c r="R448" s="458"/>
      <c r="S448" s="458"/>
      <c r="T448" s="458"/>
      <c r="U448" s="458"/>
      <c r="V448" s="458"/>
      <c r="W448" s="458"/>
      <c r="X448" s="458"/>
      <c r="Y448" s="458"/>
    </row>
    <row r="449" spans="1:25">
      <c r="A449" s="460"/>
      <c r="B449" s="461"/>
      <c r="C449" s="458"/>
      <c r="D449" s="459"/>
      <c r="E449" s="459"/>
      <c r="F449" s="459"/>
      <c r="G449" s="459"/>
      <c r="H449" s="459"/>
      <c r="I449" s="459"/>
      <c r="J449" s="458"/>
      <c r="K449" s="458"/>
      <c r="L449" s="458"/>
      <c r="M449" s="458"/>
      <c r="N449" s="458"/>
      <c r="O449" s="458"/>
      <c r="P449" s="458"/>
      <c r="Q449" s="458"/>
      <c r="R449" s="458"/>
      <c r="S449" s="458"/>
      <c r="T449" s="458"/>
      <c r="U449" s="458"/>
      <c r="V449" s="458"/>
      <c r="W449" s="458"/>
      <c r="X449" s="458"/>
      <c r="Y449" s="458"/>
    </row>
    <row r="450" spans="1:25">
      <c r="A450" s="460"/>
      <c r="B450" s="461"/>
      <c r="C450" s="458"/>
      <c r="D450" s="459"/>
      <c r="E450" s="459"/>
      <c r="F450" s="459"/>
      <c r="G450" s="459"/>
      <c r="H450" s="459"/>
      <c r="I450" s="459"/>
      <c r="J450" s="458"/>
      <c r="K450" s="458"/>
      <c r="L450" s="458"/>
      <c r="M450" s="458"/>
      <c r="N450" s="458"/>
      <c r="O450" s="458"/>
      <c r="P450" s="458"/>
      <c r="Q450" s="458"/>
      <c r="R450" s="458"/>
      <c r="S450" s="458"/>
      <c r="T450" s="458"/>
      <c r="U450" s="458"/>
      <c r="V450" s="458"/>
      <c r="W450" s="458"/>
      <c r="X450" s="458"/>
      <c r="Y450" s="458"/>
    </row>
    <row r="451" spans="1:25">
      <c r="A451" s="460"/>
      <c r="B451" s="461"/>
      <c r="C451" s="458"/>
      <c r="D451" s="459"/>
      <c r="E451" s="459"/>
      <c r="F451" s="459"/>
      <c r="G451" s="459"/>
      <c r="H451" s="459"/>
      <c r="I451" s="459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  <c r="Y451" s="458"/>
    </row>
    <row r="452" spans="1:25">
      <c r="A452" s="460"/>
      <c r="B452" s="461"/>
      <c r="C452" s="458"/>
      <c r="D452" s="459"/>
      <c r="E452" s="459"/>
      <c r="F452" s="459"/>
      <c r="G452" s="459"/>
      <c r="H452" s="459"/>
      <c r="I452" s="459"/>
      <c r="J452" s="458"/>
      <c r="K452" s="458"/>
      <c r="L452" s="458"/>
      <c r="M452" s="458"/>
      <c r="N452" s="458"/>
      <c r="O452" s="458"/>
      <c r="P452" s="458"/>
      <c r="Q452" s="458"/>
      <c r="R452" s="458"/>
      <c r="S452" s="458"/>
      <c r="T452" s="458"/>
      <c r="U452" s="458"/>
      <c r="V452" s="458"/>
      <c r="W452" s="458"/>
      <c r="X452" s="458"/>
      <c r="Y452" s="458"/>
    </row>
    <row r="453" spans="1:25">
      <c r="A453" s="460"/>
      <c r="B453" s="461"/>
      <c r="C453" s="458"/>
      <c r="D453" s="459"/>
      <c r="E453" s="459"/>
      <c r="F453" s="459"/>
      <c r="G453" s="459"/>
      <c r="H453" s="459"/>
      <c r="I453" s="459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  <c r="Y453" s="458"/>
    </row>
    <row r="454" spans="1:25">
      <c r="A454" s="460"/>
      <c r="B454" s="461"/>
      <c r="C454" s="458"/>
      <c r="D454" s="459"/>
      <c r="E454" s="459"/>
      <c r="F454" s="459"/>
      <c r="G454" s="459"/>
      <c r="H454" s="459"/>
      <c r="I454" s="459"/>
      <c r="J454" s="458"/>
      <c r="K454" s="458"/>
      <c r="L454" s="458"/>
      <c r="M454" s="458"/>
      <c r="N454" s="458"/>
      <c r="O454" s="458"/>
      <c r="P454" s="458"/>
      <c r="Q454" s="458"/>
      <c r="R454" s="458"/>
      <c r="S454" s="458"/>
      <c r="T454" s="458"/>
      <c r="U454" s="458"/>
      <c r="V454" s="458"/>
      <c r="W454" s="458"/>
      <c r="X454" s="458"/>
      <c r="Y454" s="458"/>
    </row>
    <row r="455" spans="1:25">
      <c r="A455" s="460"/>
      <c r="B455" s="461"/>
      <c r="C455" s="458"/>
      <c r="D455" s="459"/>
      <c r="E455" s="459"/>
      <c r="F455" s="459"/>
      <c r="G455" s="459"/>
      <c r="H455" s="459"/>
      <c r="I455" s="459"/>
      <c r="J455" s="458"/>
      <c r="K455" s="458"/>
      <c r="L455" s="458"/>
      <c r="M455" s="458"/>
      <c r="N455" s="458"/>
      <c r="O455" s="458"/>
      <c r="P455" s="458"/>
      <c r="Q455" s="458"/>
      <c r="R455" s="458"/>
      <c r="S455" s="458"/>
      <c r="T455" s="458"/>
      <c r="U455" s="458"/>
      <c r="V455" s="458"/>
      <c r="W455" s="458"/>
      <c r="X455" s="458"/>
      <c r="Y455" s="458"/>
    </row>
    <row r="456" spans="1:25">
      <c r="A456" s="460"/>
      <c r="B456" s="461"/>
      <c r="C456" s="458"/>
      <c r="D456" s="459"/>
      <c r="E456" s="459"/>
      <c r="F456" s="459"/>
      <c r="G456" s="459"/>
      <c r="H456" s="459"/>
      <c r="I456" s="459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/>
      <c r="Y456" s="458"/>
    </row>
    <row r="457" spans="1:25">
      <c r="A457" s="460"/>
      <c r="B457" s="461"/>
      <c r="C457" s="458"/>
      <c r="D457" s="459"/>
      <c r="E457" s="459"/>
      <c r="F457" s="459"/>
      <c r="G457" s="459"/>
      <c r="H457" s="459"/>
      <c r="I457" s="459"/>
      <c r="J457" s="458"/>
      <c r="K457" s="458"/>
      <c r="L457" s="458"/>
      <c r="M457" s="458"/>
      <c r="N457" s="458"/>
      <c r="O457" s="458"/>
      <c r="P457" s="458"/>
      <c r="Q457" s="458"/>
      <c r="R457" s="458"/>
      <c r="S457" s="458"/>
      <c r="T457" s="458"/>
      <c r="U457" s="458"/>
      <c r="V457" s="458"/>
      <c r="W457" s="458"/>
      <c r="X457" s="458"/>
      <c r="Y457" s="458"/>
    </row>
    <row r="458" spans="1:25">
      <c r="A458" s="460"/>
      <c r="B458" s="461"/>
      <c r="C458" s="458"/>
      <c r="D458" s="459"/>
      <c r="E458" s="459"/>
      <c r="F458" s="459"/>
      <c r="G458" s="459"/>
      <c r="H458" s="459"/>
      <c r="I458" s="459"/>
      <c r="J458" s="458"/>
      <c r="K458" s="458"/>
      <c r="L458" s="458"/>
      <c r="M458" s="458"/>
      <c r="N458" s="458"/>
      <c r="O458" s="458"/>
      <c r="P458" s="458"/>
      <c r="Q458" s="458"/>
      <c r="R458" s="458"/>
      <c r="S458" s="458"/>
      <c r="T458" s="458"/>
      <c r="U458" s="458"/>
      <c r="V458" s="458"/>
      <c r="W458" s="458"/>
      <c r="X458" s="458"/>
      <c r="Y458" s="458"/>
    </row>
    <row r="459" spans="1:25">
      <c r="A459" s="460"/>
      <c r="B459" s="461"/>
      <c r="C459" s="458"/>
      <c r="D459" s="459"/>
      <c r="E459" s="459"/>
      <c r="F459" s="459"/>
      <c r="G459" s="459"/>
      <c r="H459" s="459"/>
      <c r="I459" s="459"/>
      <c r="J459" s="458"/>
      <c r="K459" s="458"/>
      <c r="L459" s="458"/>
      <c r="M459" s="458"/>
      <c r="N459" s="458"/>
      <c r="O459" s="458"/>
      <c r="P459" s="458"/>
      <c r="Q459" s="458"/>
      <c r="R459" s="458"/>
      <c r="S459" s="458"/>
      <c r="T459" s="458"/>
      <c r="U459" s="458"/>
      <c r="V459" s="458"/>
      <c r="W459" s="458"/>
      <c r="X459" s="458"/>
      <c r="Y459" s="458"/>
    </row>
    <row r="460" spans="1:25">
      <c r="A460" s="460"/>
      <c r="B460" s="461"/>
      <c r="C460" s="458"/>
      <c r="D460" s="459"/>
      <c r="E460" s="459"/>
      <c r="F460" s="459"/>
      <c r="G460" s="459"/>
      <c r="H460" s="459"/>
      <c r="I460" s="459"/>
      <c r="J460" s="458"/>
      <c r="K460" s="458"/>
      <c r="L460" s="458"/>
      <c r="M460" s="458"/>
      <c r="N460" s="458"/>
      <c r="O460" s="458"/>
      <c r="P460" s="458"/>
      <c r="Q460" s="458"/>
      <c r="R460" s="458"/>
      <c r="S460" s="458"/>
      <c r="T460" s="458"/>
      <c r="U460" s="458"/>
      <c r="V460" s="458"/>
      <c r="W460" s="458"/>
      <c r="X460" s="458"/>
      <c r="Y460" s="458"/>
    </row>
    <row r="461" spans="1:25">
      <c r="A461" s="460"/>
      <c r="B461" s="461"/>
      <c r="C461" s="458"/>
      <c r="D461" s="459"/>
      <c r="E461" s="459"/>
      <c r="F461" s="459"/>
      <c r="G461" s="459"/>
      <c r="H461" s="459"/>
      <c r="I461" s="459"/>
      <c r="J461" s="458"/>
      <c r="K461" s="458"/>
      <c r="L461" s="458"/>
      <c r="M461" s="458"/>
      <c r="N461" s="458"/>
      <c r="O461" s="458"/>
      <c r="P461" s="458"/>
      <c r="Q461" s="458"/>
      <c r="R461" s="458"/>
      <c r="S461" s="458"/>
      <c r="T461" s="458"/>
      <c r="U461" s="458"/>
      <c r="V461" s="458"/>
      <c r="W461" s="458"/>
      <c r="X461" s="458"/>
      <c r="Y461" s="458"/>
    </row>
    <row r="462" spans="1:25">
      <c r="A462" s="460"/>
      <c r="B462" s="461"/>
      <c r="C462" s="458"/>
      <c r="D462" s="459"/>
      <c r="E462" s="459"/>
      <c r="F462" s="459"/>
      <c r="G462" s="459"/>
      <c r="H462" s="459"/>
      <c r="I462" s="459"/>
      <c r="J462" s="458"/>
      <c r="K462" s="458"/>
      <c r="L462" s="458"/>
      <c r="M462" s="458"/>
      <c r="N462" s="458"/>
      <c r="O462" s="458"/>
      <c r="P462" s="458"/>
      <c r="Q462" s="458"/>
      <c r="R462" s="458"/>
      <c r="S462" s="458"/>
      <c r="T462" s="458"/>
      <c r="U462" s="458"/>
      <c r="V462" s="458"/>
      <c r="W462" s="458"/>
      <c r="X462" s="458"/>
      <c r="Y462" s="458"/>
    </row>
    <row r="463" spans="1:25">
      <c r="A463" s="460"/>
      <c r="B463" s="461"/>
      <c r="C463" s="458"/>
      <c r="D463" s="459"/>
      <c r="E463" s="459"/>
      <c r="F463" s="459"/>
      <c r="G463" s="459"/>
      <c r="H463" s="459"/>
      <c r="I463" s="459"/>
      <c r="J463" s="458"/>
      <c r="K463" s="458"/>
      <c r="L463" s="458"/>
      <c r="M463" s="458"/>
      <c r="N463" s="458"/>
      <c r="O463" s="458"/>
      <c r="P463" s="458"/>
      <c r="Q463" s="458"/>
      <c r="R463" s="458"/>
      <c r="S463" s="458"/>
      <c r="T463" s="458"/>
      <c r="U463" s="458"/>
      <c r="V463" s="458"/>
      <c r="W463" s="458"/>
      <c r="X463" s="458"/>
      <c r="Y463" s="458"/>
    </row>
    <row r="464" spans="1:25">
      <c r="A464" s="460"/>
      <c r="B464" s="461"/>
      <c r="C464" s="458"/>
      <c r="D464" s="459"/>
      <c r="E464" s="459"/>
      <c r="F464" s="459"/>
      <c r="G464" s="459"/>
      <c r="H464" s="459"/>
      <c r="I464" s="459"/>
      <c r="J464" s="458"/>
      <c r="K464" s="458"/>
      <c r="L464" s="458"/>
      <c r="M464" s="458"/>
      <c r="N464" s="458"/>
      <c r="O464" s="458"/>
      <c r="P464" s="458"/>
      <c r="Q464" s="458"/>
      <c r="R464" s="458"/>
      <c r="S464" s="458"/>
      <c r="T464" s="458"/>
      <c r="U464" s="458"/>
      <c r="V464" s="458"/>
      <c r="W464" s="458"/>
      <c r="X464" s="458"/>
      <c r="Y464" s="458"/>
    </row>
    <row r="465" spans="1:25">
      <c r="A465" s="460"/>
      <c r="B465" s="461"/>
      <c r="C465" s="458"/>
      <c r="D465" s="459"/>
      <c r="E465" s="459"/>
      <c r="F465" s="459"/>
      <c r="G465" s="459"/>
      <c r="H465" s="459"/>
      <c r="I465" s="459"/>
      <c r="J465" s="458"/>
      <c r="K465" s="458"/>
      <c r="L465" s="458"/>
      <c r="M465" s="458"/>
      <c r="N465" s="458"/>
      <c r="O465" s="458"/>
      <c r="P465" s="458"/>
      <c r="Q465" s="458"/>
      <c r="R465" s="458"/>
      <c r="S465" s="458"/>
      <c r="T465" s="458"/>
      <c r="U465" s="458"/>
      <c r="V465" s="458"/>
      <c r="W465" s="458"/>
      <c r="X465" s="458"/>
      <c r="Y465" s="458"/>
    </row>
    <row r="466" spans="1:25">
      <c r="A466" s="460"/>
      <c r="B466" s="461"/>
      <c r="C466" s="458"/>
      <c r="D466" s="459"/>
      <c r="E466" s="459"/>
      <c r="F466" s="459"/>
      <c r="G466" s="459"/>
      <c r="H466" s="459"/>
      <c r="I466" s="459"/>
      <c r="J466" s="458"/>
      <c r="K466" s="458"/>
      <c r="L466" s="458"/>
      <c r="M466" s="458"/>
      <c r="N466" s="458"/>
      <c r="O466" s="458"/>
      <c r="P466" s="458"/>
      <c r="Q466" s="458"/>
      <c r="R466" s="458"/>
      <c r="S466" s="458"/>
      <c r="T466" s="458"/>
      <c r="U466" s="458"/>
      <c r="V466" s="458"/>
      <c r="W466" s="458"/>
      <c r="X466" s="458"/>
      <c r="Y466" s="458"/>
    </row>
    <row r="467" spans="1:25">
      <c r="A467" s="460"/>
      <c r="B467" s="461"/>
      <c r="C467" s="458"/>
      <c r="D467" s="459"/>
      <c r="E467" s="459"/>
      <c r="F467" s="459"/>
      <c r="G467" s="459"/>
      <c r="H467" s="459"/>
      <c r="I467" s="459"/>
      <c r="J467" s="458"/>
      <c r="K467" s="458"/>
      <c r="L467" s="458"/>
      <c r="M467" s="458"/>
      <c r="N467" s="458"/>
      <c r="O467" s="458"/>
      <c r="P467" s="458"/>
      <c r="Q467" s="458"/>
      <c r="R467" s="458"/>
      <c r="S467" s="458"/>
      <c r="T467" s="458"/>
      <c r="U467" s="458"/>
      <c r="V467" s="458"/>
      <c r="W467" s="458"/>
      <c r="X467" s="458"/>
      <c r="Y467" s="458"/>
    </row>
    <row r="468" spans="1:25">
      <c r="A468" s="460"/>
      <c r="B468" s="461"/>
      <c r="C468" s="458"/>
      <c r="D468" s="459"/>
      <c r="E468" s="459"/>
      <c r="F468" s="459"/>
      <c r="G468" s="459"/>
      <c r="H468" s="459"/>
      <c r="I468" s="459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  <c r="Y468" s="458"/>
    </row>
    <row r="469" spans="1:25">
      <c r="A469" s="460"/>
      <c r="B469" s="461"/>
      <c r="C469" s="458"/>
      <c r="D469" s="459"/>
      <c r="E469" s="459"/>
      <c r="F469" s="459"/>
      <c r="G469" s="459"/>
      <c r="H469" s="459"/>
      <c r="I469" s="459"/>
      <c r="J469" s="458"/>
      <c r="K469" s="458"/>
      <c r="L469" s="458"/>
      <c r="M469" s="458"/>
      <c r="N469" s="458"/>
      <c r="O469" s="458"/>
      <c r="P469" s="458"/>
      <c r="Q469" s="458"/>
      <c r="R469" s="458"/>
      <c r="S469" s="458"/>
      <c r="T469" s="458"/>
      <c r="U469" s="458"/>
      <c r="V469" s="458"/>
      <c r="W469" s="458"/>
      <c r="X469" s="458"/>
      <c r="Y469" s="458"/>
    </row>
    <row r="470" spans="1:25">
      <c r="A470" s="460"/>
      <c r="B470" s="461"/>
      <c r="C470" s="458"/>
      <c r="D470" s="459"/>
      <c r="E470" s="459"/>
      <c r="F470" s="459"/>
      <c r="G470" s="459"/>
      <c r="H470" s="459"/>
      <c r="I470" s="459"/>
      <c r="J470" s="458"/>
      <c r="K470" s="458"/>
      <c r="L470" s="458"/>
      <c r="M470" s="458"/>
      <c r="N470" s="458"/>
      <c r="O470" s="458"/>
      <c r="P470" s="458"/>
      <c r="Q470" s="458"/>
      <c r="R470" s="458"/>
      <c r="S470" s="458"/>
      <c r="T470" s="458"/>
      <c r="U470" s="458"/>
      <c r="V470" s="458"/>
      <c r="W470" s="458"/>
      <c r="X470" s="458"/>
      <c r="Y470" s="458"/>
    </row>
    <row r="471" spans="1:25">
      <c r="A471" s="460"/>
      <c r="B471" s="461"/>
      <c r="C471" s="458"/>
      <c r="D471" s="459"/>
      <c r="E471" s="459"/>
      <c r="F471" s="459"/>
      <c r="G471" s="459"/>
      <c r="H471" s="459"/>
      <c r="I471" s="459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  <c r="Y471" s="458"/>
    </row>
    <row r="472" spans="1:25">
      <c r="A472" s="460"/>
      <c r="B472" s="461"/>
      <c r="C472" s="458"/>
      <c r="D472" s="459"/>
      <c r="E472" s="459"/>
      <c r="F472" s="459"/>
      <c r="G472" s="459"/>
      <c r="H472" s="459"/>
      <c r="I472" s="459"/>
      <c r="J472" s="458"/>
      <c r="K472" s="458"/>
      <c r="L472" s="458"/>
      <c r="M472" s="458"/>
      <c r="N472" s="458"/>
      <c r="O472" s="458"/>
      <c r="P472" s="458"/>
      <c r="Q472" s="458"/>
      <c r="R472" s="458"/>
      <c r="S472" s="458"/>
      <c r="T472" s="458"/>
      <c r="U472" s="458"/>
      <c r="V472" s="458"/>
      <c r="W472" s="458"/>
      <c r="X472" s="458"/>
      <c r="Y472" s="458"/>
    </row>
    <row r="473" spans="1:25">
      <c r="A473" s="460"/>
      <c r="B473" s="461"/>
      <c r="C473" s="458"/>
      <c r="D473" s="459"/>
      <c r="E473" s="459"/>
      <c r="F473" s="459"/>
      <c r="G473" s="459"/>
      <c r="H473" s="459"/>
      <c r="I473" s="459"/>
      <c r="J473" s="458"/>
      <c r="K473" s="458"/>
      <c r="L473" s="458"/>
      <c r="M473" s="458"/>
      <c r="N473" s="458"/>
      <c r="O473" s="458"/>
      <c r="P473" s="458"/>
      <c r="Q473" s="458"/>
      <c r="R473" s="458"/>
      <c r="S473" s="458"/>
      <c r="T473" s="458"/>
      <c r="U473" s="458"/>
      <c r="V473" s="458"/>
      <c r="W473" s="458"/>
      <c r="X473" s="458"/>
      <c r="Y473" s="458"/>
    </row>
    <row r="474" spans="1:25">
      <c r="A474" s="460"/>
      <c r="B474" s="461"/>
      <c r="C474" s="458"/>
      <c r="D474" s="459"/>
      <c r="E474" s="459"/>
      <c r="F474" s="459"/>
      <c r="G474" s="459"/>
      <c r="H474" s="459"/>
      <c r="I474" s="459"/>
      <c r="J474" s="458"/>
      <c r="K474" s="458"/>
      <c r="L474" s="458"/>
      <c r="M474" s="458"/>
      <c r="N474" s="458"/>
      <c r="O474" s="458"/>
      <c r="P474" s="458"/>
      <c r="Q474" s="458"/>
      <c r="R474" s="458"/>
      <c r="S474" s="458"/>
      <c r="T474" s="458"/>
      <c r="U474" s="458"/>
      <c r="V474" s="458"/>
      <c r="W474" s="458"/>
      <c r="X474" s="458"/>
      <c r="Y474" s="458"/>
    </row>
    <row r="475" spans="1:25">
      <c r="A475" s="460"/>
      <c r="B475" s="461"/>
      <c r="C475" s="458"/>
      <c r="D475" s="459"/>
      <c r="E475" s="459"/>
      <c r="F475" s="459"/>
      <c r="G475" s="459"/>
      <c r="H475" s="459"/>
      <c r="I475" s="459"/>
      <c r="J475" s="458"/>
      <c r="K475" s="458"/>
      <c r="L475" s="458"/>
      <c r="M475" s="458"/>
      <c r="N475" s="458"/>
      <c r="O475" s="458"/>
      <c r="P475" s="458"/>
      <c r="Q475" s="458"/>
      <c r="R475" s="458"/>
      <c r="S475" s="458"/>
      <c r="T475" s="458"/>
      <c r="U475" s="458"/>
      <c r="V475" s="458"/>
      <c r="W475" s="458"/>
      <c r="X475" s="458"/>
      <c r="Y475" s="458"/>
    </row>
    <row r="476" spans="1:25">
      <c r="A476" s="460"/>
      <c r="B476" s="461"/>
      <c r="C476" s="458"/>
      <c r="D476" s="459"/>
      <c r="E476" s="459"/>
      <c r="F476" s="459"/>
      <c r="G476" s="459"/>
      <c r="H476" s="459"/>
      <c r="I476" s="459"/>
      <c r="J476" s="458"/>
      <c r="K476" s="458"/>
      <c r="L476" s="458"/>
      <c r="M476" s="458"/>
      <c r="N476" s="458"/>
      <c r="O476" s="458"/>
      <c r="P476" s="458"/>
      <c r="Q476" s="458"/>
      <c r="R476" s="458"/>
      <c r="S476" s="458"/>
      <c r="T476" s="458"/>
      <c r="U476" s="458"/>
      <c r="V476" s="458"/>
      <c r="W476" s="458"/>
      <c r="X476" s="458"/>
      <c r="Y476" s="458"/>
    </row>
    <row r="477" spans="1:25">
      <c r="A477" s="460"/>
      <c r="B477" s="461"/>
      <c r="C477" s="458"/>
      <c r="D477" s="459"/>
      <c r="E477" s="459"/>
      <c r="F477" s="459"/>
      <c r="G477" s="459"/>
      <c r="H477" s="459"/>
      <c r="I477" s="459"/>
      <c r="J477" s="458"/>
      <c r="K477" s="458"/>
      <c r="L477" s="458"/>
      <c r="M477" s="458"/>
      <c r="N477" s="458"/>
      <c r="O477" s="458"/>
      <c r="P477" s="458"/>
      <c r="Q477" s="458"/>
      <c r="R477" s="458"/>
      <c r="S477" s="458"/>
      <c r="T477" s="458"/>
      <c r="U477" s="458"/>
      <c r="V477" s="458"/>
      <c r="W477" s="458"/>
      <c r="X477" s="458"/>
      <c r="Y477" s="458"/>
    </row>
    <row r="478" spans="1:25">
      <c r="A478" s="460"/>
      <c r="B478" s="461"/>
      <c r="C478" s="458"/>
      <c r="D478" s="459"/>
      <c r="E478" s="459"/>
      <c r="F478" s="459"/>
      <c r="G478" s="459"/>
      <c r="H478" s="459"/>
      <c r="I478" s="459"/>
      <c r="J478" s="458"/>
      <c r="K478" s="458"/>
      <c r="L478" s="458"/>
      <c r="M478" s="458"/>
      <c r="N478" s="458"/>
      <c r="O478" s="458"/>
      <c r="P478" s="458"/>
      <c r="Q478" s="458"/>
      <c r="R478" s="458"/>
      <c r="S478" s="458"/>
      <c r="T478" s="458"/>
      <c r="U478" s="458"/>
      <c r="V478" s="458"/>
      <c r="W478" s="458"/>
      <c r="X478" s="458"/>
      <c r="Y478" s="458"/>
    </row>
    <row r="479" spans="1:25">
      <c r="A479" s="460"/>
      <c r="B479" s="461"/>
      <c r="C479" s="458"/>
      <c r="D479" s="459"/>
      <c r="E479" s="459"/>
      <c r="F479" s="459"/>
      <c r="G479" s="459"/>
      <c r="H479" s="459"/>
      <c r="I479" s="459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  <c r="Y479" s="458"/>
    </row>
    <row r="480" spans="1:25">
      <c r="A480" s="460"/>
      <c r="B480" s="461"/>
      <c r="C480" s="458"/>
      <c r="D480" s="459"/>
      <c r="E480" s="459"/>
      <c r="F480" s="459"/>
      <c r="G480" s="459"/>
      <c r="H480" s="459"/>
      <c r="I480" s="459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  <c r="Y480" s="458"/>
    </row>
    <row r="481" spans="1:25">
      <c r="A481" s="460"/>
      <c r="B481" s="461"/>
      <c r="C481" s="458"/>
      <c r="D481" s="459"/>
      <c r="E481" s="459"/>
      <c r="F481" s="459"/>
      <c r="G481" s="459"/>
      <c r="H481" s="459"/>
      <c r="I481" s="459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</row>
    <row r="482" spans="1:25">
      <c r="A482" s="460"/>
      <c r="B482" s="461"/>
      <c r="C482" s="458"/>
      <c r="D482" s="459"/>
      <c r="E482" s="459"/>
      <c r="F482" s="459"/>
      <c r="G482" s="459"/>
      <c r="H482" s="459"/>
      <c r="I482" s="459"/>
      <c r="J482" s="458"/>
      <c r="K482" s="458"/>
      <c r="L482" s="458"/>
      <c r="M482" s="458"/>
      <c r="N482" s="458"/>
      <c r="O482" s="458"/>
      <c r="P482" s="458"/>
      <c r="Q482" s="458"/>
      <c r="R482" s="458"/>
      <c r="S482" s="458"/>
      <c r="T482" s="458"/>
      <c r="U482" s="458"/>
      <c r="V482" s="458"/>
      <c r="W482" s="458"/>
      <c r="X482" s="458"/>
      <c r="Y482" s="458"/>
    </row>
    <row r="483" spans="1:25">
      <c r="A483" s="460"/>
      <c r="B483" s="461"/>
      <c r="C483" s="458"/>
      <c r="D483" s="459"/>
      <c r="E483" s="459"/>
      <c r="F483" s="459"/>
      <c r="G483" s="459"/>
      <c r="H483" s="459"/>
      <c r="I483" s="459"/>
      <c r="J483" s="458"/>
      <c r="K483" s="458"/>
      <c r="L483" s="458"/>
      <c r="M483" s="458"/>
      <c r="N483" s="458"/>
      <c r="O483" s="458"/>
      <c r="P483" s="458"/>
      <c r="Q483" s="458"/>
      <c r="R483" s="458"/>
      <c r="S483" s="458"/>
      <c r="T483" s="458"/>
      <c r="U483" s="458"/>
      <c r="V483" s="458"/>
      <c r="W483" s="458"/>
      <c r="X483" s="458"/>
      <c r="Y483" s="458"/>
    </row>
    <row r="484" spans="1:25">
      <c r="A484" s="460"/>
      <c r="B484" s="461"/>
      <c r="C484" s="458"/>
      <c r="D484" s="459"/>
      <c r="E484" s="459"/>
      <c r="F484" s="459"/>
      <c r="G484" s="459"/>
      <c r="H484" s="459"/>
      <c r="I484" s="459"/>
      <c r="J484" s="458"/>
      <c r="K484" s="458"/>
      <c r="L484" s="458"/>
      <c r="M484" s="458"/>
      <c r="N484" s="458"/>
      <c r="O484" s="458"/>
      <c r="P484" s="458"/>
      <c r="Q484" s="458"/>
      <c r="R484" s="458"/>
      <c r="S484" s="458"/>
      <c r="T484" s="458"/>
      <c r="U484" s="458"/>
      <c r="V484" s="458"/>
      <c r="W484" s="458"/>
      <c r="X484" s="458"/>
      <c r="Y484" s="458"/>
    </row>
    <row r="485" spans="1:25">
      <c r="A485" s="460"/>
      <c r="B485" s="461"/>
      <c r="C485" s="458"/>
      <c r="D485" s="459"/>
      <c r="E485" s="459"/>
      <c r="F485" s="459"/>
      <c r="G485" s="459"/>
      <c r="H485" s="459"/>
      <c r="I485" s="459"/>
      <c r="J485" s="458"/>
      <c r="K485" s="458"/>
      <c r="L485" s="458"/>
      <c r="M485" s="458"/>
      <c r="N485" s="458"/>
      <c r="O485" s="458"/>
      <c r="P485" s="458"/>
      <c r="Q485" s="458"/>
      <c r="R485" s="458"/>
      <c r="S485" s="458"/>
      <c r="T485" s="458"/>
      <c r="U485" s="458"/>
      <c r="V485" s="458"/>
      <c r="W485" s="458"/>
      <c r="X485" s="458"/>
      <c r="Y485" s="458"/>
    </row>
    <row r="486" spans="1:25">
      <c r="A486" s="460"/>
      <c r="B486" s="461"/>
      <c r="C486" s="458"/>
      <c r="D486" s="459"/>
      <c r="E486" s="459"/>
      <c r="F486" s="459"/>
      <c r="G486" s="459"/>
      <c r="H486" s="459"/>
      <c r="I486" s="459"/>
      <c r="J486" s="458"/>
      <c r="K486" s="458"/>
      <c r="L486" s="458"/>
      <c r="M486" s="458"/>
      <c r="N486" s="458"/>
      <c r="O486" s="458"/>
      <c r="P486" s="458"/>
      <c r="Q486" s="458"/>
      <c r="R486" s="458"/>
      <c r="S486" s="458"/>
      <c r="T486" s="458"/>
      <c r="U486" s="458"/>
      <c r="V486" s="458"/>
      <c r="W486" s="458"/>
      <c r="X486" s="458"/>
      <c r="Y486" s="458"/>
    </row>
    <row r="487" spans="1:25">
      <c r="A487" s="460"/>
      <c r="B487" s="461"/>
      <c r="C487" s="458"/>
      <c r="D487" s="459"/>
      <c r="E487" s="459"/>
      <c r="F487" s="459"/>
      <c r="G487" s="459"/>
      <c r="H487" s="459"/>
      <c r="I487" s="459"/>
      <c r="J487" s="458"/>
      <c r="K487" s="458"/>
      <c r="L487" s="458"/>
      <c r="M487" s="458"/>
      <c r="N487" s="458"/>
      <c r="O487" s="458"/>
      <c r="P487" s="458"/>
      <c r="Q487" s="458"/>
      <c r="R487" s="458"/>
      <c r="S487" s="458"/>
      <c r="T487" s="458"/>
      <c r="U487" s="458"/>
      <c r="V487" s="458"/>
      <c r="W487" s="458"/>
      <c r="X487" s="458"/>
      <c r="Y487" s="458"/>
    </row>
    <row r="488" spans="1:25">
      <c r="A488" s="460"/>
      <c r="B488" s="461"/>
      <c r="C488" s="458"/>
      <c r="D488" s="459"/>
      <c r="E488" s="459"/>
      <c r="F488" s="459"/>
      <c r="G488" s="459"/>
      <c r="H488" s="459"/>
      <c r="I488" s="459"/>
      <c r="J488" s="458"/>
      <c r="K488" s="458"/>
      <c r="L488" s="458"/>
      <c r="M488" s="458"/>
      <c r="N488" s="458"/>
      <c r="O488" s="458"/>
      <c r="P488" s="458"/>
      <c r="Q488" s="458"/>
      <c r="R488" s="458"/>
      <c r="S488" s="458"/>
      <c r="T488" s="458"/>
      <c r="U488" s="458"/>
      <c r="V488" s="458"/>
      <c r="W488" s="458"/>
      <c r="X488" s="458"/>
      <c r="Y488" s="458"/>
    </row>
    <row r="489" spans="1:25">
      <c r="A489" s="460"/>
      <c r="B489" s="461"/>
      <c r="C489" s="458"/>
      <c r="D489" s="459"/>
      <c r="E489" s="459"/>
      <c r="F489" s="459"/>
      <c r="G489" s="459"/>
      <c r="H489" s="459"/>
      <c r="I489" s="459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458"/>
      <c r="V489" s="458"/>
      <c r="W489" s="458"/>
      <c r="X489" s="458"/>
      <c r="Y489" s="458"/>
    </row>
    <row r="490" spans="1:25">
      <c r="A490" s="460"/>
      <c r="B490" s="461"/>
      <c r="C490" s="458"/>
      <c r="D490" s="459"/>
      <c r="E490" s="459"/>
      <c r="F490" s="459"/>
      <c r="G490" s="459"/>
      <c r="H490" s="459"/>
      <c r="I490" s="459"/>
      <c r="J490" s="458"/>
      <c r="K490" s="458"/>
      <c r="L490" s="458"/>
      <c r="M490" s="458"/>
      <c r="N490" s="458"/>
      <c r="O490" s="458"/>
      <c r="P490" s="458"/>
      <c r="Q490" s="458"/>
      <c r="R490" s="458"/>
      <c r="S490" s="458"/>
      <c r="T490" s="458"/>
      <c r="U490" s="458"/>
      <c r="V490" s="458"/>
      <c r="W490" s="458"/>
      <c r="X490" s="458"/>
      <c r="Y490" s="458"/>
    </row>
    <row r="491" spans="1:25">
      <c r="A491" s="460"/>
      <c r="B491" s="461"/>
      <c r="C491" s="458"/>
      <c r="D491" s="459"/>
      <c r="E491" s="459"/>
      <c r="F491" s="459"/>
      <c r="G491" s="459"/>
      <c r="H491" s="459"/>
      <c r="I491" s="459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  <c r="Y491" s="458"/>
    </row>
    <row r="492" spans="1:25">
      <c r="A492" s="460"/>
      <c r="B492" s="461"/>
      <c r="C492" s="458"/>
      <c r="D492" s="459"/>
      <c r="E492" s="459"/>
      <c r="F492" s="459"/>
      <c r="G492" s="459"/>
      <c r="H492" s="459"/>
      <c r="I492" s="459"/>
      <c r="J492" s="458"/>
      <c r="K492" s="458"/>
      <c r="L492" s="458"/>
      <c r="M492" s="458"/>
      <c r="N492" s="458"/>
      <c r="O492" s="458"/>
      <c r="P492" s="458"/>
      <c r="Q492" s="458"/>
      <c r="R492" s="458"/>
      <c r="S492" s="458"/>
      <c r="T492" s="458"/>
      <c r="U492" s="458"/>
      <c r="V492" s="458"/>
      <c r="W492" s="458"/>
      <c r="X492" s="458"/>
      <c r="Y492" s="458"/>
    </row>
    <row r="493" spans="1:25">
      <c r="A493" s="460"/>
      <c r="B493" s="461"/>
      <c r="C493" s="458"/>
      <c r="D493" s="459"/>
      <c r="E493" s="459"/>
      <c r="F493" s="459"/>
      <c r="G493" s="459"/>
      <c r="H493" s="459"/>
      <c r="I493" s="459"/>
      <c r="J493" s="458"/>
      <c r="K493" s="458"/>
      <c r="L493" s="458"/>
      <c r="M493" s="458"/>
      <c r="N493" s="458"/>
      <c r="O493" s="458"/>
      <c r="P493" s="458"/>
      <c r="Q493" s="458"/>
      <c r="R493" s="458"/>
      <c r="S493" s="458"/>
      <c r="T493" s="458"/>
      <c r="U493" s="458"/>
      <c r="V493" s="458"/>
      <c r="W493" s="458"/>
      <c r="X493" s="458"/>
      <c r="Y493" s="458"/>
    </row>
    <row r="494" spans="1:25">
      <c r="A494" s="460"/>
      <c r="B494" s="461"/>
      <c r="C494" s="458"/>
      <c r="D494" s="459"/>
      <c r="E494" s="459"/>
      <c r="F494" s="459"/>
      <c r="G494" s="459"/>
      <c r="H494" s="459"/>
      <c r="I494" s="459"/>
      <c r="J494" s="458"/>
      <c r="K494" s="458"/>
      <c r="L494" s="458"/>
      <c r="M494" s="458"/>
      <c r="N494" s="458"/>
      <c r="O494" s="458"/>
      <c r="P494" s="458"/>
      <c r="Q494" s="458"/>
      <c r="R494" s="458"/>
      <c r="S494" s="458"/>
      <c r="T494" s="458"/>
      <c r="U494" s="458"/>
      <c r="V494" s="458"/>
      <c r="W494" s="458"/>
      <c r="X494" s="458"/>
      <c r="Y494" s="458"/>
    </row>
    <row r="495" spans="1:25">
      <c r="A495" s="460"/>
      <c r="B495" s="461"/>
      <c r="C495" s="458"/>
      <c r="D495" s="459"/>
      <c r="E495" s="459"/>
      <c r="F495" s="459"/>
      <c r="G495" s="459"/>
      <c r="H495" s="459"/>
      <c r="I495" s="459"/>
      <c r="J495" s="458"/>
      <c r="K495" s="458"/>
      <c r="L495" s="458"/>
      <c r="M495" s="458"/>
      <c r="N495" s="458"/>
      <c r="O495" s="458"/>
      <c r="P495" s="458"/>
      <c r="Q495" s="458"/>
      <c r="R495" s="458"/>
      <c r="S495" s="458"/>
      <c r="T495" s="458"/>
      <c r="U495" s="458"/>
      <c r="V495" s="458"/>
      <c r="W495" s="458"/>
      <c r="X495" s="458"/>
      <c r="Y495" s="458"/>
    </row>
    <row r="496" spans="1:25">
      <c r="A496" s="460"/>
      <c r="B496" s="461"/>
      <c r="C496" s="458"/>
      <c r="D496" s="459"/>
      <c r="E496" s="459"/>
      <c r="F496" s="459"/>
      <c r="G496" s="459"/>
      <c r="H496" s="459"/>
      <c r="I496" s="459"/>
      <c r="J496" s="458"/>
      <c r="K496" s="458"/>
      <c r="L496" s="458"/>
      <c r="M496" s="458"/>
      <c r="N496" s="458"/>
      <c r="O496" s="458"/>
      <c r="P496" s="458"/>
      <c r="Q496" s="458"/>
      <c r="R496" s="458"/>
      <c r="S496" s="458"/>
      <c r="T496" s="458"/>
      <c r="U496" s="458"/>
      <c r="V496" s="458"/>
      <c r="W496" s="458"/>
      <c r="X496" s="458"/>
      <c r="Y496" s="458"/>
    </row>
    <row r="497" spans="1:25">
      <c r="A497" s="460"/>
      <c r="B497" s="461"/>
      <c r="C497" s="458"/>
      <c r="D497" s="459"/>
      <c r="E497" s="459"/>
      <c r="F497" s="459"/>
      <c r="G497" s="459"/>
      <c r="H497" s="459"/>
      <c r="I497" s="459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  <c r="Y497" s="458"/>
    </row>
    <row r="498" spans="1:25">
      <c r="A498" s="460"/>
      <c r="B498" s="461"/>
      <c r="C498" s="458"/>
      <c r="D498" s="459"/>
      <c r="E498" s="459"/>
      <c r="F498" s="459"/>
      <c r="G498" s="459"/>
      <c r="H498" s="459"/>
      <c r="I498" s="459"/>
      <c r="J498" s="458"/>
      <c r="K498" s="458"/>
      <c r="L498" s="458"/>
      <c r="M498" s="458"/>
      <c r="N498" s="458"/>
      <c r="O498" s="458"/>
      <c r="P498" s="458"/>
      <c r="Q498" s="458"/>
      <c r="R498" s="458"/>
      <c r="S498" s="458"/>
      <c r="T498" s="458"/>
      <c r="U498" s="458"/>
      <c r="V498" s="458"/>
      <c r="W498" s="458"/>
      <c r="X498" s="458"/>
      <c r="Y498" s="458"/>
    </row>
    <row r="499" spans="1:25">
      <c r="A499" s="460"/>
      <c r="B499" s="461"/>
      <c r="C499" s="458"/>
      <c r="D499" s="459"/>
      <c r="E499" s="459"/>
      <c r="F499" s="459"/>
      <c r="G499" s="459"/>
      <c r="H499" s="459"/>
      <c r="I499" s="459"/>
      <c r="J499" s="458"/>
      <c r="K499" s="458"/>
      <c r="L499" s="458"/>
      <c r="M499" s="458"/>
      <c r="N499" s="458"/>
      <c r="O499" s="458"/>
      <c r="P499" s="458"/>
      <c r="Q499" s="458"/>
      <c r="R499" s="458"/>
      <c r="S499" s="458"/>
      <c r="T499" s="458"/>
      <c r="U499" s="458"/>
      <c r="V499" s="458"/>
      <c r="W499" s="458"/>
      <c r="X499" s="458"/>
      <c r="Y499" s="458"/>
    </row>
    <row r="500" spans="1:25">
      <c r="A500" s="460"/>
      <c r="B500" s="461"/>
      <c r="C500" s="458"/>
      <c r="D500" s="459"/>
      <c r="E500" s="459"/>
      <c r="F500" s="459"/>
      <c r="G500" s="459"/>
      <c r="H500" s="459"/>
      <c r="I500" s="459"/>
      <c r="J500" s="458"/>
      <c r="K500" s="458"/>
      <c r="L500" s="458"/>
      <c r="M500" s="458"/>
      <c r="N500" s="458"/>
      <c r="O500" s="458"/>
      <c r="P500" s="458"/>
      <c r="Q500" s="458"/>
      <c r="R500" s="458"/>
      <c r="S500" s="458"/>
      <c r="T500" s="458"/>
      <c r="U500" s="458"/>
      <c r="V500" s="458"/>
      <c r="W500" s="458"/>
      <c r="X500" s="458"/>
      <c r="Y500" s="458"/>
    </row>
    <row r="501" spans="1:25">
      <c r="A501" s="460"/>
      <c r="B501" s="461"/>
      <c r="C501" s="458"/>
      <c r="D501" s="459"/>
      <c r="E501" s="459"/>
      <c r="F501" s="459"/>
      <c r="G501" s="459"/>
      <c r="H501" s="459"/>
      <c r="I501" s="459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  <c r="Y501" s="458"/>
    </row>
    <row r="502" spans="1:25">
      <c r="A502" s="460"/>
      <c r="B502" s="461"/>
      <c r="C502" s="458"/>
      <c r="D502" s="459"/>
      <c r="E502" s="459"/>
      <c r="F502" s="459"/>
      <c r="G502" s="459"/>
      <c r="H502" s="459"/>
      <c r="I502" s="459"/>
      <c r="J502" s="458"/>
      <c r="K502" s="458"/>
      <c r="L502" s="458"/>
      <c r="M502" s="458"/>
      <c r="N502" s="458"/>
      <c r="O502" s="458"/>
      <c r="P502" s="458"/>
      <c r="Q502" s="458"/>
      <c r="R502" s="458"/>
      <c r="S502" s="458"/>
      <c r="T502" s="458"/>
      <c r="U502" s="458"/>
      <c r="V502" s="458"/>
      <c r="W502" s="458"/>
      <c r="X502" s="458"/>
      <c r="Y502" s="458"/>
    </row>
    <row r="503" spans="1:25">
      <c r="A503" s="460"/>
      <c r="B503" s="461"/>
      <c r="C503" s="458"/>
      <c r="D503" s="459"/>
      <c r="E503" s="459"/>
      <c r="F503" s="459"/>
      <c r="G503" s="459"/>
      <c r="H503" s="459"/>
      <c r="I503" s="459"/>
      <c r="J503" s="458"/>
      <c r="K503" s="458"/>
      <c r="L503" s="458"/>
      <c r="M503" s="458"/>
      <c r="N503" s="458"/>
      <c r="O503" s="458"/>
      <c r="P503" s="458"/>
      <c r="Q503" s="458"/>
      <c r="R503" s="458"/>
      <c r="S503" s="458"/>
      <c r="T503" s="458"/>
      <c r="U503" s="458"/>
      <c r="V503" s="458"/>
      <c r="W503" s="458"/>
      <c r="X503" s="458"/>
      <c r="Y503" s="458"/>
    </row>
    <row r="504" spans="1:25">
      <c r="A504" s="460"/>
      <c r="B504" s="461"/>
      <c r="C504" s="458"/>
      <c r="D504" s="459"/>
      <c r="E504" s="459"/>
      <c r="F504" s="459"/>
      <c r="G504" s="459"/>
      <c r="H504" s="459"/>
      <c r="I504" s="459"/>
      <c r="J504" s="458"/>
      <c r="K504" s="458"/>
      <c r="L504" s="458"/>
      <c r="M504" s="458"/>
      <c r="N504" s="458"/>
      <c r="O504" s="458"/>
      <c r="P504" s="458"/>
      <c r="Q504" s="458"/>
      <c r="R504" s="458"/>
      <c r="S504" s="458"/>
      <c r="T504" s="458"/>
      <c r="U504" s="458"/>
      <c r="V504" s="458"/>
      <c r="W504" s="458"/>
      <c r="X504" s="458"/>
      <c r="Y504" s="458"/>
    </row>
    <row r="505" spans="1:25">
      <c r="A505" s="460"/>
      <c r="B505" s="461"/>
      <c r="C505" s="458"/>
      <c r="D505" s="459"/>
      <c r="E505" s="459"/>
      <c r="F505" s="459"/>
      <c r="G505" s="459"/>
      <c r="H505" s="459"/>
      <c r="I505" s="459"/>
      <c r="J505" s="458"/>
      <c r="K505" s="458"/>
      <c r="L505" s="458"/>
      <c r="M505" s="458"/>
      <c r="N505" s="458"/>
      <c r="O505" s="458"/>
      <c r="P505" s="458"/>
      <c r="Q505" s="458"/>
      <c r="R505" s="458"/>
      <c r="S505" s="458"/>
      <c r="T505" s="458"/>
      <c r="U505" s="458"/>
      <c r="V505" s="458"/>
      <c r="W505" s="458"/>
      <c r="X505" s="458"/>
      <c r="Y505" s="458"/>
    </row>
    <row r="506" spans="1:25">
      <c r="A506" s="460"/>
      <c r="B506" s="461"/>
      <c r="C506" s="458"/>
      <c r="D506" s="459"/>
      <c r="E506" s="459"/>
      <c r="F506" s="459"/>
      <c r="G506" s="459"/>
      <c r="H506" s="459"/>
      <c r="I506" s="459"/>
      <c r="J506" s="458"/>
      <c r="K506" s="458"/>
      <c r="L506" s="458"/>
      <c r="M506" s="458"/>
      <c r="N506" s="458"/>
      <c r="O506" s="458"/>
      <c r="P506" s="458"/>
      <c r="Q506" s="458"/>
      <c r="R506" s="458"/>
      <c r="S506" s="458"/>
      <c r="T506" s="458"/>
      <c r="U506" s="458"/>
      <c r="V506" s="458"/>
      <c r="W506" s="458"/>
      <c r="X506" s="458"/>
      <c r="Y506" s="458"/>
    </row>
    <row r="507" spans="1:25">
      <c r="A507" s="460"/>
      <c r="B507" s="461"/>
      <c r="C507" s="458"/>
      <c r="D507" s="459"/>
      <c r="E507" s="459"/>
      <c r="F507" s="459"/>
      <c r="G507" s="459"/>
      <c r="H507" s="459"/>
      <c r="I507" s="459"/>
      <c r="J507" s="458"/>
      <c r="K507" s="458"/>
      <c r="L507" s="458"/>
      <c r="M507" s="458"/>
      <c r="N507" s="458"/>
      <c r="O507" s="458"/>
      <c r="P507" s="458"/>
      <c r="Q507" s="458"/>
      <c r="R507" s="458"/>
      <c r="S507" s="458"/>
      <c r="T507" s="458"/>
      <c r="U507" s="458"/>
      <c r="V507" s="458"/>
      <c r="W507" s="458"/>
      <c r="X507" s="458"/>
      <c r="Y507" s="458"/>
    </row>
    <row r="508" spans="1:25">
      <c r="A508" s="460"/>
      <c r="B508" s="461"/>
      <c r="C508" s="458"/>
      <c r="D508" s="459"/>
      <c r="E508" s="459"/>
      <c r="F508" s="459"/>
      <c r="G508" s="459"/>
      <c r="H508" s="459"/>
      <c r="I508" s="459"/>
      <c r="J508" s="458"/>
      <c r="K508" s="458"/>
      <c r="L508" s="458"/>
      <c r="M508" s="458"/>
      <c r="N508" s="458"/>
      <c r="O508" s="458"/>
      <c r="P508" s="458"/>
      <c r="Q508" s="458"/>
      <c r="R508" s="458"/>
      <c r="S508" s="458"/>
      <c r="T508" s="458"/>
      <c r="U508" s="458"/>
      <c r="V508" s="458"/>
      <c r="W508" s="458"/>
      <c r="X508" s="458"/>
      <c r="Y508" s="458"/>
    </row>
    <row r="509" spans="1:25">
      <c r="A509" s="460"/>
      <c r="B509" s="461"/>
      <c r="C509" s="458"/>
      <c r="D509" s="459"/>
      <c r="E509" s="459"/>
      <c r="F509" s="459"/>
      <c r="G509" s="459"/>
      <c r="H509" s="459"/>
      <c r="I509" s="459"/>
      <c r="J509" s="458"/>
      <c r="K509" s="458"/>
      <c r="L509" s="458"/>
      <c r="M509" s="458"/>
      <c r="N509" s="458"/>
      <c r="O509" s="458"/>
      <c r="P509" s="458"/>
      <c r="Q509" s="458"/>
      <c r="R509" s="458"/>
      <c r="S509" s="458"/>
      <c r="T509" s="458"/>
      <c r="U509" s="458"/>
      <c r="V509" s="458"/>
      <c r="W509" s="458"/>
      <c r="X509" s="458"/>
      <c r="Y509" s="458"/>
    </row>
    <row r="510" spans="1:25">
      <c r="A510" s="460"/>
      <c r="B510" s="461"/>
      <c r="C510" s="458"/>
      <c r="D510" s="459"/>
      <c r="E510" s="459"/>
      <c r="F510" s="459"/>
      <c r="G510" s="459"/>
      <c r="H510" s="459"/>
      <c r="I510" s="459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  <c r="Y510" s="458"/>
    </row>
    <row r="511" spans="1:25">
      <c r="A511" s="460"/>
      <c r="B511" s="461"/>
      <c r="C511" s="458"/>
      <c r="D511" s="459"/>
      <c r="E511" s="459"/>
      <c r="F511" s="459"/>
      <c r="G511" s="459"/>
      <c r="H511" s="459"/>
      <c r="I511" s="459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  <c r="Y511" s="458"/>
    </row>
    <row r="512" spans="1:25">
      <c r="A512" s="460"/>
      <c r="B512" s="461"/>
      <c r="C512" s="458"/>
      <c r="D512" s="459"/>
      <c r="E512" s="459"/>
      <c r="F512" s="459"/>
      <c r="G512" s="459"/>
      <c r="H512" s="459"/>
      <c r="I512" s="459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  <c r="Y512" s="458"/>
    </row>
    <row r="513" spans="1:25">
      <c r="A513" s="460"/>
      <c r="B513" s="461"/>
      <c r="C513" s="458"/>
      <c r="D513" s="459"/>
      <c r="E513" s="459"/>
      <c r="F513" s="459"/>
      <c r="G513" s="459"/>
      <c r="H513" s="459"/>
      <c r="I513" s="459"/>
      <c r="J513" s="458"/>
      <c r="K513" s="458"/>
      <c r="L513" s="458"/>
      <c r="M513" s="458"/>
      <c r="N513" s="458"/>
      <c r="O513" s="458"/>
      <c r="P513" s="458"/>
      <c r="Q513" s="458"/>
      <c r="R513" s="458"/>
      <c r="S513" s="458"/>
      <c r="T513" s="458"/>
      <c r="U513" s="458"/>
      <c r="V513" s="458"/>
      <c r="W513" s="458"/>
      <c r="X513" s="458"/>
      <c r="Y513" s="458"/>
    </row>
    <row r="514" spans="1:25">
      <c r="A514" s="460"/>
      <c r="B514" s="461"/>
      <c r="C514" s="458"/>
      <c r="D514" s="459"/>
      <c r="E514" s="459"/>
      <c r="F514" s="459"/>
      <c r="G514" s="459"/>
      <c r="H514" s="459"/>
      <c r="I514" s="459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  <c r="Y514" s="458"/>
    </row>
    <row r="515" spans="1:25">
      <c r="A515" s="460"/>
      <c r="B515" s="461"/>
      <c r="C515" s="458"/>
      <c r="D515" s="459"/>
      <c r="E515" s="459"/>
      <c r="F515" s="459"/>
      <c r="G515" s="459"/>
      <c r="H515" s="459"/>
      <c r="I515" s="459"/>
      <c r="J515" s="458"/>
      <c r="K515" s="458"/>
      <c r="L515" s="458"/>
      <c r="M515" s="458"/>
      <c r="N515" s="458"/>
      <c r="O515" s="458"/>
      <c r="P515" s="458"/>
      <c r="Q515" s="458"/>
      <c r="R515" s="458"/>
      <c r="S515" s="458"/>
      <c r="T515" s="458"/>
      <c r="U515" s="458"/>
      <c r="V515" s="458"/>
      <c r="W515" s="458"/>
      <c r="X515" s="458"/>
      <c r="Y515" s="458"/>
    </row>
    <row r="516" spans="1:25">
      <c r="A516" s="460"/>
      <c r="B516" s="461"/>
      <c r="C516" s="458"/>
      <c r="D516" s="459"/>
      <c r="E516" s="459"/>
      <c r="F516" s="459"/>
      <c r="G516" s="459"/>
      <c r="H516" s="459"/>
      <c r="I516" s="459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  <c r="Y516" s="458"/>
    </row>
    <row r="517" spans="1:25">
      <c r="A517" s="460"/>
      <c r="B517" s="461"/>
      <c r="C517" s="458"/>
      <c r="D517" s="459"/>
      <c r="E517" s="459"/>
      <c r="F517" s="459"/>
      <c r="G517" s="459"/>
      <c r="H517" s="459"/>
      <c r="I517" s="459"/>
      <c r="J517" s="458"/>
      <c r="K517" s="458"/>
      <c r="L517" s="458"/>
      <c r="M517" s="458"/>
      <c r="N517" s="458"/>
      <c r="O517" s="458"/>
      <c r="P517" s="458"/>
      <c r="Q517" s="458"/>
      <c r="R517" s="458"/>
      <c r="S517" s="458"/>
      <c r="T517" s="458"/>
      <c r="U517" s="458"/>
      <c r="V517" s="458"/>
      <c r="W517" s="458"/>
      <c r="X517" s="458"/>
      <c r="Y517" s="458"/>
    </row>
    <row r="518" spans="1:25">
      <c r="A518" s="460"/>
      <c r="B518" s="461"/>
      <c r="C518" s="458"/>
      <c r="D518" s="459"/>
      <c r="E518" s="459"/>
      <c r="F518" s="459"/>
      <c r="G518" s="459"/>
      <c r="H518" s="459"/>
      <c r="I518" s="459"/>
      <c r="J518" s="458"/>
      <c r="K518" s="458"/>
      <c r="L518" s="458"/>
      <c r="M518" s="458"/>
      <c r="N518" s="458"/>
      <c r="O518" s="458"/>
      <c r="P518" s="458"/>
      <c r="Q518" s="458"/>
      <c r="R518" s="458"/>
      <c r="S518" s="458"/>
      <c r="T518" s="458"/>
      <c r="U518" s="458"/>
      <c r="V518" s="458"/>
      <c r="W518" s="458"/>
      <c r="X518" s="458"/>
      <c r="Y518" s="458"/>
    </row>
    <row r="519" spans="1:25">
      <c r="A519" s="460"/>
      <c r="B519" s="461"/>
      <c r="C519" s="458"/>
      <c r="D519" s="459"/>
      <c r="E519" s="459"/>
      <c r="F519" s="459"/>
      <c r="G519" s="459"/>
      <c r="H519" s="459"/>
      <c r="I519" s="459"/>
      <c r="J519" s="458"/>
      <c r="K519" s="458"/>
      <c r="L519" s="458"/>
      <c r="M519" s="458"/>
      <c r="N519" s="458"/>
      <c r="O519" s="458"/>
      <c r="P519" s="458"/>
      <c r="Q519" s="458"/>
      <c r="R519" s="458"/>
      <c r="S519" s="458"/>
      <c r="T519" s="458"/>
      <c r="U519" s="458"/>
      <c r="V519" s="458"/>
      <c r="W519" s="458"/>
      <c r="X519" s="458"/>
      <c r="Y519" s="458"/>
    </row>
    <row r="520" spans="1:25">
      <c r="A520" s="460"/>
      <c r="B520" s="461"/>
      <c r="C520" s="458"/>
      <c r="D520" s="459"/>
      <c r="E520" s="459"/>
      <c r="F520" s="459"/>
      <c r="G520" s="459"/>
      <c r="H520" s="459"/>
      <c r="I520" s="459"/>
      <c r="J520" s="458"/>
      <c r="K520" s="458"/>
      <c r="L520" s="458"/>
      <c r="M520" s="458"/>
      <c r="N520" s="458"/>
      <c r="O520" s="458"/>
      <c r="P520" s="458"/>
      <c r="Q520" s="458"/>
      <c r="R520" s="458"/>
      <c r="S520" s="458"/>
      <c r="T520" s="458"/>
      <c r="U520" s="458"/>
      <c r="V520" s="458"/>
      <c r="W520" s="458"/>
      <c r="X520" s="458"/>
      <c r="Y520" s="458"/>
    </row>
    <row r="521" spans="1:25">
      <c r="A521" s="460"/>
      <c r="B521" s="461"/>
      <c r="C521" s="458"/>
      <c r="D521" s="459"/>
      <c r="E521" s="459"/>
      <c r="F521" s="459"/>
      <c r="G521" s="459"/>
      <c r="H521" s="459"/>
      <c r="I521" s="459"/>
      <c r="J521" s="458"/>
      <c r="K521" s="458"/>
      <c r="L521" s="458"/>
      <c r="M521" s="458"/>
      <c r="N521" s="458"/>
      <c r="O521" s="458"/>
      <c r="P521" s="458"/>
      <c r="Q521" s="458"/>
      <c r="R521" s="458"/>
      <c r="S521" s="458"/>
      <c r="T521" s="458"/>
      <c r="U521" s="458"/>
      <c r="V521" s="458"/>
      <c r="W521" s="458"/>
      <c r="X521" s="458"/>
      <c r="Y521" s="458"/>
    </row>
    <row r="522" spans="1:25">
      <c r="A522" s="460"/>
      <c r="B522" s="461"/>
      <c r="C522" s="458"/>
      <c r="D522" s="459"/>
      <c r="E522" s="459"/>
      <c r="F522" s="459"/>
      <c r="G522" s="459"/>
      <c r="H522" s="459"/>
      <c r="I522" s="459"/>
      <c r="J522" s="458"/>
      <c r="K522" s="458"/>
      <c r="L522" s="458"/>
      <c r="M522" s="458"/>
      <c r="N522" s="458"/>
      <c r="O522" s="458"/>
      <c r="P522" s="458"/>
      <c r="Q522" s="458"/>
      <c r="R522" s="458"/>
      <c r="S522" s="458"/>
      <c r="T522" s="458"/>
      <c r="U522" s="458"/>
      <c r="V522" s="458"/>
      <c r="W522" s="458"/>
      <c r="X522" s="458"/>
      <c r="Y522" s="458"/>
    </row>
    <row r="523" spans="1:25">
      <c r="A523" s="460"/>
      <c r="B523" s="461"/>
      <c r="C523" s="458"/>
      <c r="D523" s="459"/>
      <c r="E523" s="459"/>
      <c r="F523" s="459"/>
      <c r="G523" s="459"/>
      <c r="H523" s="459"/>
      <c r="I523" s="459"/>
      <c r="J523" s="458"/>
      <c r="K523" s="458"/>
      <c r="L523" s="458"/>
      <c r="M523" s="458"/>
      <c r="N523" s="458"/>
      <c r="O523" s="458"/>
      <c r="P523" s="458"/>
      <c r="Q523" s="458"/>
      <c r="R523" s="458"/>
      <c r="S523" s="458"/>
      <c r="T523" s="458"/>
      <c r="U523" s="458"/>
      <c r="V523" s="458"/>
      <c r="W523" s="458"/>
      <c r="X523" s="458"/>
      <c r="Y523" s="458"/>
    </row>
    <row r="524" spans="1:25">
      <c r="A524" s="460"/>
      <c r="B524" s="461"/>
      <c r="C524" s="458"/>
      <c r="D524" s="459"/>
      <c r="E524" s="459"/>
      <c r="F524" s="459"/>
      <c r="G524" s="459"/>
      <c r="H524" s="459"/>
      <c r="I524" s="459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  <c r="Y524" s="458"/>
    </row>
    <row r="525" spans="1:25">
      <c r="A525" s="460"/>
      <c r="B525" s="461"/>
      <c r="C525" s="458"/>
      <c r="D525" s="459"/>
      <c r="E525" s="459"/>
      <c r="F525" s="459"/>
      <c r="G525" s="459"/>
      <c r="H525" s="459"/>
      <c r="I525" s="459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  <c r="Y525" s="458"/>
    </row>
    <row r="526" spans="1:25">
      <c r="A526" s="460"/>
      <c r="B526" s="461"/>
      <c r="C526" s="458"/>
      <c r="D526" s="459"/>
      <c r="E526" s="459"/>
      <c r="F526" s="459"/>
      <c r="G526" s="459"/>
      <c r="H526" s="459"/>
      <c r="I526" s="459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  <c r="Y526" s="458"/>
    </row>
    <row r="527" spans="1:25">
      <c r="A527" s="460"/>
      <c r="B527" s="461"/>
      <c r="C527" s="458"/>
      <c r="D527" s="459"/>
      <c r="E527" s="459"/>
      <c r="F527" s="459"/>
      <c r="G527" s="459"/>
      <c r="H527" s="459"/>
      <c r="I527" s="459"/>
      <c r="J527" s="458"/>
      <c r="K527" s="458"/>
      <c r="L527" s="458"/>
      <c r="M527" s="458"/>
      <c r="N527" s="458"/>
      <c r="O527" s="458"/>
      <c r="P527" s="458"/>
      <c r="Q527" s="458"/>
      <c r="R527" s="458"/>
      <c r="S527" s="458"/>
      <c r="T527" s="458"/>
      <c r="U527" s="458"/>
      <c r="V527" s="458"/>
      <c r="W527" s="458"/>
      <c r="X527" s="458"/>
      <c r="Y527" s="458"/>
    </row>
    <row r="528" spans="1:25">
      <c r="A528" s="460"/>
      <c r="B528" s="461"/>
      <c r="C528" s="458"/>
      <c r="D528" s="459"/>
      <c r="E528" s="459"/>
      <c r="F528" s="459"/>
      <c r="G528" s="459"/>
      <c r="H528" s="459"/>
      <c r="I528" s="459"/>
      <c r="J528" s="458"/>
      <c r="K528" s="458"/>
      <c r="L528" s="458"/>
      <c r="M528" s="458"/>
      <c r="N528" s="458"/>
      <c r="O528" s="458"/>
      <c r="P528" s="458"/>
      <c r="Q528" s="458"/>
      <c r="R528" s="458"/>
      <c r="S528" s="458"/>
      <c r="T528" s="458"/>
      <c r="U528" s="458"/>
      <c r="V528" s="458"/>
      <c r="W528" s="458"/>
      <c r="X528" s="458"/>
      <c r="Y528" s="458"/>
    </row>
    <row r="529" spans="1:25">
      <c r="A529" s="460"/>
      <c r="B529" s="461"/>
      <c r="C529" s="458"/>
      <c r="D529" s="459"/>
      <c r="E529" s="459"/>
      <c r="F529" s="459"/>
      <c r="G529" s="459"/>
      <c r="H529" s="459"/>
      <c r="I529" s="459"/>
      <c r="J529" s="458"/>
      <c r="K529" s="458"/>
      <c r="L529" s="458"/>
      <c r="M529" s="458"/>
      <c r="N529" s="458"/>
      <c r="O529" s="458"/>
      <c r="P529" s="458"/>
      <c r="Q529" s="458"/>
      <c r="R529" s="458"/>
      <c r="S529" s="458"/>
      <c r="T529" s="458"/>
      <c r="U529" s="458"/>
      <c r="V529" s="458"/>
      <c r="W529" s="458"/>
      <c r="X529" s="458"/>
      <c r="Y529" s="458"/>
    </row>
    <row r="530" spans="1:25">
      <c r="A530" s="460"/>
      <c r="B530" s="461"/>
      <c r="C530" s="458"/>
      <c r="D530" s="459"/>
      <c r="E530" s="459"/>
      <c r="F530" s="459"/>
      <c r="G530" s="459"/>
      <c r="H530" s="459"/>
      <c r="I530" s="459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  <c r="Y530" s="458"/>
    </row>
    <row r="531" spans="1:25">
      <c r="A531" s="460"/>
      <c r="B531" s="461"/>
      <c r="C531" s="458"/>
      <c r="D531" s="459"/>
      <c r="E531" s="459"/>
      <c r="F531" s="459"/>
      <c r="G531" s="459"/>
      <c r="H531" s="459"/>
      <c r="I531" s="459"/>
      <c r="J531" s="458"/>
      <c r="K531" s="458"/>
      <c r="L531" s="458"/>
      <c r="M531" s="458"/>
      <c r="N531" s="458"/>
      <c r="O531" s="458"/>
      <c r="P531" s="458"/>
      <c r="Q531" s="458"/>
      <c r="R531" s="458"/>
      <c r="S531" s="458"/>
      <c r="T531" s="458"/>
      <c r="U531" s="458"/>
      <c r="V531" s="458"/>
      <c r="W531" s="458"/>
      <c r="X531" s="458"/>
      <c r="Y531" s="458"/>
    </row>
    <row r="532" spans="1:25">
      <c r="A532" s="460"/>
      <c r="B532" s="461"/>
      <c r="C532" s="458"/>
      <c r="D532" s="459"/>
      <c r="E532" s="459"/>
      <c r="F532" s="459"/>
      <c r="G532" s="459"/>
      <c r="H532" s="459"/>
      <c r="I532" s="459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  <c r="Y532" s="458"/>
    </row>
    <row r="533" spans="1:25">
      <c r="A533" s="460"/>
      <c r="B533" s="461"/>
      <c r="C533" s="458"/>
      <c r="D533" s="459"/>
      <c r="E533" s="459"/>
      <c r="F533" s="459"/>
      <c r="G533" s="459"/>
      <c r="H533" s="459"/>
      <c r="I533" s="459"/>
      <c r="J533" s="458"/>
      <c r="K533" s="458"/>
      <c r="L533" s="458"/>
      <c r="M533" s="458"/>
      <c r="N533" s="458"/>
      <c r="O533" s="458"/>
      <c r="P533" s="458"/>
      <c r="Q533" s="458"/>
      <c r="R533" s="458"/>
      <c r="S533" s="458"/>
      <c r="T533" s="458"/>
      <c r="U533" s="458"/>
      <c r="V533" s="458"/>
      <c r="W533" s="458"/>
      <c r="X533" s="458"/>
      <c r="Y533" s="458"/>
    </row>
    <row r="534" spans="1:25">
      <c r="A534" s="460"/>
      <c r="B534" s="461"/>
      <c r="C534" s="458"/>
      <c r="D534" s="459"/>
      <c r="E534" s="459"/>
      <c r="F534" s="459"/>
      <c r="G534" s="459"/>
      <c r="H534" s="459"/>
      <c r="I534" s="459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  <c r="Y534" s="458"/>
    </row>
    <row r="535" spans="1:25">
      <c r="A535" s="460"/>
      <c r="B535" s="461"/>
      <c r="C535" s="458"/>
      <c r="D535" s="459"/>
      <c r="E535" s="459"/>
      <c r="F535" s="459"/>
      <c r="G535" s="459"/>
      <c r="H535" s="459"/>
      <c r="I535" s="459"/>
      <c r="J535" s="458"/>
      <c r="K535" s="458"/>
      <c r="L535" s="458"/>
      <c r="M535" s="458"/>
      <c r="N535" s="458"/>
      <c r="O535" s="458"/>
      <c r="P535" s="458"/>
      <c r="Q535" s="458"/>
      <c r="R535" s="458"/>
      <c r="S535" s="458"/>
      <c r="T535" s="458"/>
      <c r="U535" s="458"/>
      <c r="V535" s="458"/>
      <c r="W535" s="458"/>
      <c r="X535" s="458"/>
      <c r="Y535" s="458"/>
    </row>
    <row r="536" spans="1:25">
      <c r="A536" s="460"/>
      <c r="B536" s="461"/>
      <c r="C536" s="458"/>
      <c r="D536" s="459"/>
      <c r="E536" s="459"/>
      <c r="F536" s="459"/>
      <c r="G536" s="459"/>
      <c r="H536" s="459"/>
      <c r="I536" s="459"/>
      <c r="J536" s="458"/>
      <c r="K536" s="458"/>
      <c r="L536" s="458"/>
      <c r="M536" s="458"/>
      <c r="N536" s="458"/>
      <c r="O536" s="458"/>
      <c r="P536" s="458"/>
      <c r="Q536" s="458"/>
      <c r="R536" s="458"/>
      <c r="S536" s="458"/>
      <c r="T536" s="458"/>
      <c r="U536" s="458"/>
      <c r="V536" s="458"/>
      <c r="W536" s="458"/>
      <c r="X536" s="458"/>
      <c r="Y536" s="458"/>
    </row>
    <row r="537" spans="1:25">
      <c r="A537" s="460"/>
      <c r="B537" s="461"/>
      <c r="C537" s="458"/>
      <c r="D537" s="459"/>
      <c r="E537" s="459"/>
      <c r="F537" s="459"/>
      <c r="G537" s="459"/>
      <c r="H537" s="459"/>
      <c r="I537" s="459"/>
      <c r="J537" s="458"/>
      <c r="K537" s="458"/>
      <c r="L537" s="458"/>
      <c r="M537" s="458"/>
      <c r="N537" s="458"/>
      <c r="O537" s="458"/>
      <c r="P537" s="458"/>
      <c r="Q537" s="458"/>
      <c r="R537" s="458"/>
      <c r="S537" s="458"/>
      <c r="T537" s="458"/>
      <c r="U537" s="458"/>
      <c r="V537" s="458"/>
      <c r="W537" s="458"/>
      <c r="X537" s="458"/>
      <c r="Y537" s="458"/>
    </row>
    <row r="538" spans="1:25">
      <c r="A538" s="460"/>
      <c r="B538" s="461"/>
      <c r="C538" s="458"/>
      <c r="D538" s="459"/>
      <c r="E538" s="459"/>
      <c r="F538" s="459"/>
      <c r="G538" s="459"/>
      <c r="H538" s="459"/>
      <c r="I538" s="459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  <c r="Y538" s="458"/>
    </row>
    <row r="539" spans="1:25">
      <c r="A539" s="460"/>
      <c r="B539" s="461"/>
      <c r="C539" s="458"/>
      <c r="D539" s="459"/>
      <c r="E539" s="459"/>
      <c r="F539" s="459"/>
      <c r="G539" s="459"/>
      <c r="H539" s="459"/>
      <c r="I539" s="459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  <c r="Y539" s="458"/>
    </row>
    <row r="540" spans="1:25">
      <c r="A540" s="460"/>
      <c r="B540" s="461"/>
      <c r="C540" s="458"/>
      <c r="D540" s="459"/>
      <c r="E540" s="459"/>
      <c r="F540" s="459"/>
      <c r="G540" s="459"/>
      <c r="H540" s="459"/>
      <c r="I540" s="459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  <c r="Y540" s="458"/>
    </row>
    <row r="541" spans="1:25">
      <c r="A541" s="460"/>
      <c r="B541" s="461"/>
      <c r="C541" s="458"/>
      <c r="D541" s="459"/>
      <c r="E541" s="459"/>
      <c r="F541" s="459"/>
      <c r="G541" s="459"/>
      <c r="H541" s="459"/>
      <c r="I541" s="459"/>
      <c r="J541" s="458"/>
      <c r="K541" s="458"/>
      <c r="L541" s="458"/>
      <c r="M541" s="458"/>
      <c r="N541" s="458"/>
      <c r="O541" s="458"/>
      <c r="P541" s="458"/>
      <c r="Q541" s="458"/>
      <c r="R541" s="458"/>
      <c r="S541" s="458"/>
      <c r="T541" s="458"/>
      <c r="U541" s="458"/>
      <c r="V541" s="458"/>
      <c r="W541" s="458"/>
      <c r="X541" s="458"/>
      <c r="Y541" s="458"/>
    </row>
    <row r="542" spans="1:25">
      <c r="A542" s="460"/>
      <c r="B542" s="461"/>
      <c r="C542" s="458"/>
      <c r="D542" s="459"/>
      <c r="E542" s="459"/>
      <c r="F542" s="459"/>
      <c r="G542" s="459"/>
      <c r="H542" s="459"/>
      <c r="I542" s="459"/>
      <c r="J542" s="458"/>
      <c r="K542" s="458"/>
      <c r="L542" s="458"/>
      <c r="M542" s="458"/>
      <c r="N542" s="458"/>
      <c r="O542" s="458"/>
      <c r="P542" s="458"/>
      <c r="Q542" s="458"/>
      <c r="R542" s="458"/>
      <c r="S542" s="458"/>
      <c r="T542" s="458"/>
      <c r="U542" s="458"/>
      <c r="V542" s="458"/>
      <c r="W542" s="458"/>
      <c r="X542" s="458"/>
      <c r="Y542" s="458"/>
    </row>
    <row r="543" spans="1:25">
      <c r="A543" s="460"/>
      <c r="B543" s="461"/>
      <c r="C543" s="458"/>
      <c r="D543" s="459"/>
      <c r="E543" s="459"/>
      <c r="F543" s="459"/>
      <c r="G543" s="459"/>
      <c r="H543" s="459"/>
      <c r="I543" s="459"/>
      <c r="J543" s="458"/>
      <c r="K543" s="458"/>
      <c r="L543" s="458"/>
      <c r="M543" s="458"/>
      <c r="N543" s="458"/>
      <c r="O543" s="458"/>
      <c r="P543" s="458"/>
      <c r="Q543" s="458"/>
      <c r="R543" s="458"/>
      <c r="S543" s="458"/>
      <c r="T543" s="458"/>
      <c r="U543" s="458"/>
      <c r="V543" s="458"/>
      <c r="W543" s="458"/>
      <c r="X543" s="458"/>
      <c r="Y543" s="458"/>
    </row>
    <row r="544" spans="1:25">
      <c r="A544" s="460"/>
      <c r="B544" s="461"/>
      <c r="C544" s="458"/>
      <c r="D544" s="459"/>
      <c r="E544" s="459"/>
      <c r="F544" s="459"/>
      <c r="G544" s="459"/>
      <c r="H544" s="459"/>
      <c r="I544" s="459"/>
      <c r="J544" s="458"/>
      <c r="K544" s="458"/>
      <c r="L544" s="458"/>
      <c r="M544" s="458"/>
      <c r="N544" s="458"/>
      <c r="O544" s="458"/>
      <c r="P544" s="458"/>
      <c r="Q544" s="458"/>
      <c r="R544" s="458"/>
      <c r="S544" s="458"/>
      <c r="T544" s="458"/>
      <c r="U544" s="458"/>
      <c r="V544" s="458"/>
      <c r="W544" s="458"/>
      <c r="X544" s="458"/>
      <c r="Y544" s="458"/>
    </row>
    <row r="545" spans="1:25">
      <c r="A545" s="460"/>
      <c r="B545" s="461"/>
      <c r="C545" s="458"/>
      <c r="D545" s="459"/>
      <c r="E545" s="459"/>
      <c r="F545" s="459"/>
      <c r="G545" s="459"/>
      <c r="H545" s="459"/>
      <c r="I545" s="459"/>
      <c r="J545" s="458"/>
      <c r="K545" s="458"/>
      <c r="L545" s="458"/>
      <c r="M545" s="458"/>
      <c r="N545" s="458"/>
      <c r="O545" s="458"/>
      <c r="P545" s="458"/>
      <c r="Q545" s="458"/>
      <c r="R545" s="458"/>
      <c r="S545" s="458"/>
      <c r="T545" s="458"/>
      <c r="U545" s="458"/>
      <c r="V545" s="458"/>
      <c r="W545" s="458"/>
      <c r="X545" s="458"/>
      <c r="Y545" s="458"/>
    </row>
    <row r="546" spans="1:25">
      <c r="A546" s="460"/>
      <c r="B546" s="461"/>
      <c r="C546" s="458"/>
      <c r="D546" s="459"/>
      <c r="E546" s="459"/>
      <c r="F546" s="459"/>
      <c r="G546" s="459"/>
      <c r="H546" s="459"/>
      <c r="I546" s="459"/>
      <c r="J546" s="458"/>
      <c r="K546" s="458"/>
      <c r="L546" s="458"/>
      <c r="M546" s="458"/>
      <c r="N546" s="458"/>
      <c r="O546" s="458"/>
      <c r="P546" s="458"/>
      <c r="Q546" s="458"/>
      <c r="R546" s="458"/>
      <c r="S546" s="458"/>
      <c r="T546" s="458"/>
      <c r="U546" s="458"/>
      <c r="V546" s="458"/>
      <c r="W546" s="458"/>
      <c r="X546" s="458"/>
      <c r="Y546" s="458"/>
    </row>
    <row r="547" spans="1:25">
      <c r="A547" s="460"/>
      <c r="B547" s="461"/>
      <c r="C547" s="458"/>
      <c r="D547" s="459"/>
      <c r="E547" s="459"/>
      <c r="F547" s="459"/>
      <c r="G547" s="459"/>
      <c r="H547" s="459"/>
      <c r="I547" s="459"/>
      <c r="J547" s="458"/>
      <c r="K547" s="458"/>
      <c r="L547" s="458"/>
      <c r="M547" s="458"/>
      <c r="N547" s="458"/>
      <c r="O547" s="458"/>
      <c r="P547" s="458"/>
      <c r="Q547" s="458"/>
      <c r="R547" s="458"/>
      <c r="S547" s="458"/>
      <c r="T547" s="458"/>
      <c r="U547" s="458"/>
      <c r="V547" s="458"/>
      <c r="W547" s="458"/>
      <c r="X547" s="458"/>
      <c r="Y547" s="458"/>
    </row>
    <row r="548" spans="1:25">
      <c r="A548" s="460"/>
      <c r="B548" s="461"/>
      <c r="C548" s="458"/>
      <c r="D548" s="459"/>
      <c r="E548" s="459"/>
      <c r="F548" s="459"/>
      <c r="G548" s="459"/>
      <c r="H548" s="459"/>
      <c r="I548" s="459"/>
      <c r="J548" s="458"/>
      <c r="K548" s="458"/>
      <c r="L548" s="458"/>
      <c r="M548" s="458"/>
      <c r="N548" s="458"/>
      <c r="O548" s="458"/>
      <c r="P548" s="458"/>
      <c r="Q548" s="458"/>
      <c r="R548" s="458"/>
      <c r="S548" s="458"/>
      <c r="T548" s="458"/>
      <c r="U548" s="458"/>
      <c r="V548" s="458"/>
      <c r="W548" s="458"/>
      <c r="X548" s="458"/>
      <c r="Y548" s="458"/>
    </row>
    <row r="549" spans="1:25">
      <c r="A549" s="460"/>
      <c r="B549" s="461"/>
      <c r="C549" s="458"/>
      <c r="D549" s="459"/>
      <c r="E549" s="459"/>
      <c r="F549" s="459"/>
      <c r="G549" s="459"/>
      <c r="H549" s="459"/>
      <c r="I549" s="459"/>
      <c r="J549" s="458"/>
      <c r="K549" s="458"/>
      <c r="L549" s="458"/>
      <c r="M549" s="458"/>
      <c r="N549" s="458"/>
      <c r="O549" s="458"/>
      <c r="P549" s="458"/>
      <c r="Q549" s="458"/>
      <c r="R549" s="458"/>
      <c r="S549" s="458"/>
      <c r="T549" s="458"/>
      <c r="U549" s="458"/>
      <c r="V549" s="458"/>
      <c r="W549" s="458"/>
      <c r="X549" s="458"/>
      <c r="Y549" s="458"/>
    </row>
    <row r="550" spans="1:25">
      <c r="A550" s="460"/>
      <c r="B550" s="461"/>
      <c r="C550" s="458"/>
      <c r="D550" s="459"/>
      <c r="E550" s="459"/>
      <c r="F550" s="459"/>
      <c r="G550" s="459"/>
      <c r="H550" s="459"/>
      <c r="I550" s="459"/>
      <c r="J550" s="458"/>
      <c r="K550" s="458"/>
      <c r="L550" s="458"/>
      <c r="M550" s="458"/>
      <c r="N550" s="458"/>
      <c r="O550" s="458"/>
      <c r="P550" s="458"/>
      <c r="Q550" s="458"/>
      <c r="R550" s="458"/>
      <c r="S550" s="458"/>
      <c r="T550" s="458"/>
      <c r="U550" s="458"/>
      <c r="V550" s="458"/>
      <c r="W550" s="458"/>
      <c r="X550" s="458"/>
      <c r="Y550" s="458"/>
    </row>
    <row r="551" spans="1:25">
      <c r="A551" s="460"/>
      <c r="B551" s="461"/>
      <c r="C551" s="458"/>
      <c r="D551" s="459"/>
      <c r="E551" s="459"/>
      <c r="F551" s="459"/>
      <c r="G551" s="459"/>
      <c r="H551" s="459"/>
      <c r="I551" s="459"/>
      <c r="J551" s="458"/>
      <c r="K551" s="458"/>
      <c r="L551" s="458"/>
      <c r="M551" s="458"/>
      <c r="N551" s="458"/>
      <c r="O551" s="458"/>
      <c r="P551" s="458"/>
      <c r="Q551" s="458"/>
      <c r="R551" s="458"/>
      <c r="S551" s="458"/>
      <c r="T551" s="458"/>
      <c r="U551" s="458"/>
      <c r="V551" s="458"/>
      <c r="W551" s="458"/>
      <c r="X551" s="458"/>
      <c r="Y551" s="458"/>
    </row>
    <row r="552" spans="1:25">
      <c r="A552" s="460"/>
      <c r="B552" s="461"/>
      <c r="C552" s="458"/>
      <c r="D552" s="459"/>
      <c r="E552" s="459"/>
      <c r="F552" s="459"/>
      <c r="G552" s="459"/>
      <c r="H552" s="459"/>
      <c r="I552" s="459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  <c r="Y552" s="458"/>
    </row>
    <row r="553" spans="1:25">
      <c r="A553" s="460"/>
      <c r="B553" s="461"/>
      <c r="C553" s="458"/>
      <c r="D553" s="459"/>
      <c r="E553" s="459"/>
      <c r="F553" s="459"/>
      <c r="G553" s="459"/>
      <c r="H553" s="459"/>
      <c r="I553" s="459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  <c r="Y553" s="458"/>
    </row>
    <row r="554" spans="1:25">
      <c r="A554" s="460"/>
      <c r="B554" s="461"/>
      <c r="C554" s="458"/>
      <c r="D554" s="459"/>
      <c r="E554" s="459"/>
      <c r="F554" s="459"/>
      <c r="G554" s="459"/>
      <c r="H554" s="459"/>
      <c r="I554" s="459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  <c r="Y554" s="458"/>
    </row>
    <row r="555" spans="1:25">
      <c r="A555" s="460"/>
      <c r="B555" s="461"/>
      <c r="C555" s="458"/>
      <c r="D555" s="459"/>
      <c r="E555" s="459"/>
      <c r="F555" s="459"/>
      <c r="G555" s="459"/>
      <c r="H555" s="459"/>
      <c r="I555" s="459"/>
      <c r="J555" s="458"/>
      <c r="K555" s="458"/>
      <c r="L555" s="458"/>
      <c r="M555" s="458"/>
      <c r="N555" s="458"/>
      <c r="O555" s="458"/>
      <c r="P555" s="458"/>
      <c r="Q555" s="458"/>
      <c r="R555" s="458"/>
      <c r="S555" s="458"/>
      <c r="T555" s="458"/>
      <c r="U555" s="458"/>
      <c r="V555" s="458"/>
      <c r="W555" s="458"/>
      <c r="X555" s="458"/>
      <c r="Y555" s="458"/>
    </row>
    <row r="556" spans="1:25">
      <c r="A556" s="460"/>
      <c r="B556" s="461"/>
      <c r="C556" s="458"/>
      <c r="D556" s="459"/>
      <c r="E556" s="459"/>
      <c r="F556" s="459"/>
      <c r="G556" s="459"/>
      <c r="H556" s="459"/>
      <c r="I556" s="459"/>
      <c r="J556" s="458"/>
      <c r="K556" s="458"/>
      <c r="L556" s="458"/>
      <c r="M556" s="458"/>
      <c r="N556" s="458"/>
      <c r="O556" s="458"/>
      <c r="P556" s="458"/>
      <c r="Q556" s="458"/>
      <c r="R556" s="458"/>
      <c r="S556" s="458"/>
      <c r="T556" s="458"/>
      <c r="U556" s="458"/>
      <c r="V556" s="458"/>
      <c r="W556" s="458"/>
      <c r="X556" s="458"/>
      <c r="Y556" s="458"/>
    </row>
    <row r="557" spans="1:25">
      <c r="A557" s="460"/>
      <c r="B557" s="461"/>
      <c r="C557" s="458"/>
      <c r="D557" s="459"/>
      <c r="E557" s="459"/>
      <c r="F557" s="459"/>
      <c r="G557" s="459"/>
      <c r="H557" s="459"/>
      <c r="I557" s="459"/>
      <c r="J557" s="458"/>
      <c r="K557" s="458"/>
      <c r="L557" s="458"/>
      <c r="M557" s="458"/>
      <c r="N557" s="458"/>
      <c r="O557" s="458"/>
      <c r="P557" s="458"/>
      <c r="Q557" s="458"/>
      <c r="R557" s="458"/>
      <c r="S557" s="458"/>
      <c r="T557" s="458"/>
      <c r="U557" s="458"/>
      <c r="V557" s="458"/>
      <c r="W557" s="458"/>
      <c r="X557" s="458"/>
      <c r="Y557" s="458"/>
    </row>
    <row r="558" spans="1:25">
      <c r="A558" s="460"/>
      <c r="B558" s="461"/>
      <c r="C558" s="458"/>
      <c r="D558" s="459"/>
      <c r="E558" s="459"/>
      <c r="F558" s="459"/>
      <c r="G558" s="459"/>
      <c r="H558" s="459"/>
      <c r="I558" s="459"/>
      <c r="J558" s="458"/>
      <c r="K558" s="458"/>
      <c r="L558" s="458"/>
      <c r="M558" s="458"/>
      <c r="N558" s="458"/>
      <c r="O558" s="458"/>
      <c r="P558" s="458"/>
      <c r="Q558" s="458"/>
      <c r="R558" s="458"/>
      <c r="S558" s="458"/>
      <c r="T558" s="458"/>
      <c r="U558" s="458"/>
      <c r="V558" s="458"/>
      <c r="W558" s="458"/>
      <c r="X558" s="458"/>
      <c r="Y558" s="458"/>
    </row>
    <row r="559" spans="1:25">
      <c r="A559" s="460"/>
      <c r="B559" s="461"/>
      <c r="C559" s="458"/>
      <c r="D559" s="459"/>
      <c r="E559" s="459"/>
      <c r="F559" s="459"/>
      <c r="G559" s="459"/>
      <c r="H559" s="459"/>
      <c r="I559" s="459"/>
      <c r="J559" s="458"/>
      <c r="K559" s="458"/>
      <c r="L559" s="458"/>
      <c r="M559" s="458"/>
      <c r="N559" s="458"/>
      <c r="O559" s="458"/>
      <c r="P559" s="458"/>
      <c r="Q559" s="458"/>
      <c r="R559" s="458"/>
      <c r="S559" s="458"/>
      <c r="T559" s="458"/>
      <c r="U559" s="458"/>
      <c r="V559" s="458"/>
      <c r="W559" s="458"/>
      <c r="X559" s="458"/>
      <c r="Y559" s="458"/>
    </row>
    <row r="560" spans="1:25">
      <c r="A560" s="460"/>
      <c r="B560" s="461"/>
      <c r="C560" s="458"/>
      <c r="D560" s="459"/>
      <c r="E560" s="459"/>
      <c r="F560" s="459"/>
      <c r="G560" s="459"/>
      <c r="H560" s="459"/>
      <c r="I560" s="459"/>
      <c r="J560" s="458"/>
      <c r="K560" s="458"/>
      <c r="L560" s="458"/>
      <c r="M560" s="458"/>
      <c r="N560" s="458"/>
      <c r="O560" s="458"/>
      <c r="P560" s="458"/>
      <c r="Q560" s="458"/>
      <c r="R560" s="458"/>
      <c r="S560" s="458"/>
      <c r="T560" s="458"/>
      <c r="U560" s="458"/>
      <c r="V560" s="458"/>
      <c r="W560" s="458"/>
      <c r="X560" s="458"/>
      <c r="Y560" s="458"/>
    </row>
    <row r="561" spans="1:25">
      <c r="A561" s="460"/>
      <c r="B561" s="461"/>
      <c r="C561" s="458"/>
      <c r="D561" s="459"/>
      <c r="E561" s="459"/>
      <c r="F561" s="459"/>
      <c r="G561" s="459"/>
      <c r="H561" s="459"/>
      <c r="I561" s="459"/>
      <c r="J561" s="458"/>
      <c r="K561" s="458"/>
      <c r="L561" s="458"/>
      <c r="M561" s="458"/>
      <c r="N561" s="458"/>
      <c r="O561" s="458"/>
      <c r="P561" s="458"/>
      <c r="Q561" s="458"/>
      <c r="R561" s="458"/>
      <c r="S561" s="458"/>
      <c r="T561" s="458"/>
      <c r="U561" s="458"/>
      <c r="V561" s="458"/>
      <c r="W561" s="458"/>
      <c r="X561" s="458"/>
      <c r="Y561" s="458"/>
    </row>
    <row r="562" spans="1:25">
      <c r="A562" s="460"/>
      <c r="B562" s="461"/>
      <c r="C562" s="458"/>
      <c r="D562" s="459"/>
      <c r="E562" s="459"/>
      <c r="F562" s="459"/>
      <c r="G562" s="459"/>
      <c r="H562" s="459"/>
      <c r="I562" s="459"/>
      <c r="J562" s="458"/>
      <c r="K562" s="458"/>
      <c r="L562" s="458"/>
      <c r="M562" s="458"/>
      <c r="N562" s="458"/>
      <c r="O562" s="458"/>
      <c r="P562" s="458"/>
      <c r="Q562" s="458"/>
      <c r="R562" s="458"/>
      <c r="S562" s="458"/>
      <c r="T562" s="458"/>
      <c r="U562" s="458"/>
      <c r="V562" s="458"/>
      <c r="W562" s="458"/>
      <c r="X562" s="458"/>
      <c r="Y562" s="458"/>
    </row>
    <row r="563" spans="1:25">
      <c r="A563" s="460"/>
      <c r="B563" s="461"/>
      <c r="C563" s="458"/>
      <c r="D563" s="459"/>
      <c r="E563" s="459"/>
      <c r="F563" s="459"/>
      <c r="G563" s="459"/>
      <c r="H563" s="459"/>
      <c r="I563" s="459"/>
      <c r="J563" s="458"/>
      <c r="K563" s="458"/>
      <c r="L563" s="458"/>
      <c r="M563" s="458"/>
      <c r="N563" s="458"/>
      <c r="O563" s="458"/>
      <c r="P563" s="458"/>
      <c r="Q563" s="458"/>
      <c r="R563" s="458"/>
      <c r="S563" s="458"/>
      <c r="T563" s="458"/>
      <c r="U563" s="458"/>
      <c r="V563" s="458"/>
      <c r="W563" s="458"/>
      <c r="X563" s="458"/>
      <c r="Y563" s="458"/>
    </row>
    <row r="564" spans="1:25">
      <c r="A564" s="460"/>
      <c r="B564" s="461"/>
      <c r="C564" s="458"/>
      <c r="D564" s="459"/>
      <c r="E564" s="459"/>
      <c r="F564" s="459"/>
      <c r="G564" s="459"/>
      <c r="H564" s="459"/>
      <c r="I564" s="459"/>
      <c r="J564" s="458"/>
      <c r="K564" s="458"/>
      <c r="L564" s="458"/>
      <c r="M564" s="458"/>
      <c r="N564" s="458"/>
      <c r="O564" s="458"/>
      <c r="P564" s="458"/>
      <c r="Q564" s="458"/>
      <c r="R564" s="458"/>
      <c r="S564" s="458"/>
      <c r="T564" s="458"/>
      <c r="U564" s="458"/>
      <c r="V564" s="458"/>
      <c r="W564" s="458"/>
      <c r="X564" s="458"/>
      <c r="Y564" s="458"/>
    </row>
    <row r="565" spans="1:25">
      <c r="A565" s="460"/>
      <c r="B565" s="461"/>
      <c r="C565" s="458"/>
      <c r="D565" s="459"/>
      <c r="E565" s="459"/>
      <c r="F565" s="459"/>
      <c r="G565" s="459"/>
      <c r="H565" s="459"/>
      <c r="I565" s="459"/>
      <c r="J565" s="458"/>
      <c r="K565" s="458"/>
      <c r="L565" s="458"/>
      <c r="M565" s="458"/>
      <c r="N565" s="458"/>
      <c r="O565" s="458"/>
      <c r="P565" s="458"/>
      <c r="Q565" s="458"/>
      <c r="R565" s="458"/>
      <c r="S565" s="458"/>
      <c r="T565" s="458"/>
      <c r="U565" s="458"/>
      <c r="V565" s="458"/>
      <c r="W565" s="458"/>
      <c r="X565" s="458"/>
      <c r="Y565" s="458"/>
    </row>
    <row r="566" spans="1:25">
      <c r="A566" s="460"/>
      <c r="B566" s="461"/>
      <c r="C566" s="458"/>
      <c r="D566" s="459"/>
      <c r="E566" s="459"/>
      <c r="F566" s="459"/>
      <c r="G566" s="459"/>
      <c r="H566" s="459"/>
      <c r="I566" s="459"/>
      <c r="J566" s="458"/>
      <c r="K566" s="458"/>
      <c r="L566" s="458"/>
      <c r="M566" s="458"/>
      <c r="N566" s="458"/>
      <c r="O566" s="458"/>
      <c r="P566" s="458"/>
      <c r="Q566" s="458"/>
      <c r="R566" s="458"/>
      <c r="S566" s="458"/>
      <c r="T566" s="458"/>
      <c r="U566" s="458"/>
      <c r="V566" s="458"/>
      <c r="W566" s="458"/>
      <c r="X566" s="458"/>
      <c r="Y566" s="458"/>
    </row>
    <row r="567" spans="1:25">
      <c r="A567" s="460"/>
      <c r="B567" s="461"/>
      <c r="C567" s="458"/>
      <c r="D567" s="459"/>
      <c r="E567" s="459"/>
      <c r="F567" s="459"/>
      <c r="G567" s="459"/>
      <c r="H567" s="459"/>
      <c r="I567" s="459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</row>
    <row r="568" spans="1:25">
      <c r="A568" s="460"/>
      <c r="B568" s="461"/>
      <c r="C568" s="458"/>
      <c r="D568" s="459"/>
      <c r="E568" s="459"/>
      <c r="F568" s="459"/>
      <c r="G568" s="459"/>
      <c r="H568" s="459"/>
      <c r="I568" s="459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  <c r="Y568" s="458"/>
    </row>
    <row r="569" spans="1:25">
      <c r="A569" s="460"/>
      <c r="B569" s="461"/>
      <c r="C569" s="458"/>
      <c r="D569" s="459"/>
      <c r="E569" s="459"/>
      <c r="F569" s="459"/>
      <c r="G569" s="459"/>
      <c r="H569" s="459"/>
      <c r="I569" s="459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  <c r="Y569" s="458"/>
    </row>
    <row r="570" spans="1:25">
      <c r="A570" s="460"/>
      <c r="B570" s="461"/>
      <c r="C570" s="458"/>
      <c r="D570" s="459"/>
      <c r="E570" s="459"/>
      <c r="F570" s="459"/>
      <c r="G570" s="459"/>
      <c r="H570" s="459"/>
      <c r="I570" s="459"/>
      <c r="J570" s="458"/>
      <c r="K570" s="458"/>
      <c r="L570" s="458"/>
      <c r="M570" s="458"/>
      <c r="N570" s="458"/>
      <c r="O570" s="458"/>
      <c r="P570" s="458"/>
      <c r="Q570" s="458"/>
      <c r="R570" s="458"/>
      <c r="S570" s="458"/>
      <c r="T570" s="458"/>
      <c r="U570" s="458"/>
      <c r="V570" s="458"/>
      <c r="W570" s="458"/>
      <c r="X570" s="458"/>
      <c r="Y570" s="458"/>
    </row>
    <row r="571" spans="1:25">
      <c r="A571" s="460"/>
      <c r="B571" s="461"/>
      <c r="C571" s="458"/>
      <c r="D571" s="459"/>
      <c r="E571" s="459"/>
      <c r="F571" s="459"/>
      <c r="G571" s="459"/>
      <c r="H571" s="459"/>
      <c r="I571" s="459"/>
      <c r="J571" s="458"/>
      <c r="K571" s="458"/>
      <c r="L571" s="458"/>
      <c r="M571" s="458"/>
      <c r="N571" s="458"/>
      <c r="O571" s="458"/>
      <c r="P571" s="458"/>
      <c r="Q571" s="458"/>
      <c r="R571" s="458"/>
      <c r="S571" s="458"/>
      <c r="T571" s="458"/>
      <c r="U571" s="458"/>
      <c r="V571" s="458"/>
      <c r="W571" s="458"/>
      <c r="X571" s="458"/>
      <c r="Y571" s="458"/>
    </row>
    <row r="572" spans="1:25">
      <c r="A572" s="460"/>
      <c r="B572" s="461"/>
      <c r="C572" s="458"/>
      <c r="D572" s="459"/>
      <c r="E572" s="459"/>
      <c r="F572" s="459"/>
      <c r="G572" s="459"/>
      <c r="H572" s="459"/>
      <c r="I572" s="459"/>
      <c r="J572" s="458"/>
      <c r="K572" s="458"/>
      <c r="L572" s="458"/>
      <c r="M572" s="458"/>
      <c r="N572" s="458"/>
      <c r="O572" s="458"/>
      <c r="P572" s="458"/>
      <c r="Q572" s="458"/>
      <c r="R572" s="458"/>
      <c r="S572" s="458"/>
      <c r="T572" s="458"/>
      <c r="U572" s="458"/>
      <c r="V572" s="458"/>
      <c r="W572" s="458"/>
      <c r="X572" s="458"/>
      <c r="Y572" s="458"/>
    </row>
    <row r="573" spans="1:25">
      <c r="A573" s="460"/>
      <c r="B573" s="461"/>
      <c r="C573" s="458"/>
      <c r="D573" s="459"/>
      <c r="E573" s="459"/>
      <c r="F573" s="459"/>
      <c r="G573" s="459"/>
      <c r="H573" s="459"/>
      <c r="I573" s="459"/>
      <c r="J573" s="458"/>
      <c r="K573" s="458"/>
      <c r="L573" s="458"/>
      <c r="M573" s="458"/>
      <c r="N573" s="458"/>
      <c r="O573" s="458"/>
      <c r="P573" s="458"/>
      <c r="Q573" s="458"/>
      <c r="R573" s="458"/>
      <c r="S573" s="458"/>
      <c r="T573" s="458"/>
      <c r="U573" s="458"/>
      <c r="V573" s="458"/>
      <c r="W573" s="458"/>
      <c r="X573" s="458"/>
      <c r="Y573" s="458"/>
    </row>
    <row r="574" spans="1:25">
      <c r="A574" s="460"/>
      <c r="B574" s="461"/>
      <c r="C574" s="458"/>
      <c r="D574" s="459"/>
      <c r="E574" s="459"/>
      <c r="F574" s="459"/>
      <c r="G574" s="459"/>
      <c r="H574" s="459"/>
      <c r="I574" s="459"/>
      <c r="J574" s="458"/>
      <c r="K574" s="458"/>
      <c r="L574" s="458"/>
      <c r="M574" s="458"/>
      <c r="N574" s="458"/>
      <c r="O574" s="458"/>
      <c r="P574" s="458"/>
      <c r="Q574" s="458"/>
      <c r="R574" s="458"/>
      <c r="S574" s="458"/>
      <c r="T574" s="458"/>
      <c r="U574" s="458"/>
      <c r="V574" s="458"/>
      <c r="W574" s="458"/>
      <c r="X574" s="458"/>
      <c r="Y574" s="458"/>
    </row>
    <row r="575" spans="1:25">
      <c r="A575" s="460"/>
      <c r="B575" s="461"/>
      <c r="C575" s="458"/>
      <c r="D575" s="459"/>
      <c r="E575" s="459"/>
      <c r="F575" s="459"/>
      <c r="G575" s="459"/>
      <c r="H575" s="459"/>
      <c r="I575" s="459"/>
      <c r="J575" s="458"/>
      <c r="K575" s="458"/>
      <c r="L575" s="458"/>
      <c r="M575" s="458"/>
      <c r="N575" s="458"/>
      <c r="O575" s="458"/>
      <c r="P575" s="458"/>
      <c r="Q575" s="458"/>
      <c r="R575" s="458"/>
      <c r="S575" s="458"/>
      <c r="T575" s="458"/>
      <c r="U575" s="458"/>
      <c r="V575" s="458"/>
      <c r="W575" s="458"/>
      <c r="X575" s="458"/>
      <c r="Y575" s="458"/>
    </row>
    <row r="576" spans="1:25">
      <c r="A576" s="460"/>
      <c r="B576" s="461"/>
      <c r="C576" s="458"/>
      <c r="D576" s="459"/>
      <c r="E576" s="459"/>
      <c r="F576" s="459"/>
      <c r="G576" s="459"/>
      <c r="H576" s="459"/>
      <c r="I576" s="459"/>
      <c r="J576" s="458"/>
      <c r="K576" s="458"/>
      <c r="L576" s="458"/>
      <c r="M576" s="458"/>
      <c r="N576" s="458"/>
      <c r="O576" s="458"/>
      <c r="P576" s="458"/>
      <c r="Q576" s="458"/>
      <c r="R576" s="458"/>
      <c r="S576" s="458"/>
      <c r="T576" s="458"/>
      <c r="U576" s="458"/>
      <c r="V576" s="458"/>
      <c r="W576" s="458"/>
      <c r="X576" s="458"/>
      <c r="Y576" s="458"/>
    </row>
    <row r="577" spans="1:25">
      <c r="A577" s="460"/>
      <c r="B577" s="461"/>
      <c r="C577" s="458"/>
      <c r="D577" s="459"/>
      <c r="E577" s="459"/>
      <c r="F577" s="459"/>
      <c r="G577" s="459"/>
      <c r="H577" s="459"/>
      <c r="I577" s="459"/>
      <c r="J577" s="458"/>
      <c r="K577" s="458"/>
      <c r="L577" s="458"/>
      <c r="M577" s="458"/>
      <c r="N577" s="458"/>
      <c r="O577" s="458"/>
      <c r="P577" s="458"/>
      <c r="Q577" s="458"/>
      <c r="R577" s="458"/>
      <c r="S577" s="458"/>
      <c r="T577" s="458"/>
      <c r="U577" s="458"/>
      <c r="V577" s="458"/>
      <c r="W577" s="458"/>
      <c r="X577" s="458"/>
      <c r="Y577" s="458"/>
    </row>
    <row r="578" spans="1:25">
      <c r="A578" s="460"/>
      <c r="B578" s="461"/>
      <c r="C578" s="458"/>
      <c r="D578" s="459"/>
      <c r="E578" s="459"/>
      <c r="F578" s="459"/>
      <c r="G578" s="459"/>
      <c r="H578" s="459"/>
      <c r="I578" s="459"/>
      <c r="J578" s="458"/>
      <c r="K578" s="458"/>
      <c r="L578" s="458"/>
      <c r="M578" s="458"/>
      <c r="N578" s="458"/>
      <c r="O578" s="458"/>
      <c r="P578" s="458"/>
      <c r="Q578" s="458"/>
      <c r="R578" s="458"/>
      <c r="S578" s="458"/>
      <c r="T578" s="458"/>
      <c r="U578" s="458"/>
      <c r="V578" s="458"/>
      <c r="W578" s="458"/>
      <c r="X578" s="458"/>
      <c r="Y578" s="458"/>
    </row>
    <row r="579" spans="1:25">
      <c r="A579" s="460"/>
      <c r="B579" s="461"/>
      <c r="C579" s="458"/>
      <c r="D579" s="459"/>
      <c r="E579" s="459"/>
      <c r="F579" s="459"/>
      <c r="G579" s="459"/>
      <c r="H579" s="459"/>
      <c r="I579" s="459"/>
      <c r="J579" s="458"/>
      <c r="K579" s="458"/>
      <c r="L579" s="458"/>
      <c r="M579" s="458"/>
      <c r="N579" s="458"/>
      <c r="O579" s="458"/>
      <c r="P579" s="458"/>
      <c r="Q579" s="458"/>
      <c r="R579" s="458"/>
      <c r="S579" s="458"/>
      <c r="T579" s="458"/>
      <c r="U579" s="458"/>
      <c r="V579" s="458"/>
      <c r="W579" s="458"/>
      <c r="X579" s="458"/>
      <c r="Y579" s="458"/>
    </row>
    <row r="580" spans="1:25">
      <c r="A580" s="460"/>
      <c r="B580" s="461"/>
      <c r="C580" s="458"/>
      <c r="D580" s="459"/>
      <c r="E580" s="459"/>
      <c r="F580" s="459"/>
      <c r="G580" s="459"/>
      <c r="H580" s="459"/>
      <c r="I580" s="459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458"/>
      <c r="V580" s="458"/>
      <c r="W580" s="458"/>
      <c r="X580" s="458"/>
      <c r="Y580" s="458"/>
    </row>
    <row r="581" spans="1:25">
      <c r="A581" s="460"/>
      <c r="B581" s="461"/>
      <c r="C581" s="458"/>
      <c r="D581" s="459"/>
      <c r="E581" s="459"/>
      <c r="F581" s="459"/>
      <c r="G581" s="459"/>
      <c r="H581" s="459"/>
      <c r="I581" s="459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  <c r="Y581" s="458"/>
    </row>
    <row r="582" spans="1:25">
      <c r="A582" s="460"/>
      <c r="B582" s="461"/>
      <c r="C582" s="458"/>
      <c r="D582" s="459"/>
      <c r="E582" s="459"/>
      <c r="F582" s="459"/>
      <c r="G582" s="459"/>
      <c r="H582" s="459"/>
      <c r="I582" s="459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  <c r="Y582" s="458"/>
    </row>
    <row r="583" spans="1:25">
      <c r="A583" s="460"/>
      <c r="B583" s="461"/>
      <c r="C583" s="458"/>
      <c r="D583" s="459"/>
      <c r="E583" s="459"/>
      <c r="F583" s="459"/>
      <c r="G583" s="459"/>
      <c r="H583" s="459"/>
      <c r="I583" s="459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  <c r="Y583" s="458"/>
    </row>
    <row r="584" spans="1:25">
      <c r="A584" s="460"/>
      <c r="B584" s="461"/>
      <c r="C584" s="458"/>
      <c r="D584" s="459"/>
      <c r="E584" s="459"/>
      <c r="F584" s="459"/>
      <c r="G584" s="459"/>
      <c r="H584" s="459"/>
      <c r="I584" s="459"/>
      <c r="J584" s="458"/>
      <c r="K584" s="458"/>
      <c r="L584" s="458"/>
      <c r="M584" s="458"/>
      <c r="N584" s="458"/>
      <c r="O584" s="458"/>
      <c r="P584" s="458"/>
      <c r="Q584" s="458"/>
      <c r="R584" s="458"/>
      <c r="S584" s="458"/>
      <c r="T584" s="458"/>
      <c r="U584" s="458"/>
      <c r="V584" s="458"/>
      <c r="W584" s="458"/>
      <c r="X584" s="458"/>
      <c r="Y584" s="458"/>
    </row>
    <row r="585" spans="1:25">
      <c r="A585" s="460"/>
      <c r="B585" s="461"/>
      <c r="C585" s="458"/>
      <c r="D585" s="459"/>
      <c r="E585" s="459"/>
      <c r="F585" s="459"/>
      <c r="G585" s="459"/>
      <c r="H585" s="459"/>
      <c r="I585" s="459"/>
      <c r="J585" s="458"/>
      <c r="K585" s="458"/>
      <c r="L585" s="458"/>
      <c r="M585" s="458"/>
      <c r="N585" s="458"/>
      <c r="O585" s="458"/>
      <c r="P585" s="458"/>
      <c r="Q585" s="458"/>
      <c r="R585" s="458"/>
      <c r="S585" s="458"/>
      <c r="T585" s="458"/>
      <c r="U585" s="458"/>
      <c r="V585" s="458"/>
      <c r="W585" s="458"/>
      <c r="X585" s="458"/>
      <c r="Y585" s="458"/>
    </row>
    <row r="586" spans="1:25">
      <c r="A586" s="460"/>
      <c r="B586" s="461"/>
      <c r="C586" s="458"/>
      <c r="D586" s="459"/>
      <c r="E586" s="459"/>
      <c r="F586" s="459"/>
      <c r="G586" s="459"/>
      <c r="H586" s="459"/>
      <c r="I586" s="459"/>
      <c r="J586" s="458"/>
      <c r="K586" s="458"/>
      <c r="L586" s="458"/>
      <c r="M586" s="458"/>
      <c r="N586" s="458"/>
      <c r="O586" s="458"/>
      <c r="P586" s="458"/>
      <c r="Q586" s="458"/>
      <c r="R586" s="458"/>
      <c r="S586" s="458"/>
      <c r="T586" s="458"/>
      <c r="U586" s="458"/>
      <c r="V586" s="458"/>
      <c r="W586" s="458"/>
      <c r="X586" s="458"/>
      <c r="Y586" s="458"/>
    </row>
    <row r="587" spans="1:25">
      <c r="A587" s="460"/>
      <c r="B587" s="461"/>
      <c r="C587" s="458"/>
      <c r="D587" s="459"/>
      <c r="E587" s="459"/>
      <c r="F587" s="459"/>
      <c r="G587" s="459"/>
      <c r="H587" s="459"/>
      <c r="I587" s="459"/>
      <c r="J587" s="458"/>
      <c r="K587" s="458"/>
      <c r="L587" s="458"/>
      <c r="M587" s="458"/>
      <c r="N587" s="458"/>
      <c r="O587" s="458"/>
      <c r="P587" s="458"/>
      <c r="Q587" s="458"/>
      <c r="R587" s="458"/>
      <c r="S587" s="458"/>
      <c r="T587" s="458"/>
      <c r="U587" s="458"/>
      <c r="V587" s="458"/>
      <c r="W587" s="458"/>
      <c r="X587" s="458"/>
      <c r="Y587" s="458"/>
    </row>
    <row r="588" spans="1:25">
      <c r="A588" s="460"/>
      <c r="B588" s="461"/>
      <c r="C588" s="458"/>
      <c r="D588" s="459"/>
      <c r="E588" s="459"/>
      <c r="F588" s="459"/>
      <c r="G588" s="459"/>
      <c r="H588" s="459"/>
      <c r="I588" s="459"/>
      <c r="J588" s="458"/>
      <c r="K588" s="458"/>
      <c r="L588" s="458"/>
      <c r="M588" s="458"/>
      <c r="N588" s="458"/>
      <c r="O588" s="458"/>
      <c r="P588" s="458"/>
      <c r="Q588" s="458"/>
      <c r="R588" s="458"/>
      <c r="S588" s="458"/>
      <c r="T588" s="458"/>
      <c r="U588" s="458"/>
      <c r="V588" s="458"/>
      <c r="W588" s="458"/>
      <c r="X588" s="458"/>
      <c r="Y588" s="458"/>
    </row>
    <row r="589" spans="1:25">
      <c r="A589" s="460"/>
      <c r="B589" s="461"/>
      <c r="C589" s="458"/>
      <c r="D589" s="459"/>
      <c r="E589" s="459"/>
      <c r="F589" s="459"/>
      <c r="G589" s="459"/>
      <c r="H589" s="459"/>
      <c r="I589" s="459"/>
      <c r="J589" s="458"/>
      <c r="K589" s="458"/>
      <c r="L589" s="458"/>
      <c r="M589" s="458"/>
      <c r="N589" s="458"/>
      <c r="O589" s="458"/>
      <c r="P589" s="458"/>
      <c r="Q589" s="458"/>
      <c r="R589" s="458"/>
      <c r="S589" s="458"/>
      <c r="T589" s="458"/>
      <c r="U589" s="458"/>
      <c r="V589" s="458"/>
      <c r="W589" s="458"/>
      <c r="X589" s="458"/>
      <c r="Y589" s="458"/>
    </row>
    <row r="590" spans="1:25">
      <c r="A590" s="460"/>
      <c r="B590" s="461"/>
      <c r="C590" s="458"/>
      <c r="D590" s="459"/>
      <c r="E590" s="459"/>
      <c r="F590" s="459"/>
      <c r="G590" s="459"/>
      <c r="H590" s="459"/>
      <c r="I590" s="459"/>
      <c r="J590" s="458"/>
      <c r="K590" s="458"/>
      <c r="L590" s="458"/>
      <c r="M590" s="458"/>
      <c r="N590" s="458"/>
      <c r="O590" s="458"/>
      <c r="P590" s="458"/>
      <c r="Q590" s="458"/>
      <c r="R590" s="458"/>
      <c r="S590" s="458"/>
      <c r="T590" s="458"/>
      <c r="U590" s="458"/>
      <c r="V590" s="458"/>
      <c r="W590" s="458"/>
      <c r="X590" s="458"/>
      <c r="Y590" s="458"/>
    </row>
    <row r="591" spans="1:25">
      <c r="A591" s="460"/>
      <c r="B591" s="461"/>
      <c r="C591" s="458"/>
      <c r="D591" s="459"/>
      <c r="E591" s="459"/>
      <c r="F591" s="459"/>
      <c r="G591" s="459"/>
      <c r="H591" s="459"/>
      <c r="I591" s="459"/>
      <c r="J591" s="458"/>
      <c r="K591" s="458"/>
      <c r="L591" s="458"/>
      <c r="M591" s="458"/>
      <c r="N591" s="458"/>
      <c r="O591" s="458"/>
      <c r="P591" s="458"/>
      <c r="Q591" s="458"/>
      <c r="R591" s="458"/>
      <c r="S591" s="458"/>
      <c r="T591" s="458"/>
      <c r="U591" s="458"/>
      <c r="V591" s="458"/>
      <c r="W591" s="458"/>
      <c r="X591" s="458"/>
      <c r="Y591" s="458"/>
    </row>
    <row r="592" spans="1:25">
      <c r="A592" s="460"/>
      <c r="B592" s="461"/>
      <c r="C592" s="458"/>
      <c r="D592" s="459"/>
      <c r="E592" s="459"/>
      <c r="F592" s="459"/>
      <c r="G592" s="459"/>
      <c r="H592" s="459"/>
      <c r="I592" s="459"/>
      <c r="J592" s="458"/>
      <c r="K592" s="458"/>
      <c r="L592" s="458"/>
      <c r="M592" s="458"/>
      <c r="N592" s="458"/>
      <c r="O592" s="458"/>
      <c r="P592" s="458"/>
      <c r="Q592" s="458"/>
      <c r="R592" s="458"/>
      <c r="S592" s="458"/>
      <c r="T592" s="458"/>
      <c r="U592" s="458"/>
      <c r="V592" s="458"/>
      <c r="W592" s="458"/>
      <c r="X592" s="458"/>
      <c r="Y592" s="458"/>
    </row>
    <row r="593" spans="1:25">
      <c r="A593" s="460"/>
      <c r="B593" s="461"/>
      <c r="C593" s="458"/>
      <c r="D593" s="459"/>
      <c r="E593" s="459"/>
      <c r="F593" s="459"/>
      <c r="G593" s="459"/>
      <c r="H593" s="459"/>
      <c r="I593" s="459"/>
      <c r="J593" s="458"/>
      <c r="K593" s="458"/>
      <c r="L593" s="458"/>
      <c r="M593" s="458"/>
      <c r="N593" s="458"/>
      <c r="O593" s="458"/>
      <c r="P593" s="458"/>
      <c r="Q593" s="458"/>
      <c r="R593" s="458"/>
      <c r="S593" s="458"/>
      <c r="T593" s="458"/>
      <c r="U593" s="458"/>
      <c r="V593" s="458"/>
      <c r="W593" s="458"/>
      <c r="X593" s="458"/>
      <c r="Y593" s="458"/>
    </row>
    <row r="594" spans="1:25">
      <c r="A594" s="460"/>
      <c r="B594" s="461"/>
      <c r="C594" s="458"/>
      <c r="D594" s="459"/>
      <c r="E594" s="459"/>
      <c r="F594" s="459"/>
      <c r="G594" s="459"/>
      <c r="H594" s="459"/>
      <c r="I594" s="459"/>
      <c r="J594" s="458"/>
      <c r="K594" s="458"/>
      <c r="L594" s="458"/>
      <c r="M594" s="458"/>
      <c r="N594" s="458"/>
      <c r="O594" s="458"/>
      <c r="P594" s="458"/>
      <c r="Q594" s="458"/>
      <c r="R594" s="458"/>
      <c r="S594" s="458"/>
      <c r="T594" s="458"/>
      <c r="U594" s="458"/>
      <c r="V594" s="458"/>
      <c r="W594" s="458"/>
      <c r="X594" s="458"/>
      <c r="Y594" s="458"/>
    </row>
    <row r="595" spans="1:25">
      <c r="A595" s="460"/>
      <c r="B595" s="461"/>
      <c r="C595" s="458"/>
      <c r="D595" s="459"/>
      <c r="E595" s="459"/>
      <c r="F595" s="459"/>
      <c r="G595" s="459"/>
      <c r="H595" s="459"/>
      <c r="I595" s="459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  <c r="Y595" s="458"/>
    </row>
    <row r="596" spans="1:25">
      <c r="A596" s="460"/>
      <c r="B596" s="461"/>
      <c r="C596" s="458"/>
      <c r="D596" s="459"/>
      <c r="E596" s="459"/>
      <c r="F596" s="459"/>
      <c r="G596" s="459"/>
      <c r="H596" s="459"/>
      <c r="I596" s="459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  <c r="Y596" s="458"/>
    </row>
    <row r="597" spans="1:25">
      <c r="A597" s="460"/>
      <c r="B597" s="461"/>
      <c r="C597" s="458"/>
      <c r="D597" s="459"/>
      <c r="E597" s="459"/>
      <c r="F597" s="459"/>
      <c r="G597" s="459"/>
      <c r="H597" s="459"/>
      <c r="I597" s="459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  <c r="Y597" s="458"/>
    </row>
    <row r="598" spans="1:25">
      <c r="A598" s="460"/>
      <c r="B598" s="461"/>
      <c r="C598" s="458"/>
      <c r="D598" s="459"/>
      <c r="E598" s="459"/>
      <c r="F598" s="459"/>
      <c r="G598" s="459"/>
      <c r="H598" s="459"/>
      <c r="I598" s="459"/>
      <c r="J598" s="458"/>
      <c r="K598" s="458"/>
      <c r="L598" s="458"/>
      <c r="M598" s="458"/>
      <c r="N598" s="458"/>
      <c r="O598" s="458"/>
      <c r="P598" s="458"/>
      <c r="Q598" s="458"/>
      <c r="R598" s="458"/>
      <c r="S598" s="458"/>
      <c r="T598" s="458"/>
      <c r="U598" s="458"/>
      <c r="V598" s="458"/>
      <c r="W598" s="458"/>
      <c r="X598" s="458"/>
      <c r="Y598" s="458"/>
    </row>
    <row r="599" spans="1:25">
      <c r="A599" s="460"/>
      <c r="B599" s="461"/>
      <c r="C599" s="458"/>
      <c r="D599" s="459"/>
      <c r="E599" s="459"/>
      <c r="F599" s="459"/>
      <c r="G599" s="459"/>
      <c r="H599" s="459"/>
      <c r="I599" s="459"/>
      <c r="J599" s="458"/>
      <c r="K599" s="458"/>
      <c r="L599" s="458"/>
      <c r="M599" s="458"/>
      <c r="N599" s="458"/>
      <c r="O599" s="458"/>
      <c r="P599" s="458"/>
      <c r="Q599" s="458"/>
      <c r="R599" s="458"/>
      <c r="S599" s="458"/>
      <c r="T599" s="458"/>
      <c r="U599" s="458"/>
      <c r="V599" s="458"/>
      <c r="W599" s="458"/>
      <c r="X599" s="458"/>
      <c r="Y599" s="458"/>
    </row>
    <row r="600" spans="1:25">
      <c r="A600" s="460"/>
      <c r="B600" s="461"/>
      <c r="C600" s="458"/>
      <c r="D600" s="459"/>
      <c r="E600" s="459"/>
      <c r="F600" s="459"/>
      <c r="G600" s="459"/>
      <c r="H600" s="459"/>
      <c r="I600" s="459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  <c r="Y600" s="458"/>
    </row>
    <row r="601" spans="1:25">
      <c r="A601" s="460"/>
      <c r="B601" s="461"/>
      <c r="C601" s="458"/>
      <c r="D601" s="459"/>
      <c r="E601" s="459"/>
      <c r="F601" s="459"/>
      <c r="G601" s="459"/>
      <c r="H601" s="459"/>
      <c r="I601" s="459"/>
      <c r="J601" s="458"/>
      <c r="K601" s="458"/>
      <c r="L601" s="458"/>
      <c r="M601" s="458"/>
      <c r="N601" s="458"/>
      <c r="O601" s="458"/>
      <c r="P601" s="458"/>
      <c r="Q601" s="458"/>
      <c r="R601" s="458"/>
      <c r="S601" s="458"/>
      <c r="T601" s="458"/>
      <c r="U601" s="458"/>
      <c r="V601" s="458"/>
      <c r="W601" s="458"/>
      <c r="X601" s="458"/>
      <c r="Y601" s="458"/>
    </row>
    <row r="602" spans="1:25">
      <c r="A602" s="460"/>
      <c r="B602" s="461"/>
      <c r="C602" s="458"/>
      <c r="D602" s="459"/>
      <c r="E602" s="459"/>
      <c r="F602" s="459"/>
      <c r="G602" s="459"/>
      <c r="H602" s="459"/>
      <c r="I602" s="459"/>
      <c r="J602" s="458"/>
      <c r="K602" s="458"/>
      <c r="L602" s="458"/>
      <c r="M602" s="458"/>
      <c r="N602" s="458"/>
      <c r="O602" s="458"/>
      <c r="P602" s="458"/>
      <c r="Q602" s="458"/>
      <c r="R602" s="458"/>
      <c r="S602" s="458"/>
      <c r="T602" s="458"/>
      <c r="U602" s="458"/>
      <c r="V602" s="458"/>
      <c r="W602" s="458"/>
      <c r="X602" s="458"/>
      <c r="Y602" s="458"/>
    </row>
    <row r="603" spans="1:25">
      <c r="A603" s="460"/>
      <c r="B603" s="461"/>
      <c r="C603" s="458"/>
      <c r="D603" s="459"/>
      <c r="E603" s="459"/>
      <c r="F603" s="459"/>
      <c r="G603" s="459"/>
      <c r="H603" s="459"/>
      <c r="I603" s="459"/>
      <c r="J603" s="458"/>
      <c r="K603" s="458"/>
      <c r="L603" s="458"/>
      <c r="M603" s="458"/>
      <c r="N603" s="458"/>
      <c r="O603" s="458"/>
      <c r="P603" s="458"/>
      <c r="Q603" s="458"/>
      <c r="R603" s="458"/>
      <c r="S603" s="458"/>
      <c r="T603" s="458"/>
      <c r="U603" s="458"/>
      <c r="V603" s="458"/>
      <c r="W603" s="458"/>
      <c r="X603" s="458"/>
      <c r="Y603" s="458"/>
    </row>
    <row r="604" spans="1:25">
      <c r="A604" s="460"/>
      <c r="B604" s="461"/>
      <c r="C604" s="458"/>
      <c r="D604" s="459"/>
      <c r="E604" s="459"/>
      <c r="F604" s="459"/>
      <c r="G604" s="459"/>
      <c r="H604" s="459"/>
      <c r="I604" s="459"/>
      <c r="J604" s="458"/>
      <c r="K604" s="458"/>
      <c r="L604" s="458"/>
      <c r="M604" s="458"/>
      <c r="N604" s="458"/>
      <c r="O604" s="458"/>
      <c r="P604" s="458"/>
      <c r="Q604" s="458"/>
      <c r="R604" s="458"/>
      <c r="S604" s="458"/>
      <c r="T604" s="458"/>
      <c r="U604" s="458"/>
      <c r="V604" s="458"/>
      <c r="W604" s="458"/>
      <c r="X604" s="458"/>
      <c r="Y604" s="458"/>
    </row>
    <row r="605" spans="1:25">
      <c r="A605" s="460"/>
      <c r="B605" s="461"/>
      <c r="C605" s="458"/>
      <c r="D605" s="459"/>
      <c r="E605" s="459"/>
      <c r="F605" s="459"/>
      <c r="G605" s="459"/>
      <c r="H605" s="459"/>
      <c r="I605" s="459"/>
      <c r="J605" s="458"/>
      <c r="K605" s="458"/>
      <c r="L605" s="458"/>
      <c r="M605" s="458"/>
      <c r="N605" s="458"/>
      <c r="O605" s="458"/>
      <c r="P605" s="458"/>
      <c r="Q605" s="458"/>
      <c r="R605" s="458"/>
      <c r="S605" s="458"/>
      <c r="T605" s="458"/>
      <c r="U605" s="458"/>
      <c r="V605" s="458"/>
      <c r="W605" s="458"/>
      <c r="X605" s="458"/>
      <c r="Y605" s="458"/>
    </row>
    <row r="606" spans="1:25">
      <c r="A606" s="460"/>
      <c r="B606" s="461"/>
      <c r="C606" s="458"/>
      <c r="D606" s="459"/>
      <c r="E606" s="459"/>
      <c r="F606" s="459"/>
      <c r="G606" s="459"/>
      <c r="H606" s="459"/>
      <c r="I606" s="459"/>
      <c r="J606" s="458"/>
      <c r="K606" s="458"/>
      <c r="L606" s="458"/>
      <c r="M606" s="458"/>
      <c r="N606" s="458"/>
      <c r="O606" s="458"/>
      <c r="P606" s="458"/>
      <c r="Q606" s="458"/>
      <c r="R606" s="458"/>
      <c r="S606" s="458"/>
      <c r="T606" s="458"/>
      <c r="U606" s="458"/>
      <c r="V606" s="458"/>
      <c r="W606" s="458"/>
      <c r="X606" s="458"/>
      <c r="Y606" s="458"/>
    </row>
    <row r="607" spans="1:25">
      <c r="A607" s="460"/>
      <c r="B607" s="461"/>
      <c r="C607" s="458"/>
      <c r="D607" s="459"/>
      <c r="E607" s="459"/>
      <c r="F607" s="459"/>
      <c r="G607" s="459"/>
      <c r="H607" s="459"/>
      <c r="I607" s="459"/>
      <c r="J607" s="458"/>
      <c r="K607" s="458"/>
      <c r="L607" s="458"/>
      <c r="M607" s="458"/>
      <c r="N607" s="458"/>
      <c r="O607" s="458"/>
      <c r="P607" s="458"/>
      <c r="Q607" s="458"/>
      <c r="R607" s="458"/>
      <c r="S607" s="458"/>
      <c r="T607" s="458"/>
      <c r="U607" s="458"/>
      <c r="V607" s="458"/>
      <c r="W607" s="458"/>
      <c r="X607" s="458"/>
      <c r="Y607" s="458"/>
    </row>
    <row r="608" spans="1:25">
      <c r="A608" s="460"/>
      <c r="B608" s="461"/>
      <c r="C608" s="458"/>
      <c r="D608" s="459"/>
      <c r="E608" s="459"/>
      <c r="F608" s="459"/>
      <c r="G608" s="459"/>
      <c r="H608" s="459"/>
      <c r="I608" s="459"/>
      <c r="J608" s="458"/>
      <c r="K608" s="458"/>
      <c r="L608" s="458"/>
      <c r="M608" s="458"/>
      <c r="N608" s="458"/>
      <c r="O608" s="458"/>
      <c r="P608" s="458"/>
      <c r="Q608" s="458"/>
      <c r="R608" s="458"/>
      <c r="S608" s="458"/>
      <c r="T608" s="458"/>
      <c r="U608" s="458"/>
      <c r="V608" s="458"/>
      <c r="W608" s="458"/>
      <c r="X608" s="458"/>
      <c r="Y608" s="458"/>
    </row>
    <row r="609" spans="1:25">
      <c r="A609" s="460"/>
      <c r="B609" s="461"/>
      <c r="C609" s="458"/>
      <c r="D609" s="459"/>
      <c r="E609" s="459"/>
      <c r="F609" s="459"/>
      <c r="G609" s="459"/>
      <c r="H609" s="459"/>
      <c r="I609" s="459"/>
      <c r="J609" s="458"/>
      <c r="K609" s="458"/>
      <c r="L609" s="458"/>
      <c r="M609" s="458"/>
      <c r="N609" s="458"/>
      <c r="O609" s="458"/>
      <c r="P609" s="458"/>
      <c r="Q609" s="458"/>
      <c r="R609" s="458"/>
      <c r="S609" s="458"/>
      <c r="T609" s="458"/>
      <c r="U609" s="458"/>
      <c r="V609" s="458"/>
      <c r="W609" s="458"/>
      <c r="X609" s="458"/>
      <c r="Y609" s="458"/>
    </row>
    <row r="610" spans="1:25">
      <c r="A610" s="460"/>
      <c r="B610" s="461"/>
      <c r="C610" s="458"/>
      <c r="D610" s="459"/>
      <c r="E610" s="459"/>
      <c r="F610" s="459"/>
      <c r="G610" s="459"/>
      <c r="H610" s="459"/>
      <c r="I610" s="459"/>
      <c r="J610" s="458"/>
      <c r="K610" s="458"/>
      <c r="L610" s="458"/>
      <c r="M610" s="458"/>
      <c r="N610" s="458"/>
      <c r="O610" s="458"/>
      <c r="P610" s="458"/>
      <c r="Q610" s="458"/>
      <c r="R610" s="458"/>
      <c r="S610" s="458"/>
      <c r="T610" s="458"/>
      <c r="U610" s="458"/>
      <c r="V610" s="458"/>
      <c r="W610" s="458"/>
      <c r="X610" s="458"/>
      <c r="Y610" s="458"/>
    </row>
    <row r="611" spans="1:25">
      <c r="A611" s="460"/>
      <c r="B611" s="461"/>
      <c r="C611" s="458"/>
      <c r="D611" s="459"/>
      <c r="E611" s="459"/>
      <c r="F611" s="459"/>
      <c r="G611" s="459"/>
      <c r="H611" s="459"/>
      <c r="I611" s="459"/>
      <c r="J611" s="458"/>
      <c r="K611" s="458"/>
      <c r="L611" s="458"/>
      <c r="M611" s="458"/>
      <c r="N611" s="458"/>
      <c r="O611" s="458"/>
      <c r="P611" s="458"/>
      <c r="Q611" s="458"/>
      <c r="R611" s="458"/>
      <c r="S611" s="458"/>
      <c r="T611" s="458"/>
      <c r="U611" s="458"/>
      <c r="V611" s="458"/>
      <c r="W611" s="458"/>
      <c r="X611" s="458"/>
      <c r="Y611" s="458"/>
    </row>
    <row r="612" spans="1:25">
      <c r="A612" s="460"/>
      <c r="B612" s="461"/>
      <c r="C612" s="458"/>
      <c r="D612" s="459"/>
      <c r="E612" s="459"/>
      <c r="F612" s="459"/>
      <c r="G612" s="459"/>
      <c r="H612" s="459"/>
      <c r="I612" s="459"/>
      <c r="J612" s="458"/>
      <c r="K612" s="458"/>
      <c r="L612" s="458"/>
      <c r="M612" s="458"/>
      <c r="N612" s="458"/>
      <c r="O612" s="458"/>
      <c r="P612" s="458"/>
      <c r="Q612" s="458"/>
      <c r="R612" s="458"/>
      <c r="S612" s="458"/>
      <c r="T612" s="458"/>
      <c r="U612" s="458"/>
      <c r="V612" s="458"/>
      <c r="W612" s="458"/>
      <c r="X612" s="458"/>
      <c r="Y612" s="458"/>
    </row>
    <row r="613" spans="1:25">
      <c r="A613" s="460"/>
      <c r="B613" s="461"/>
      <c r="C613" s="458"/>
      <c r="D613" s="459"/>
      <c r="E613" s="459"/>
      <c r="F613" s="459"/>
      <c r="G613" s="459"/>
      <c r="H613" s="459"/>
      <c r="I613" s="459"/>
      <c r="J613" s="458"/>
      <c r="K613" s="458"/>
      <c r="L613" s="458"/>
      <c r="M613" s="458"/>
      <c r="N613" s="458"/>
      <c r="O613" s="458"/>
      <c r="P613" s="458"/>
      <c r="Q613" s="458"/>
      <c r="R613" s="458"/>
      <c r="S613" s="458"/>
      <c r="T613" s="458"/>
      <c r="U613" s="458"/>
      <c r="V613" s="458"/>
      <c r="W613" s="458"/>
      <c r="X613" s="458"/>
      <c r="Y613" s="458"/>
    </row>
    <row r="614" spans="1:25">
      <c r="A614" s="460"/>
      <c r="B614" s="461"/>
      <c r="C614" s="458"/>
      <c r="D614" s="459"/>
      <c r="E614" s="459"/>
      <c r="F614" s="459"/>
      <c r="G614" s="459"/>
      <c r="H614" s="459"/>
      <c r="I614" s="459"/>
      <c r="J614" s="458"/>
      <c r="K614" s="458"/>
      <c r="L614" s="458"/>
      <c r="M614" s="458"/>
      <c r="N614" s="458"/>
      <c r="O614" s="458"/>
      <c r="P614" s="458"/>
      <c r="Q614" s="458"/>
      <c r="R614" s="458"/>
      <c r="S614" s="458"/>
      <c r="T614" s="458"/>
      <c r="U614" s="458"/>
      <c r="V614" s="458"/>
      <c r="W614" s="458"/>
      <c r="X614" s="458"/>
      <c r="Y614" s="458"/>
    </row>
    <row r="615" spans="1:25">
      <c r="A615" s="460"/>
      <c r="B615" s="461"/>
      <c r="C615" s="458"/>
      <c r="D615" s="459"/>
      <c r="E615" s="459"/>
      <c r="F615" s="459"/>
      <c r="G615" s="459"/>
      <c r="H615" s="459"/>
      <c r="I615" s="459"/>
      <c r="J615" s="458"/>
      <c r="K615" s="458"/>
      <c r="L615" s="458"/>
      <c r="M615" s="458"/>
      <c r="N615" s="458"/>
      <c r="O615" s="458"/>
      <c r="P615" s="458"/>
      <c r="Q615" s="458"/>
      <c r="R615" s="458"/>
      <c r="S615" s="458"/>
      <c r="T615" s="458"/>
      <c r="U615" s="458"/>
      <c r="V615" s="458"/>
      <c r="W615" s="458"/>
      <c r="X615" s="458"/>
      <c r="Y615" s="458"/>
    </row>
    <row r="616" spans="1:25">
      <c r="A616" s="460"/>
      <c r="B616" s="461"/>
      <c r="C616" s="458"/>
      <c r="D616" s="459"/>
      <c r="E616" s="459"/>
      <c r="F616" s="459"/>
      <c r="G616" s="459"/>
      <c r="H616" s="459"/>
      <c r="I616" s="459"/>
      <c r="J616" s="458"/>
      <c r="K616" s="458"/>
      <c r="L616" s="458"/>
      <c r="M616" s="458"/>
      <c r="N616" s="458"/>
      <c r="O616" s="458"/>
      <c r="P616" s="458"/>
      <c r="Q616" s="458"/>
      <c r="R616" s="458"/>
      <c r="S616" s="458"/>
      <c r="T616" s="458"/>
      <c r="U616" s="458"/>
      <c r="V616" s="458"/>
      <c r="W616" s="458"/>
      <c r="X616" s="458"/>
      <c r="Y616" s="458"/>
    </row>
    <row r="617" spans="1:25">
      <c r="A617" s="460"/>
      <c r="B617" s="461"/>
      <c r="C617" s="458"/>
      <c r="D617" s="459"/>
      <c r="E617" s="459"/>
      <c r="F617" s="459"/>
      <c r="G617" s="459"/>
      <c r="H617" s="459"/>
      <c r="I617" s="459"/>
      <c r="J617" s="458"/>
      <c r="K617" s="458"/>
      <c r="L617" s="458"/>
      <c r="M617" s="458"/>
      <c r="N617" s="458"/>
      <c r="O617" s="458"/>
      <c r="P617" s="458"/>
      <c r="Q617" s="458"/>
      <c r="R617" s="458"/>
      <c r="S617" s="458"/>
      <c r="T617" s="458"/>
      <c r="U617" s="458"/>
      <c r="V617" s="458"/>
      <c r="W617" s="458"/>
      <c r="X617" s="458"/>
      <c r="Y617" s="458"/>
    </row>
    <row r="618" spans="1:25">
      <c r="A618" s="460"/>
      <c r="B618" s="461"/>
      <c r="C618" s="458"/>
      <c r="D618" s="459"/>
      <c r="E618" s="459"/>
      <c r="F618" s="459"/>
      <c r="G618" s="459"/>
      <c r="H618" s="459"/>
      <c r="I618" s="459"/>
      <c r="J618" s="458"/>
      <c r="K618" s="458"/>
      <c r="L618" s="458"/>
      <c r="M618" s="458"/>
      <c r="N618" s="458"/>
      <c r="O618" s="458"/>
      <c r="P618" s="458"/>
      <c r="Q618" s="458"/>
      <c r="R618" s="458"/>
      <c r="S618" s="458"/>
      <c r="T618" s="458"/>
      <c r="U618" s="458"/>
      <c r="V618" s="458"/>
      <c r="W618" s="458"/>
      <c r="X618" s="458"/>
      <c r="Y618" s="458"/>
    </row>
    <row r="619" spans="1:25">
      <c r="A619" s="460"/>
      <c r="B619" s="461"/>
      <c r="C619" s="458"/>
      <c r="D619" s="459"/>
      <c r="E619" s="459"/>
      <c r="F619" s="459"/>
      <c r="G619" s="459"/>
      <c r="H619" s="459"/>
      <c r="I619" s="459"/>
      <c r="J619" s="458"/>
      <c r="K619" s="458"/>
      <c r="L619" s="458"/>
      <c r="M619" s="458"/>
      <c r="N619" s="458"/>
      <c r="O619" s="458"/>
      <c r="P619" s="458"/>
      <c r="Q619" s="458"/>
      <c r="R619" s="458"/>
      <c r="S619" s="458"/>
      <c r="T619" s="458"/>
      <c r="U619" s="458"/>
      <c r="V619" s="458"/>
      <c r="W619" s="458"/>
      <c r="X619" s="458"/>
      <c r="Y619" s="458"/>
    </row>
    <row r="620" spans="1:25">
      <c r="A620" s="460"/>
      <c r="B620" s="461"/>
      <c r="C620" s="458"/>
      <c r="D620" s="459"/>
      <c r="E620" s="459"/>
      <c r="F620" s="459"/>
      <c r="G620" s="459"/>
      <c r="H620" s="459"/>
      <c r="I620" s="459"/>
      <c r="J620" s="458"/>
      <c r="K620" s="458"/>
      <c r="L620" s="458"/>
      <c r="M620" s="458"/>
      <c r="N620" s="458"/>
      <c r="O620" s="458"/>
      <c r="P620" s="458"/>
      <c r="Q620" s="458"/>
      <c r="R620" s="458"/>
      <c r="S620" s="458"/>
      <c r="T620" s="458"/>
      <c r="U620" s="458"/>
      <c r="V620" s="458"/>
      <c r="W620" s="458"/>
      <c r="X620" s="458"/>
      <c r="Y620" s="458"/>
    </row>
    <row r="621" spans="1:25">
      <c r="A621" s="460"/>
      <c r="B621" s="461"/>
      <c r="C621" s="458"/>
      <c r="D621" s="459"/>
      <c r="E621" s="459"/>
      <c r="F621" s="459"/>
      <c r="G621" s="459"/>
      <c r="H621" s="459"/>
      <c r="I621" s="459"/>
      <c r="J621" s="458"/>
      <c r="K621" s="458"/>
      <c r="L621" s="458"/>
      <c r="M621" s="458"/>
      <c r="N621" s="458"/>
      <c r="O621" s="458"/>
      <c r="P621" s="458"/>
      <c r="Q621" s="458"/>
      <c r="R621" s="458"/>
      <c r="S621" s="458"/>
      <c r="T621" s="458"/>
      <c r="U621" s="458"/>
      <c r="V621" s="458"/>
      <c r="W621" s="458"/>
      <c r="X621" s="458"/>
      <c r="Y621" s="458"/>
    </row>
    <row r="622" spans="1:25">
      <c r="A622" s="460"/>
      <c r="B622" s="461"/>
      <c r="C622" s="458"/>
      <c r="D622" s="459"/>
      <c r="E622" s="459"/>
      <c r="F622" s="459"/>
      <c r="G622" s="459"/>
      <c r="H622" s="459"/>
      <c r="I622" s="459"/>
      <c r="J622" s="458"/>
      <c r="K622" s="458"/>
      <c r="L622" s="458"/>
      <c r="M622" s="458"/>
      <c r="N622" s="458"/>
      <c r="O622" s="458"/>
      <c r="P622" s="458"/>
      <c r="Q622" s="458"/>
      <c r="R622" s="458"/>
      <c r="S622" s="458"/>
      <c r="T622" s="458"/>
      <c r="U622" s="458"/>
      <c r="V622" s="458"/>
      <c r="W622" s="458"/>
      <c r="X622" s="458"/>
      <c r="Y622" s="458"/>
    </row>
    <row r="623" spans="1:25">
      <c r="A623" s="460"/>
      <c r="B623" s="461"/>
      <c r="C623" s="458"/>
      <c r="D623" s="459"/>
      <c r="E623" s="459"/>
      <c r="F623" s="459"/>
      <c r="G623" s="459"/>
      <c r="H623" s="459"/>
      <c r="I623" s="459"/>
      <c r="J623" s="458"/>
      <c r="K623" s="458"/>
      <c r="L623" s="458"/>
      <c r="M623" s="458"/>
      <c r="N623" s="458"/>
      <c r="O623" s="458"/>
      <c r="P623" s="458"/>
      <c r="Q623" s="458"/>
      <c r="R623" s="458"/>
      <c r="S623" s="458"/>
      <c r="T623" s="458"/>
      <c r="U623" s="458"/>
      <c r="V623" s="458"/>
      <c r="W623" s="458"/>
      <c r="X623" s="458"/>
      <c r="Y623" s="458"/>
    </row>
    <row r="624" spans="1:25">
      <c r="A624" s="460"/>
      <c r="B624" s="461"/>
      <c r="C624" s="458"/>
      <c r="D624" s="459"/>
      <c r="E624" s="459"/>
      <c r="F624" s="459"/>
      <c r="G624" s="459"/>
      <c r="H624" s="459"/>
      <c r="I624" s="459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  <c r="Y624" s="458"/>
    </row>
    <row r="625" spans="1:25">
      <c r="A625" s="460"/>
      <c r="B625" s="461"/>
      <c r="C625" s="458"/>
      <c r="D625" s="459"/>
      <c r="E625" s="459"/>
      <c r="F625" s="459"/>
      <c r="G625" s="459"/>
      <c r="H625" s="459"/>
      <c r="I625" s="459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  <c r="Y625" s="458"/>
    </row>
    <row r="626" spans="1:25">
      <c r="A626" s="460"/>
      <c r="B626" s="461"/>
      <c r="C626" s="458"/>
      <c r="D626" s="459"/>
      <c r="E626" s="459"/>
      <c r="F626" s="459"/>
      <c r="G626" s="459"/>
      <c r="H626" s="459"/>
      <c r="I626" s="459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  <c r="Y626" s="458"/>
    </row>
    <row r="627" spans="1:25">
      <c r="A627" s="460"/>
      <c r="B627" s="461"/>
      <c r="C627" s="458"/>
      <c r="D627" s="459"/>
      <c r="E627" s="459"/>
      <c r="F627" s="459"/>
      <c r="G627" s="459"/>
      <c r="H627" s="459"/>
      <c r="I627" s="459"/>
      <c r="J627" s="458"/>
      <c r="K627" s="458"/>
      <c r="L627" s="458"/>
      <c r="M627" s="458"/>
      <c r="N627" s="458"/>
      <c r="O627" s="458"/>
      <c r="P627" s="458"/>
      <c r="Q627" s="458"/>
      <c r="R627" s="458"/>
      <c r="S627" s="458"/>
      <c r="T627" s="458"/>
      <c r="U627" s="458"/>
      <c r="V627" s="458"/>
      <c r="W627" s="458"/>
      <c r="X627" s="458"/>
      <c r="Y627" s="458"/>
    </row>
    <row r="628" spans="1:25">
      <c r="A628" s="460"/>
      <c r="B628" s="461"/>
      <c r="C628" s="458"/>
      <c r="D628" s="459"/>
      <c r="E628" s="459"/>
      <c r="F628" s="459"/>
      <c r="G628" s="459"/>
      <c r="H628" s="459"/>
      <c r="I628" s="459"/>
      <c r="J628" s="458"/>
      <c r="K628" s="458"/>
      <c r="L628" s="458"/>
      <c r="M628" s="458"/>
      <c r="N628" s="458"/>
      <c r="O628" s="458"/>
      <c r="P628" s="458"/>
      <c r="Q628" s="458"/>
      <c r="R628" s="458"/>
      <c r="S628" s="458"/>
      <c r="T628" s="458"/>
      <c r="U628" s="458"/>
      <c r="V628" s="458"/>
      <c r="W628" s="458"/>
      <c r="X628" s="458"/>
      <c r="Y628" s="458"/>
    </row>
    <row r="629" spans="1:25">
      <c r="A629" s="460"/>
      <c r="B629" s="461"/>
      <c r="C629" s="458"/>
      <c r="D629" s="459"/>
      <c r="E629" s="459"/>
      <c r="F629" s="459"/>
      <c r="G629" s="459"/>
      <c r="H629" s="459"/>
      <c r="I629" s="459"/>
      <c r="J629" s="458"/>
      <c r="K629" s="458"/>
      <c r="L629" s="458"/>
      <c r="M629" s="458"/>
      <c r="N629" s="458"/>
      <c r="O629" s="458"/>
      <c r="P629" s="458"/>
      <c r="Q629" s="458"/>
      <c r="R629" s="458"/>
      <c r="S629" s="458"/>
      <c r="T629" s="458"/>
      <c r="U629" s="458"/>
      <c r="V629" s="458"/>
      <c r="W629" s="458"/>
      <c r="X629" s="458"/>
      <c r="Y629" s="458"/>
    </row>
    <row r="630" spans="1:25">
      <c r="A630" s="460"/>
      <c r="B630" s="461"/>
      <c r="C630" s="458"/>
      <c r="D630" s="459"/>
      <c r="E630" s="459"/>
      <c r="F630" s="459"/>
      <c r="G630" s="459"/>
      <c r="H630" s="459"/>
      <c r="I630" s="459"/>
      <c r="J630" s="458"/>
      <c r="K630" s="458"/>
      <c r="L630" s="458"/>
      <c r="M630" s="458"/>
      <c r="N630" s="458"/>
      <c r="O630" s="458"/>
      <c r="P630" s="458"/>
      <c r="Q630" s="458"/>
      <c r="R630" s="458"/>
      <c r="S630" s="458"/>
      <c r="T630" s="458"/>
      <c r="U630" s="458"/>
      <c r="V630" s="458"/>
      <c r="W630" s="458"/>
      <c r="X630" s="458"/>
      <c r="Y630" s="458"/>
    </row>
    <row r="631" spans="1:25">
      <c r="A631" s="460"/>
      <c r="B631" s="461"/>
      <c r="C631" s="458"/>
      <c r="D631" s="459"/>
      <c r="E631" s="459"/>
      <c r="F631" s="459"/>
      <c r="G631" s="459"/>
      <c r="H631" s="459"/>
      <c r="I631" s="459"/>
      <c r="J631" s="458"/>
      <c r="K631" s="458"/>
      <c r="L631" s="458"/>
      <c r="M631" s="458"/>
      <c r="N631" s="458"/>
      <c r="O631" s="458"/>
      <c r="P631" s="458"/>
      <c r="Q631" s="458"/>
      <c r="R631" s="458"/>
      <c r="S631" s="458"/>
      <c r="T631" s="458"/>
      <c r="U631" s="458"/>
      <c r="V631" s="458"/>
      <c r="W631" s="458"/>
      <c r="X631" s="458"/>
      <c r="Y631" s="458"/>
    </row>
    <row r="632" spans="1:25">
      <c r="A632" s="460"/>
      <c r="B632" s="461"/>
      <c r="C632" s="458"/>
      <c r="D632" s="459"/>
      <c r="E632" s="459"/>
      <c r="F632" s="459"/>
      <c r="G632" s="459"/>
      <c r="H632" s="459"/>
      <c r="I632" s="459"/>
      <c r="J632" s="458"/>
      <c r="K632" s="458"/>
      <c r="L632" s="458"/>
      <c r="M632" s="458"/>
      <c r="N632" s="458"/>
      <c r="O632" s="458"/>
      <c r="P632" s="458"/>
      <c r="Q632" s="458"/>
      <c r="R632" s="458"/>
      <c r="S632" s="458"/>
      <c r="T632" s="458"/>
      <c r="U632" s="458"/>
      <c r="V632" s="458"/>
      <c r="W632" s="458"/>
      <c r="X632" s="458"/>
      <c r="Y632" s="458"/>
    </row>
    <row r="633" spans="1:25">
      <c r="A633" s="460"/>
      <c r="B633" s="461"/>
      <c r="C633" s="458"/>
      <c r="D633" s="459"/>
      <c r="E633" s="459"/>
      <c r="F633" s="459"/>
      <c r="G633" s="459"/>
      <c r="H633" s="459"/>
      <c r="I633" s="459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</row>
    <row r="634" spans="1:25">
      <c r="A634" s="460"/>
      <c r="B634" s="461"/>
      <c r="C634" s="458"/>
      <c r="D634" s="459"/>
      <c r="E634" s="459"/>
      <c r="F634" s="459"/>
      <c r="G634" s="459"/>
      <c r="H634" s="459"/>
      <c r="I634" s="459"/>
      <c r="J634" s="458"/>
      <c r="K634" s="458"/>
      <c r="L634" s="458"/>
      <c r="M634" s="458"/>
      <c r="N634" s="458"/>
      <c r="O634" s="458"/>
      <c r="P634" s="458"/>
      <c r="Q634" s="458"/>
      <c r="R634" s="458"/>
      <c r="S634" s="458"/>
      <c r="T634" s="458"/>
      <c r="U634" s="458"/>
      <c r="V634" s="458"/>
      <c r="W634" s="458"/>
      <c r="X634" s="458"/>
      <c r="Y634" s="458"/>
    </row>
    <row r="635" spans="1:25">
      <c r="A635" s="460"/>
      <c r="B635" s="461"/>
      <c r="C635" s="458"/>
      <c r="D635" s="459"/>
      <c r="E635" s="459"/>
      <c r="F635" s="459"/>
      <c r="G635" s="459"/>
      <c r="H635" s="459"/>
      <c r="I635" s="459"/>
      <c r="J635" s="458"/>
      <c r="K635" s="458"/>
      <c r="L635" s="458"/>
      <c r="M635" s="458"/>
      <c r="N635" s="458"/>
      <c r="O635" s="458"/>
      <c r="P635" s="458"/>
      <c r="Q635" s="458"/>
      <c r="R635" s="458"/>
      <c r="S635" s="458"/>
      <c r="T635" s="458"/>
      <c r="U635" s="458"/>
      <c r="V635" s="458"/>
      <c r="W635" s="458"/>
      <c r="X635" s="458"/>
      <c r="Y635" s="458"/>
    </row>
    <row r="636" spans="1:25">
      <c r="A636" s="460"/>
      <c r="B636" s="461"/>
      <c r="C636" s="458"/>
      <c r="D636" s="459"/>
      <c r="E636" s="459"/>
      <c r="F636" s="459"/>
      <c r="G636" s="459"/>
      <c r="H636" s="459"/>
      <c r="I636" s="459"/>
      <c r="J636" s="458"/>
      <c r="K636" s="458"/>
      <c r="L636" s="458"/>
      <c r="M636" s="458"/>
      <c r="N636" s="458"/>
      <c r="O636" s="458"/>
      <c r="P636" s="458"/>
      <c r="Q636" s="458"/>
      <c r="R636" s="458"/>
      <c r="S636" s="458"/>
      <c r="T636" s="458"/>
      <c r="U636" s="458"/>
      <c r="V636" s="458"/>
      <c r="W636" s="458"/>
      <c r="X636" s="458"/>
      <c r="Y636" s="458"/>
    </row>
    <row r="637" spans="1:25">
      <c r="A637" s="460"/>
      <c r="B637" s="461"/>
      <c r="C637" s="458"/>
      <c r="D637" s="459"/>
      <c r="E637" s="459"/>
      <c r="F637" s="459"/>
      <c r="G637" s="459"/>
      <c r="H637" s="459"/>
      <c r="I637" s="459"/>
      <c r="J637" s="458"/>
      <c r="K637" s="458"/>
      <c r="L637" s="458"/>
      <c r="M637" s="458"/>
      <c r="N637" s="458"/>
      <c r="O637" s="458"/>
      <c r="P637" s="458"/>
      <c r="Q637" s="458"/>
      <c r="R637" s="458"/>
      <c r="S637" s="458"/>
      <c r="T637" s="458"/>
      <c r="U637" s="458"/>
      <c r="V637" s="458"/>
      <c r="W637" s="458"/>
      <c r="X637" s="458"/>
      <c r="Y637" s="458"/>
    </row>
    <row r="638" spans="1:25">
      <c r="A638" s="460"/>
      <c r="B638" s="461"/>
      <c r="C638" s="458"/>
      <c r="D638" s="459"/>
      <c r="E638" s="459"/>
      <c r="F638" s="459"/>
      <c r="G638" s="459"/>
      <c r="H638" s="459"/>
      <c r="I638" s="459"/>
      <c r="J638" s="458"/>
      <c r="K638" s="458"/>
      <c r="L638" s="458"/>
      <c r="M638" s="458"/>
      <c r="N638" s="458"/>
      <c r="O638" s="458"/>
      <c r="P638" s="458"/>
      <c r="Q638" s="458"/>
      <c r="R638" s="458"/>
      <c r="S638" s="458"/>
      <c r="T638" s="458"/>
      <c r="U638" s="458"/>
      <c r="V638" s="458"/>
      <c r="W638" s="458"/>
      <c r="X638" s="458"/>
      <c r="Y638" s="458"/>
    </row>
    <row r="639" spans="1:25">
      <c r="A639" s="460"/>
      <c r="B639" s="461"/>
      <c r="C639" s="458"/>
      <c r="D639" s="459"/>
      <c r="E639" s="459"/>
      <c r="F639" s="459"/>
      <c r="G639" s="459"/>
      <c r="H639" s="459"/>
      <c r="I639" s="459"/>
      <c r="J639" s="458"/>
      <c r="K639" s="458"/>
      <c r="L639" s="458"/>
      <c r="M639" s="458"/>
      <c r="N639" s="458"/>
      <c r="O639" s="458"/>
      <c r="P639" s="458"/>
      <c r="Q639" s="458"/>
      <c r="R639" s="458"/>
      <c r="S639" s="458"/>
      <c r="T639" s="458"/>
      <c r="U639" s="458"/>
      <c r="V639" s="458"/>
      <c r="W639" s="458"/>
      <c r="X639" s="458"/>
      <c r="Y639" s="458"/>
    </row>
    <row r="640" spans="1:25">
      <c r="A640" s="460"/>
      <c r="B640" s="461"/>
      <c r="C640" s="458"/>
      <c r="D640" s="459"/>
      <c r="E640" s="459"/>
      <c r="F640" s="459"/>
      <c r="G640" s="459"/>
      <c r="H640" s="459"/>
      <c r="I640" s="459"/>
      <c r="J640" s="458"/>
      <c r="K640" s="458"/>
      <c r="L640" s="458"/>
      <c r="M640" s="458"/>
      <c r="N640" s="458"/>
      <c r="O640" s="458"/>
      <c r="P640" s="458"/>
      <c r="Q640" s="458"/>
      <c r="R640" s="458"/>
      <c r="S640" s="458"/>
      <c r="T640" s="458"/>
      <c r="U640" s="458"/>
      <c r="V640" s="458"/>
      <c r="W640" s="458"/>
      <c r="X640" s="458"/>
      <c r="Y640" s="458"/>
    </row>
    <row r="641" spans="1:25">
      <c r="A641" s="460"/>
      <c r="B641" s="461"/>
      <c r="C641" s="458"/>
      <c r="D641" s="459"/>
      <c r="E641" s="459"/>
      <c r="F641" s="459"/>
      <c r="G641" s="459"/>
      <c r="H641" s="459"/>
      <c r="I641" s="459"/>
      <c r="J641" s="458"/>
      <c r="K641" s="458"/>
      <c r="L641" s="458"/>
      <c r="M641" s="458"/>
      <c r="N641" s="458"/>
      <c r="O641" s="458"/>
      <c r="P641" s="458"/>
      <c r="Q641" s="458"/>
      <c r="R641" s="458"/>
      <c r="S641" s="458"/>
      <c r="T641" s="458"/>
      <c r="U641" s="458"/>
      <c r="V641" s="458"/>
      <c r="W641" s="458"/>
      <c r="X641" s="458"/>
      <c r="Y641" s="458"/>
    </row>
    <row r="642" spans="1:25">
      <c r="A642" s="460"/>
      <c r="B642" s="461"/>
      <c r="C642" s="458"/>
      <c r="D642" s="459"/>
      <c r="E642" s="459"/>
      <c r="F642" s="459"/>
      <c r="G642" s="459"/>
      <c r="H642" s="459"/>
      <c r="I642" s="459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  <c r="Y642" s="458"/>
    </row>
    <row r="643" spans="1:25">
      <c r="A643" s="460"/>
      <c r="B643" s="461"/>
      <c r="C643" s="458"/>
      <c r="D643" s="459"/>
      <c r="E643" s="459"/>
      <c r="F643" s="459"/>
      <c r="G643" s="459"/>
      <c r="H643" s="459"/>
      <c r="I643" s="459"/>
      <c r="J643" s="458"/>
      <c r="K643" s="458"/>
      <c r="L643" s="458"/>
      <c r="M643" s="458"/>
      <c r="N643" s="458"/>
      <c r="O643" s="458"/>
      <c r="P643" s="458"/>
      <c r="Q643" s="458"/>
      <c r="R643" s="458"/>
      <c r="S643" s="458"/>
      <c r="T643" s="458"/>
      <c r="U643" s="458"/>
      <c r="V643" s="458"/>
      <c r="W643" s="458"/>
      <c r="X643" s="458"/>
      <c r="Y643" s="458"/>
    </row>
    <row r="644" spans="1:25">
      <c r="A644" s="460"/>
      <c r="B644" s="461"/>
      <c r="C644" s="458"/>
      <c r="D644" s="459"/>
      <c r="E644" s="459"/>
      <c r="F644" s="459"/>
      <c r="G644" s="459"/>
      <c r="H644" s="459"/>
      <c r="I644" s="459"/>
      <c r="J644" s="458"/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58"/>
      <c r="V644" s="458"/>
      <c r="W644" s="458"/>
      <c r="X644" s="458"/>
      <c r="Y644" s="458"/>
    </row>
    <row r="645" spans="1:25">
      <c r="A645" s="460"/>
      <c r="B645" s="461"/>
      <c r="C645" s="458"/>
      <c r="D645" s="459"/>
      <c r="E645" s="459"/>
      <c r="F645" s="459"/>
      <c r="G645" s="459"/>
      <c r="H645" s="459"/>
      <c r="I645" s="459"/>
      <c r="J645" s="45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58"/>
      <c r="V645" s="458"/>
      <c r="W645" s="458"/>
      <c r="X645" s="458"/>
      <c r="Y645" s="458"/>
    </row>
    <row r="646" spans="1:25">
      <c r="A646" s="460"/>
      <c r="B646" s="461"/>
      <c r="C646" s="458"/>
      <c r="D646" s="459"/>
      <c r="E646" s="459"/>
      <c r="F646" s="459"/>
      <c r="G646" s="459"/>
      <c r="H646" s="459"/>
      <c r="I646" s="459"/>
      <c r="J646" s="45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58"/>
      <c r="V646" s="458"/>
      <c r="W646" s="458"/>
      <c r="X646" s="458"/>
      <c r="Y646" s="458"/>
    </row>
    <row r="647" spans="1:25">
      <c r="A647" s="460"/>
      <c r="B647" s="461"/>
      <c r="C647" s="458"/>
      <c r="D647" s="459"/>
      <c r="E647" s="459"/>
      <c r="F647" s="459"/>
      <c r="G647" s="459"/>
      <c r="H647" s="459"/>
      <c r="I647" s="459"/>
      <c r="J647" s="45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58"/>
      <c r="V647" s="458"/>
      <c r="W647" s="458"/>
      <c r="X647" s="458"/>
      <c r="Y647" s="458"/>
    </row>
    <row r="648" spans="1:25">
      <c r="A648" s="460"/>
      <c r="B648" s="461"/>
      <c r="C648" s="458"/>
      <c r="D648" s="459"/>
      <c r="E648" s="459"/>
      <c r="F648" s="459"/>
      <c r="G648" s="459"/>
      <c r="H648" s="459"/>
      <c r="I648" s="459"/>
      <c r="J648" s="458"/>
      <c r="K648" s="458"/>
      <c r="L648" s="458"/>
      <c r="M648" s="458"/>
      <c r="N648" s="458"/>
      <c r="O648" s="458"/>
      <c r="P648" s="458"/>
      <c r="Q648" s="458"/>
      <c r="R648" s="458"/>
      <c r="S648" s="458"/>
      <c r="T648" s="458"/>
      <c r="U648" s="458"/>
      <c r="V648" s="458"/>
      <c r="W648" s="458"/>
      <c r="X648" s="458"/>
      <c r="Y648" s="458"/>
    </row>
    <row r="649" spans="1:25">
      <c r="A649" s="460"/>
      <c r="B649" s="461"/>
      <c r="C649" s="458"/>
      <c r="D649" s="459"/>
      <c r="E649" s="459"/>
      <c r="F649" s="459"/>
      <c r="G649" s="459"/>
      <c r="H649" s="459"/>
      <c r="I649" s="459"/>
      <c r="J649" s="458"/>
      <c r="K649" s="458"/>
      <c r="L649" s="458"/>
      <c r="M649" s="458"/>
      <c r="N649" s="458"/>
      <c r="O649" s="458"/>
      <c r="P649" s="458"/>
      <c r="Q649" s="458"/>
      <c r="R649" s="458"/>
      <c r="S649" s="458"/>
      <c r="T649" s="458"/>
      <c r="U649" s="458"/>
      <c r="V649" s="458"/>
      <c r="W649" s="458"/>
      <c r="X649" s="458"/>
      <c r="Y649" s="458"/>
    </row>
    <row r="650" spans="1:25">
      <c r="A650" s="460"/>
      <c r="B650" s="461"/>
      <c r="C650" s="458"/>
      <c r="D650" s="459"/>
      <c r="E650" s="459"/>
      <c r="F650" s="459"/>
      <c r="G650" s="459"/>
      <c r="H650" s="459"/>
      <c r="I650" s="459"/>
      <c r="J650" s="458"/>
      <c r="K650" s="458"/>
      <c r="L650" s="458"/>
      <c r="M650" s="458"/>
      <c r="N650" s="458"/>
      <c r="O650" s="458"/>
      <c r="P650" s="458"/>
      <c r="Q650" s="458"/>
      <c r="R650" s="458"/>
      <c r="S650" s="458"/>
      <c r="T650" s="458"/>
      <c r="U650" s="458"/>
      <c r="V650" s="458"/>
      <c r="W650" s="458"/>
      <c r="X650" s="458"/>
      <c r="Y650" s="458"/>
    </row>
    <row r="651" spans="1:25">
      <c r="A651" s="460"/>
      <c r="B651" s="461"/>
      <c r="C651" s="458"/>
      <c r="D651" s="459"/>
      <c r="E651" s="459"/>
      <c r="F651" s="459"/>
      <c r="G651" s="459"/>
      <c r="H651" s="459"/>
      <c r="I651" s="459"/>
      <c r="J651" s="458"/>
      <c r="K651" s="458"/>
      <c r="L651" s="458"/>
      <c r="M651" s="458"/>
      <c r="N651" s="458"/>
      <c r="O651" s="458"/>
      <c r="P651" s="458"/>
      <c r="Q651" s="458"/>
      <c r="R651" s="458"/>
      <c r="S651" s="458"/>
      <c r="T651" s="458"/>
      <c r="U651" s="458"/>
      <c r="V651" s="458"/>
      <c r="W651" s="458"/>
      <c r="X651" s="458"/>
      <c r="Y651" s="458"/>
    </row>
    <row r="652" spans="1:25">
      <c r="A652" s="460"/>
      <c r="B652" s="461"/>
      <c r="C652" s="458"/>
      <c r="D652" s="459"/>
      <c r="E652" s="459"/>
      <c r="F652" s="459"/>
      <c r="G652" s="459"/>
      <c r="H652" s="459"/>
      <c r="I652" s="459"/>
      <c r="J652" s="458"/>
      <c r="K652" s="458"/>
      <c r="L652" s="458"/>
      <c r="M652" s="458"/>
      <c r="N652" s="458"/>
      <c r="O652" s="458"/>
      <c r="P652" s="458"/>
      <c r="Q652" s="458"/>
      <c r="R652" s="458"/>
      <c r="S652" s="458"/>
      <c r="T652" s="458"/>
      <c r="U652" s="458"/>
      <c r="V652" s="458"/>
      <c r="W652" s="458"/>
      <c r="X652" s="458"/>
      <c r="Y652" s="458"/>
    </row>
    <row r="653" spans="1:25">
      <c r="A653" s="460"/>
      <c r="B653" s="461"/>
      <c r="C653" s="458"/>
      <c r="D653" s="459"/>
      <c r="E653" s="459"/>
      <c r="F653" s="459"/>
      <c r="G653" s="459"/>
      <c r="H653" s="459"/>
      <c r="I653" s="459"/>
      <c r="J653" s="458"/>
      <c r="K653" s="458"/>
      <c r="L653" s="458"/>
      <c r="M653" s="458"/>
      <c r="N653" s="458"/>
      <c r="O653" s="458"/>
      <c r="P653" s="458"/>
      <c r="Q653" s="458"/>
      <c r="R653" s="458"/>
      <c r="S653" s="458"/>
      <c r="T653" s="458"/>
      <c r="U653" s="458"/>
      <c r="V653" s="458"/>
      <c r="W653" s="458"/>
      <c r="X653" s="458"/>
      <c r="Y653" s="458"/>
    </row>
    <row r="654" spans="1:25">
      <c r="A654" s="460"/>
      <c r="B654" s="461"/>
      <c r="C654" s="458"/>
      <c r="D654" s="459"/>
      <c r="E654" s="459"/>
      <c r="F654" s="459"/>
      <c r="G654" s="459"/>
      <c r="H654" s="459"/>
      <c r="I654" s="459"/>
      <c r="J654" s="458"/>
      <c r="K654" s="458"/>
      <c r="L654" s="458"/>
      <c r="M654" s="458"/>
      <c r="N654" s="458"/>
      <c r="O654" s="458"/>
      <c r="P654" s="458"/>
      <c r="Q654" s="458"/>
      <c r="R654" s="458"/>
      <c r="S654" s="458"/>
      <c r="T654" s="458"/>
      <c r="U654" s="458"/>
      <c r="V654" s="458"/>
      <c r="W654" s="458"/>
      <c r="X654" s="458"/>
      <c r="Y654" s="458"/>
    </row>
    <row r="655" spans="1:25">
      <c r="A655" s="460"/>
      <c r="B655" s="461"/>
      <c r="C655" s="458"/>
      <c r="D655" s="459"/>
      <c r="E655" s="459"/>
      <c r="F655" s="459"/>
      <c r="G655" s="459"/>
      <c r="H655" s="459"/>
      <c r="I655" s="459"/>
      <c r="J655" s="458"/>
      <c r="K655" s="458"/>
      <c r="L655" s="458"/>
      <c r="M655" s="458"/>
      <c r="N655" s="458"/>
      <c r="O655" s="458"/>
      <c r="P655" s="458"/>
      <c r="Q655" s="458"/>
      <c r="R655" s="458"/>
      <c r="S655" s="458"/>
      <c r="T655" s="458"/>
      <c r="U655" s="458"/>
      <c r="V655" s="458"/>
      <c r="W655" s="458"/>
      <c r="X655" s="458"/>
      <c r="Y655" s="458"/>
    </row>
    <row r="656" spans="1:25">
      <c r="A656" s="460"/>
      <c r="B656" s="461"/>
      <c r="C656" s="458"/>
      <c r="D656" s="459"/>
      <c r="E656" s="459"/>
      <c r="F656" s="459"/>
      <c r="G656" s="459"/>
      <c r="H656" s="459"/>
      <c r="I656" s="459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58"/>
      <c r="V656" s="458"/>
      <c r="W656" s="458"/>
      <c r="X656" s="458"/>
      <c r="Y656" s="458"/>
    </row>
    <row r="657" spans="1:25">
      <c r="A657" s="460"/>
      <c r="B657" s="461"/>
      <c r="C657" s="458"/>
      <c r="D657" s="459"/>
      <c r="E657" s="459"/>
      <c r="F657" s="459"/>
      <c r="G657" s="459"/>
      <c r="H657" s="459"/>
      <c r="I657" s="459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58"/>
      <c r="V657" s="458"/>
      <c r="W657" s="458"/>
      <c r="X657" s="458"/>
      <c r="Y657" s="458"/>
    </row>
    <row r="658" spans="1:25">
      <c r="A658" s="460"/>
      <c r="B658" s="461"/>
      <c r="C658" s="458"/>
      <c r="D658" s="459"/>
      <c r="E658" s="459"/>
      <c r="F658" s="459"/>
      <c r="G658" s="459"/>
      <c r="H658" s="459"/>
      <c r="I658" s="459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58"/>
      <c r="V658" s="458"/>
      <c r="W658" s="458"/>
      <c r="X658" s="458"/>
      <c r="Y658" s="458"/>
    </row>
    <row r="659" spans="1:25">
      <c r="A659" s="460"/>
      <c r="B659" s="461"/>
      <c r="C659" s="458"/>
      <c r="D659" s="459"/>
      <c r="E659" s="459"/>
      <c r="F659" s="459"/>
      <c r="G659" s="459"/>
      <c r="H659" s="459"/>
      <c r="I659" s="459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58"/>
      <c r="V659" s="458"/>
      <c r="W659" s="458"/>
      <c r="X659" s="458"/>
      <c r="Y659" s="458"/>
    </row>
    <row r="660" spans="1:25">
      <c r="A660" s="460"/>
      <c r="B660" s="461"/>
      <c r="C660" s="458"/>
      <c r="D660" s="459"/>
      <c r="E660" s="459"/>
      <c r="F660" s="459"/>
      <c r="G660" s="459"/>
      <c r="H660" s="459"/>
      <c r="I660" s="459"/>
      <c r="J660" s="458"/>
      <c r="K660" s="458"/>
      <c r="L660" s="458"/>
      <c r="M660" s="458"/>
      <c r="N660" s="458"/>
      <c r="O660" s="458"/>
      <c r="P660" s="458"/>
      <c r="Q660" s="458"/>
      <c r="R660" s="458"/>
      <c r="S660" s="458"/>
      <c r="T660" s="458"/>
      <c r="U660" s="458"/>
      <c r="V660" s="458"/>
      <c r="W660" s="458"/>
      <c r="X660" s="458"/>
      <c r="Y660" s="458"/>
    </row>
    <row r="661" spans="1:25">
      <c r="A661" s="460"/>
      <c r="B661" s="461"/>
      <c r="C661" s="458"/>
      <c r="D661" s="459"/>
      <c r="E661" s="459"/>
      <c r="F661" s="459"/>
      <c r="G661" s="459"/>
      <c r="H661" s="459"/>
      <c r="I661" s="459"/>
      <c r="J661" s="458"/>
      <c r="K661" s="458"/>
      <c r="L661" s="458"/>
      <c r="M661" s="458"/>
      <c r="N661" s="458"/>
      <c r="O661" s="458"/>
      <c r="P661" s="458"/>
      <c r="Q661" s="458"/>
      <c r="R661" s="458"/>
      <c r="S661" s="458"/>
      <c r="T661" s="458"/>
      <c r="U661" s="458"/>
      <c r="V661" s="458"/>
      <c r="W661" s="458"/>
      <c r="X661" s="458"/>
      <c r="Y661" s="458"/>
    </row>
    <row r="662" spans="1:25">
      <c r="A662" s="460"/>
      <c r="B662" s="461"/>
      <c r="C662" s="458"/>
      <c r="D662" s="459"/>
      <c r="E662" s="459"/>
      <c r="F662" s="459"/>
      <c r="G662" s="459"/>
      <c r="H662" s="459"/>
      <c r="I662" s="459"/>
      <c r="J662" s="458"/>
      <c r="K662" s="458"/>
      <c r="L662" s="458"/>
      <c r="M662" s="458"/>
      <c r="N662" s="458"/>
      <c r="O662" s="458"/>
      <c r="P662" s="458"/>
      <c r="Q662" s="458"/>
      <c r="R662" s="458"/>
      <c r="S662" s="458"/>
      <c r="T662" s="458"/>
      <c r="U662" s="458"/>
      <c r="V662" s="458"/>
      <c r="W662" s="458"/>
      <c r="X662" s="458"/>
      <c r="Y662" s="458"/>
    </row>
    <row r="663" spans="1:25">
      <c r="A663" s="460"/>
      <c r="B663" s="461"/>
      <c r="C663" s="458"/>
      <c r="D663" s="459"/>
      <c r="E663" s="459"/>
      <c r="F663" s="459"/>
      <c r="G663" s="459"/>
      <c r="H663" s="459"/>
      <c r="I663" s="459"/>
      <c r="J663" s="458"/>
      <c r="K663" s="458"/>
      <c r="L663" s="458"/>
      <c r="M663" s="458"/>
      <c r="N663" s="458"/>
      <c r="O663" s="458"/>
      <c r="P663" s="458"/>
      <c r="Q663" s="458"/>
      <c r="R663" s="458"/>
      <c r="S663" s="458"/>
      <c r="T663" s="458"/>
      <c r="U663" s="458"/>
      <c r="V663" s="458"/>
      <c r="W663" s="458"/>
      <c r="X663" s="458"/>
      <c r="Y663" s="458"/>
    </row>
    <row r="664" spans="1:25">
      <c r="A664" s="460"/>
      <c r="B664" s="461"/>
      <c r="C664" s="458"/>
      <c r="D664" s="459"/>
      <c r="E664" s="459"/>
      <c r="F664" s="459"/>
      <c r="G664" s="459"/>
      <c r="H664" s="459"/>
      <c r="I664" s="459"/>
      <c r="J664" s="458"/>
      <c r="K664" s="458"/>
      <c r="L664" s="458"/>
      <c r="M664" s="458"/>
      <c r="N664" s="458"/>
      <c r="O664" s="458"/>
      <c r="P664" s="458"/>
      <c r="Q664" s="458"/>
      <c r="R664" s="458"/>
      <c r="S664" s="458"/>
      <c r="T664" s="458"/>
      <c r="U664" s="458"/>
      <c r="V664" s="458"/>
      <c r="W664" s="458"/>
      <c r="X664" s="458"/>
      <c r="Y664" s="458"/>
    </row>
    <row r="665" spans="1:25">
      <c r="A665" s="460"/>
      <c r="B665" s="461"/>
      <c r="C665" s="458"/>
      <c r="D665" s="459"/>
      <c r="E665" s="459"/>
      <c r="F665" s="459"/>
      <c r="G665" s="459"/>
      <c r="H665" s="459"/>
      <c r="I665" s="459"/>
      <c r="J665" s="458"/>
      <c r="K665" s="458"/>
      <c r="L665" s="458"/>
      <c r="M665" s="458"/>
      <c r="N665" s="458"/>
      <c r="O665" s="458"/>
      <c r="P665" s="458"/>
      <c r="Q665" s="458"/>
      <c r="R665" s="458"/>
      <c r="S665" s="458"/>
      <c r="T665" s="458"/>
      <c r="U665" s="458"/>
      <c r="V665" s="458"/>
      <c r="W665" s="458"/>
      <c r="X665" s="458"/>
      <c r="Y665" s="458"/>
    </row>
    <row r="666" spans="1:25">
      <c r="A666" s="460"/>
      <c r="B666" s="461"/>
      <c r="C666" s="458"/>
      <c r="D666" s="459"/>
      <c r="E666" s="459"/>
      <c r="F666" s="459"/>
      <c r="G666" s="459"/>
      <c r="H666" s="459"/>
      <c r="I666" s="459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</row>
    <row r="667" spans="1:25">
      <c r="A667" s="460"/>
      <c r="B667" s="461"/>
      <c r="C667" s="458"/>
      <c r="D667" s="459"/>
      <c r="E667" s="459"/>
      <c r="F667" s="459"/>
      <c r="G667" s="459"/>
      <c r="H667" s="459"/>
      <c r="I667" s="459"/>
      <c r="J667" s="458"/>
      <c r="K667" s="458"/>
      <c r="L667" s="458"/>
      <c r="M667" s="458"/>
      <c r="N667" s="458"/>
      <c r="O667" s="458"/>
      <c r="P667" s="458"/>
      <c r="Q667" s="458"/>
      <c r="R667" s="458"/>
      <c r="S667" s="458"/>
      <c r="T667" s="458"/>
      <c r="U667" s="458"/>
      <c r="V667" s="458"/>
      <c r="W667" s="458"/>
      <c r="X667" s="458"/>
      <c r="Y667" s="458"/>
    </row>
    <row r="668" spans="1:25">
      <c r="A668" s="460"/>
      <c r="B668" s="461"/>
      <c r="C668" s="458"/>
      <c r="D668" s="459"/>
      <c r="E668" s="459"/>
      <c r="F668" s="459"/>
      <c r="G668" s="459"/>
      <c r="H668" s="459"/>
      <c r="I668" s="459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  <c r="Y668" s="458"/>
    </row>
    <row r="669" spans="1:25">
      <c r="A669" s="460"/>
      <c r="B669" s="461"/>
      <c r="C669" s="458"/>
      <c r="D669" s="459"/>
      <c r="E669" s="459"/>
      <c r="F669" s="459"/>
      <c r="G669" s="459"/>
      <c r="H669" s="459"/>
      <c r="I669" s="459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  <c r="Y669" s="458"/>
    </row>
    <row r="670" spans="1:25">
      <c r="A670" s="460"/>
      <c r="B670" s="461"/>
      <c r="C670" s="458"/>
      <c r="D670" s="459"/>
      <c r="E670" s="459"/>
      <c r="F670" s="459"/>
      <c r="G670" s="459"/>
      <c r="H670" s="459"/>
      <c r="I670" s="459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  <c r="Y670" s="458"/>
    </row>
    <row r="671" spans="1:25">
      <c r="A671" s="460"/>
      <c r="B671" s="461"/>
      <c r="C671" s="458"/>
      <c r="D671" s="459"/>
      <c r="E671" s="459"/>
      <c r="F671" s="459"/>
      <c r="G671" s="459"/>
      <c r="H671" s="459"/>
      <c r="I671" s="459"/>
      <c r="J671" s="458"/>
      <c r="K671" s="458"/>
      <c r="L671" s="458"/>
      <c r="M671" s="458"/>
      <c r="N671" s="458"/>
      <c r="O671" s="458"/>
      <c r="P671" s="458"/>
      <c r="Q671" s="458"/>
      <c r="R671" s="458"/>
      <c r="S671" s="458"/>
      <c r="T671" s="458"/>
      <c r="U671" s="458"/>
      <c r="V671" s="458"/>
      <c r="W671" s="458"/>
      <c r="X671" s="458"/>
      <c r="Y671" s="458"/>
    </row>
    <row r="672" spans="1:25">
      <c r="A672" s="460"/>
      <c r="B672" s="461"/>
      <c r="C672" s="458"/>
      <c r="D672" s="459"/>
      <c r="E672" s="459"/>
      <c r="F672" s="459"/>
      <c r="G672" s="459"/>
      <c r="H672" s="459"/>
      <c r="I672" s="459"/>
      <c r="J672" s="458"/>
      <c r="K672" s="458"/>
      <c r="L672" s="458"/>
      <c r="M672" s="458"/>
      <c r="N672" s="458"/>
      <c r="O672" s="458"/>
      <c r="P672" s="458"/>
      <c r="Q672" s="458"/>
      <c r="R672" s="458"/>
      <c r="S672" s="458"/>
      <c r="T672" s="458"/>
      <c r="U672" s="458"/>
      <c r="V672" s="458"/>
      <c r="W672" s="458"/>
      <c r="X672" s="458"/>
      <c r="Y672" s="458"/>
    </row>
    <row r="673" spans="1:25">
      <c r="A673" s="460"/>
      <c r="B673" s="461"/>
      <c r="C673" s="458"/>
      <c r="D673" s="459"/>
      <c r="E673" s="459"/>
      <c r="F673" s="459"/>
      <c r="G673" s="459"/>
      <c r="H673" s="459"/>
      <c r="I673" s="459"/>
      <c r="J673" s="458"/>
      <c r="K673" s="458"/>
      <c r="L673" s="458"/>
      <c r="M673" s="458"/>
      <c r="N673" s="458"/>
      <c r="O673" s="458"/>
      <c r="P673" s="458"/>
      <c r="Q673" s="458"/>
      <c r="R673" s="458"/>
      <c r="S673" s="458"/>
      <c r="T673" s="458"/>
      <c r="U673" s="458"/>
      <c r="V673" s="458"/>
      <c r="W673" s="458"/>
      <c r="X673" s="458"/>
      <c r="Y673" s="458"/>
    </row>
    <row r="674" spans="1:25">
      <c r="A674" s="460"/>
      <c r="B674" s="461"/>
      <c r="C674" s="458"/>
      <c r="D674" s="459"/>
      <c r="E674" s="459"/>
      <c r="F674" s="459"/>
      <c r="G674" s="459"/>
      <c r="H674" s="459"/>
      <c r="I674" s="459"/>
      <c r="J674" s="458"/>
      <c r="K674" s="458"/>
      <c r="L674" s="458"/>
      <c r="M674" s="458"/>
      <c r="N674" s="458"/>
      <c r="O674" s="458"/>
      <c r="P674" s="458"/>
      <c r="Q674" s="458"/>
      <c r="R674" s="458"/>
      <c r="S674" s="458"/>
      <c r="T674" s="458"/>
      <c r="U674" s="458"/>
      <c r="V674" s="458"/>
      <c r="W674" s="458"/>
      <c r="X674" s="458"/>
      <c r="Y674" s="458"/>
    </row>
    <row r="675" spans="1:25">
      <c r="A675" s="460"/>
      <c r="B675" s="461"/>
      <c r="C675" s="458"/>
      <c r="D675" s="459"/>
      <c r="E675" s="459"/>
      <c r="F675" s="459"/>
      <c r="G675" s="459"/>
      <c r="H675" s="459"/>
      <c r="I675" s="459"/>
      <c r="J675" s="458"/>
      <c r="K675" s="458"/>
      <c r="L675" s="458"/>
      <c r="M675" s="458"/>
      <c r="N675" s="458"/>
      <c r="O675" s="458"/>
      <c r="P675" s="458"/>
      <c r="Q675" s="458"/>
      <c r="R675" s="458"/>
      <c r="S675" s="458"/>
      <c r="T675" s="458"/>
      <c r="U675" s="458"/>
      <c r="V675" s="458"/>
      <c r="W675" s="458"/>
      <c r="X675" s="458"/>
      <c r="Y675" s="458"/>
    </row>
    <row r="676" spans="1:25">
      <c r="A676" s="460"/>
      <c r="B676" s="461"/>
      <c r="C676" s="458"/>
      <c r="D676" s="459"/>
      <c r="E676" s="459"/>
      <c r="F676" s="459"/>
      <c r="G676" s="459"/>
      <c r="H676" s="459"/>
      <c r="I676" s="459"/>
      <c r="J676" s="458"/>
      <c r="K676" s="458"/>
      <c r="L676" s="458"/>
      <c r="M676" s="458"/>
      <c r="N676" s="458"/>
      <c r="O676" s="458"/>
      <c r="P676" s="458"/>
      <c r="Q676" s="458"/>
      <c r="R676" s="458"/>
      <c r="S676" s="458"/>
      <c r="T676" s="458"/>
      <c r="U676" s="458"/>
      <c r="V676" s="458"/>
      <c r="W676" s="458"/>
      <c r="X676" s="458"/>
      <c r="Y676" s="458"/>
    </row>
    <row r="677" spans="1:25">
      <c r="A677" s="460"/>
      <c r="B677" s="461"/>
      <c r="C677" s="458"/>
      <c r="D677" s="459"/>
      <c r="E677" s="459"/>
      <c r="F677" s="459"/>
      <c r="G677" s="459"/>
      <c r="H677" s="459"/>
      <c r="I677" s="459"/>
      <c r="J677" s="458"/>
      <c r="K677" s="458"/>
      <c r="L677" s="458"/>
      <c r="M677" s="458"/>
      <c r="N677" s="458"/>
      <c r="O677" s="458"/>
      <c r="P677" s="458"/>
      <c r="Q677" s="458"/>
      <c r="R677" s="458"/>
      <c r="S677" s="458"/>
      <c r="T677" s="458"/>
      <c r="U677" s="458"/>
      <c r="V677" s="458"/>
      <c r="W677" s="458"/>
      <c r="X677" s="458"/>
      <c r="Y677" s="458"/>
    </row>
    <row r="678" spans="1:25">
      <c r="A678" s="460"/>
      <c r="B678" s="461"/>
      <c r="C678" s="458"/>
      <c r="D678" s="459"/>
      <c r="E678" s="459"/>
      <c r="F678" s="459"/>
      <c r="G678" s="459"/>
      <c r="H678" s="459"/>
      <c r="I678" s="459"/>
      <c r="J678" s="458"/>
      <c r="K678" s="458"/>
      <c r="L678" s="458"/>
      <c r="M678" s="458"/>
      <c r="N678" s="458"/>
      <c r="O678" s="458"/>
      <c r="P678" s="458"/>
      <c r="Q678" s="458"/>
      <c r="R678" s="458"/>
      <c r="S678" s="458"/>
      <c r="T678" s="458"/>
      <c r="U678" s="458"/>
      <c r="V678" s="458"/>
      <c r="W678" s="458"/>
      <c r="X678" s="458"/>
      <c r="Y678" s="458"/>
    </row>
    <row r="679" spans="1:25">
      <c r="A679" s="460"/>
      <c r="B679" s="461"/>
      <c r="C679" s="458"/>
      <c r="D679" s="459"/>
      <c r="E679" s="459"/>
      <c r="F679" s="459"/>
      <c r="G679" s="459"/>
      <c r="H679" s="459"/>
      <c r="I679" s="459"/>
      <c r="J679" s="458"/>
      <c r="K679" s="458"/>
      <c r="L679" s="458"/>
      <c r="M679" s="458"/>
      <c r="N679" s="458"/>
      <c r="O679" s="458"/>
      <c r="P679" s="458"/>
      <c r="Q679" s="458"/>
      <c r="R679" s="458"/>
      <c r="S679" s="458"/>
      <c r="T679" s="458"/>
      <c r="U679" s="458"/>
      <c r="V679" s="458"/>
      <c r="W679" s="458"/>
      <c r="X679" s="458"/>
      <c r="Y679" s="458"/>
    </row>
    <row r="680" spans="1:25">
      <c r="A680" s="460"/>
      <c r="B680" s="461"/>
      <c r="C680" s="458"/>
      <c r="D680" s="459"/>
      <c r="E680" s="459"/>
      <c r="F680" s="459"/>
      <c r="G680" s="459"/>
      <c r="H680" s="459"/>
      <c r="I680" s="459"/>
      <c r="J680" s="458"/>
      <c r="K680" s="458"/>
      <c r="L680" s="458"/>
      <c r="M680" s="458"/>
      <c r="N680" s="458"/>
      <c r="O680" s="458"/>
      <c r="P680" s="458"/>
      <c r="Q680" s="458"/>
      <c r="R680" s="458"/>
      <c r="S680" s="458"/>
      <c r="T680" s="458"/>
      <c r="U680" s="458"/>
      <c r="V680" s="458"/>
      <c r="W680" s="458"/>
      <c r="X680" s="458"/>
      <c r="Y680" s="458"/>
    </row>
    <row r="681" spans="1:25">
      <c r="A681" s="460"/>
      <c r="B681" s="461"/>
      <c r="C681" s="458"/>
      <c r="D681" s="459"/>
      <c r="E681" s="459"/>
      <c r="F681" s="459"/>
      <c r="G681" s="459"/>
      <c r="H681" s="459"/>
      <c r="I681" s="459"/>
      <c r="J681" s="458"/>
      <c r="K681" s="458"/>
      <c r="L681" s="458"/>
      <c r="M681" s="458"/>
      <c r="N681" s="458"/>
      <c r="O681" s="458"/>
      <c r="P681" s="458"/>
      <c r="Q681" s="458"/>
      <c r="R681" s="458"/>
      <c r="S681" s="458"/>
      <c r="T681" s="458"/>
      <c r="U681" s="458"/>
      <c r="V681" s="458"/>
      <c r="W681" s="458"/>
      <c r="X681" s="458"/>
      <c r="Y681" s="458"/>
    </row>
    <row r="682" spans="1:25">
      <c r="A682" s="460"/>
      <c r="B682" s="461"/>
      <c r="C682" s="458"/>
      <c r="D682" s="459"/>
      <c r="E682" s="459"/>
      <c r="F682" s="459"/>
      <c r="G682" s="459"/>
      <c r="H682" s="459"/>
      <c r="I682" s="459"/>
      <c r="J682" s="458"/>
      <c r="K682" s="458"/>
      <c r="L682" s="458"/>
      <c r="M682" s="458"/>
      <c r="N682" s="458"/>
      <c r="O682" s="458"/>
      <c r="P682" s="458"/>
      <c r="Q682" s="458"/>
      <c r="R682" s="458"/>
      <c r="S682" s="458"/>
      <c r="T682" s="458"/>
      <c r="U682" s="458"/>
      <c r="V682" s="458"/>
      <c r="W682" s="458"/>
      <c r="X682" s="458"/>
      <c r="Y682" s="458"/>
    </row>
    <row r="683" spans="1:25">
      <c r="A683" s="460"/>
      <c r="B683" s="461"/>
      <c r="C683" s="458"/>
      <c r="D683" s="459"/>
      <c r="E683" s="459"/>
      <c r="F683" s="459"/>
      <c r="G683" s="459"/>
      <c r="H683" s="459"/>
      <c r="I683" s="459"/>
      <c r="J683" s="458"/>
      <c r="K683" s="458"/>
      <c r="L683" s="458"/>
      <c r="M683" s="458"/>
      <c r="N683" s="458"/>
      <c r="O683" s="458"/>
      <c r="P683" s="458"/>
      <c r="Q683" s="458"/>
      <c r="R683" s="458"/>
      <c r="S683" s="458"/>
      <c r="T683" s="458"/>
      <c r="U683" s="458"/>
      <c r="V683" s="458"/>
      <c r="W683" s="458"/>
      <c r="X683" s="458"/>
      <c r="Y683" s="458"/>
    </row>
    <row r="684" spans="1:25">
      <c r="A684" s="460"/>
      <c r="B684" s="461"/>
      <c r="C684" s="458"/>
      <c r="D684" s="459"/>
      <c r="E684" s="459"/>
      <c r="F684" s="459"/>
      <c r="G684" s="459"/>
      <c r="H684" s="459"/>
      <c r="I684" s="459"/>
      <c r="J684" s="458"/>
      <c r="K684" s="458"/>
      <c r="L684" s="458"/>
      <c r="M684" s="458"/>
      <c r="N684" s="458"/>
      <c r="O684" s="458"/>
      <c r="P684" s="458"/>
      <c r="Q684" s="458"/>
      <c r="R684" s="458"/>
      <c r="S684" s="458"/>
      <c r="T684" s="458"/>
      <c r="U684" s="458"/>
      <c r="V684" s="458"/>
      <c r="W684" s="458"/>
      <c r="X684" s="458"/>
      <c r="Y684" s="458"/>
    </row>
    <row r="685" spans="1:25">
      <c r="A685" s="460"/>
      <c r="B685" s="461"/>
      <c r="C685" s="458"/>
      <c r="D685" s="459"/>
      <c r="E685" s="459"/>
      <c r="F685" s="459"/>
      <c r="G685" s="459"/>
      <c r="H685" s="459"/>
      <c r="I685" s="459"/>
      <c r="J685" s="458"/>
      <c r="K685" s="458"/>
      <c r="L685" s="458"/>
      <c r="M685" s="458"/>
      <c r="N685" s="458"/>
      <c r="O685" s="458"/>
      <c r="P685" s="458"/>
      <c r="Q685" s="458"/>
      <c r="R685" s="458"/>
      <c r="S685" s="458"/>
      <c r="T685" s="458"/>
      <c r="U685" s="458"/>
      <c r="V685" s="458"/>
      <c r="W685" s="458"/>
      <c r="X685" s="458"/>
      <c r="Y685" s="458"/>
    </row>
    <row r="686" spans="1:25">
      <c r="A686" s="460"/>
      <c r="B686" s="461"/>
      <c r="C686" s="458"/>
      <c r="D686" s="459"/>
      <c r="E686" s="459"/>
      <c r="F686" s="459"/>
      <c r="G686" s="459"/>
      <c r="H686" s="459"/>
      <c r="I686" s="459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  <c r="Y686" s="458"/>
    </row>
    <row r="687" spans="1:25">
      <c r="A687" s="460"/>
      <c r="B687" s="461"/>
      <c r="C687" s="458"/>
      <c r="D687" s="459"/>
      <c r="E687" s="459"/>
      <c r="F687" s="459"/>
      <c r="G687" s="459"/>
      <c r="H687" s="459"/>
      <c r="I687" s="459"/>
      <c r="J687" s="458"/>
      <c r="K687" s="458"/>
      <c r="L687" s="458"/>
      <c r="M687" s="458"/>
      <c r="N687" s="458"/>
      <c r="O687" s="458"/>
      <c r="P687" s="458"/>
      <c r="Q687" s="458"/>
      <c r="R687" s="458"/>
      <c r="S687" s="458"/>
      <c r="T687" s="458"/>
      <c r="U687" s="458"/>
      <c r="V687" s="458"/>
      <c r="W687" s="458"/>
      <c r="X687" s="458"/>
      <c r="Y687" s="458"/>
    </row>
    <row r="688" spans="1:25">
      <c r="A688" s="460"/>
      <c r="B688" s="461"/>
      <c r="C688" s="458"/>
      <c r="D688" s="459"/>
      <c r="E688" s="459"/>
      <c r="F688" s="459"/>
      <c r="G688" s="459"/>
      <c r="H688" s="459"/>
      <c r="I688" s="459"/>
      <c r="J688" s="458"/>
      <c r="K688" s="458"/>
      <c r="L688" s="458"/>
      <c r="M688" s="458"/>
      <c r="N688" s="458"/>
      <c r="O688" s="458"/>
      <c r="P688" s="458"/>
      <c r="Q688" s="458"/>
      <c r="R688" s="458"/>
      <c r="S688" s="458"/>
      <c r="T688" s="458"/>
      <c r="U688" s="458"/>
      <c r="V688" s="458"/>
      <c r="W688" s="458"/>
      <c r="X688" s="458"/>
      <c r="Y688" s="458"/>
    </row>
    <row r="689" spans="1:25">
      <c r="A689" s="460"/>
      <c r="B689" s="461"/>
      <c r="C689" s="458"/>
      <c r="D689" s="459"/>
      <c r="E689" s="459"/>
      <c r="F689" s="459"/>
      <c r="G689" s="459"/>
      <c r="H689" s="459"/>
      <c r="I689" s="459"/>
      <c r="J689" s="458"/>
      <c r="K689" s="458"/>
      <c r="L689" s="458"/>
      <c r="M689" s="458"/>
      <c r="N689" s="458"/>
      <c r="O689" s="458"/>
      <c r="P689" s="458"/>
      <c r="Q689" s="458"/>
      <c r="R689" s="458"/>
      <c r="S689" s="458"/>
      <c r="T689" s="458"/>
      <c r="U689" s="458"/>
      <c r="V689" s="458"/>
      <c r="W689" s="458"/>
      <c r="X689" s="458"/>
      <c r="Y689" s="458"/>
    </row>
    <row r="690" spans="1:25">
      <c r="A690" s="460"/>
      <c r="B690" s="461"/>
      <c r="C690" s="458"/>
      <c r="D690" s="459"/>
      <c r="E690" s="459"/>
      <c r="F690" s="459"/>
      <c r="G690" s="459"/>
      <c r="H690" s="459"/>
      <c r="I690" s="459"/>
      <c r="J690" s="458"/>
      <c r="K690" s="458"/>
      <c r="L690" s="458"/>
      <c r="M690" s="458"/>
      <c r="N690" s="458"/>
      <c r="O690" s="458"/>
      <c r="P690" s="458"/>
      <c r="Q690" s="458"/>
      <c r="R690" s="458"/>
      <c r="S690" s="458"/>
      <c r="T690" s="458"/>
      <c r="U690" s="458"/>
      <c r="V690" s="458"/>
      <c r="W690" s="458"/>
      <c r="X690" s="458"/>
      <c r="Y690" s="458"/>
    </row>
    <row r="691" spans="1:25">
      <c r="A691" s="460"/>
      <c r="B691" s="461"/>
      <c r="C691" s="458"/>
      <c r="D691" s="459"/>
      <c r="E691" s="459"/>
      <c r="F691" s="459"/>
      <c r="G691" s="459"/>
      <c r="H691" s="459"/>
      <c r="I691" s="459"/>
      <c r="J691" s="458"/>
      <c r="K691" s="458"/>
      <c r="L691" s="458"/>
      <c r="M691" s="458"/>
      <c r="N691" s="458"/>
      <c r="O691" s="458"/>
      <c r="P691" s="458"/>
      <c r="Q691" s="458"/>
      <c r="R691" s="458"/>
      <c r="S691" s="458"/>
      <c r="T691" s="458"/>
      <c r="U691" s="458"/>
      <c r="V691" s="458"/>
      <c r="W691" s="458"/>
      <c r="X691" s="458"/>
      <c r="Y691" s="458"/>
    </row>
    <row r="692" spans="1:25">
      <c r="A692" s="460"/>
      <c r="B692" s="461"/>
      <c r="C692" s="458"/>
      <c r="D692" s="459"/>
      <c r="E692" s="459"/>
      <c r="F692" s="459"/>
      <c r="G692" s="459"/>
      <c r="H692" s="459"/>
      <c r="I692" s="459"/>
      <c r="J692" s="458"/>
      <c r="K692" s="458"/>
      <c r="L692" s="458"/>
      <c r="M692" s="458"/>
      <c r="N692" s="458"/>
      <c r="O692" s="458"/>
      <c r="P692" s="458"/>
      <c r="Q692" s="458"/>
      <c r="R692" s="458"/>
      <c r="S692" s="458"/>
      <c r="T692" s="458"/>
      <c r="U692" s="458"/>
      <c r="V692" s="458"/>
      <c r="W692" s="458"/>
      <c r="X692" s="458"/>
      <c r="Y692" s="458"/>
    </row>
    <row r="693" spans="1:25">
      <c r="A693" s="460"/>
      <c r="B693" s="461"/>
      <c r="C693" s="458"/>
      <c r="D693" s="459"/>
      <c r="E693" s="459"/>
      <c r="F693" s="459"/>
      <c r="G693" s="459"/>
      <c r="H693" s="459"/>
      <c r="I693" s="459"/>
      <c r="J693" s="458"/>
      <c r="K693" s="458"/>
      <c r="L693" s="458"/>
      <c r="M693" s="458"/>
      <c r="N693" s="458"/>
      <c r="O693" s="458"/>
      <c r="P693" s="458"/>
      <c r="Q693" s="458"/>
      <c r="R693" s="458"/>
      <c r="S693" s="458"/>
      <c r="T693" s="458"/>
      <c r="U693" s="458"/>
      <c r="V693" s="458"/>
      <c r="W693" s="458"/>
      <c r="X693" s="458"/>
      <c r="Y693" s="458"/>
    </row>
    <row r="694" spans="1:25">
      <c r="A694" s="460"/>
      <c r="B694" s="461"/>
      <c r="C694" s="458"/>
      <c r="D694" s="459"/>
      <c r="E694" s="459"/>
      <c r="F694" s="459"/>
      <c r="G694" s="459"/>
      <c r="H694" s="459"/>
      <c r="I694" s="459"/>
      <c r="J694" s="458"/>
      <c r="K694" s="458"/>
      <c r="L694" s="458"/>
      <c r="M694" s="458"/>
      <c r="N694" s="458"/>
      <c r="O694" s="458"/>
      <c r="P694" s="458"/>
      <c r="Q694" s="458"/>
      <c r="R694" s="458"/>
      <c r="S694" s="458"/>
      <c r="T694" s="458"/>
      <c r="U694" s="458"/>
      <c r="V694" s="458"/>
      <c r="W694" s="458"/>
      <c r="X694" s="458"/>
      <c r="Y694" s="458"/>
    </row>
    <row r="695" spans="1:25">
      <c r="A695" s="460"/>
      <c r="B695" s="461"/>
      <c r="C695" s="458"/>
      <c r="D695" s="459"/>
      <c r="E695" s="459"/>
      <c r="F695" s="459"/>
      <c r="G695" s="459"/>
      <c r="H695" s="459"/>
      <c r="I695" s="459"/>
      <c r="J695" s="458"/>
      <c r="K695" s="458"/>
      <c r="L695" s="458"/>
      <c r="M695" s="458"/>
      <c r="N695" s="458"/>
      <c r="O695" s="458"/>
      <c r="P695" s="458"/>
      <c r="Q695" s="458"/>
      <c r="R695" s="458"/>
      <c r="S695" s="458"/>
      <c r="T695" s="458"/>
      <c r="U695" s="458"/>
      <c r="V695" s="458"/>
      <c r="W695" s="458"/>
      <c r="X695" s="458"/>
      <c r="Y695" s="458"/>
    </row>
    <row r="696" spans="1:25">
      <c r="A696" s="460"/>
      <c r="B696" s="461"/>
      <c r="C696" s="458"/>
      <c r="D696" s="459"/>
      <c r="E696" s="459"/>
      <c r="F696" s="459"/>
      <c r="G696" s="459"/>
      <c r="H696" s="459"/>
      <c r="I696" s="459"/>
      <c r="J696" s="458"/>
      <c r="K696" s="458"/>
      <c r="L696" s="458"/>
      <c r="M696" s="458"/>
      <c r="N696" s="458"/>
      <c r="O696" s="458"/>
      <c r="P696" s="458"/>
      <c r="Q696" s="458"/>
      <c r="R696" s="458"/>
      <c r="S696" s="458"/>
      <c r="T696" s="458"/>
      <c r="U696" s="458"/>
      <c r="V696" s="458"/>
      <c r="W696" s="458"/>
      <c r="X696" s="458"/>
      <c r="Y696" s="458"/>
    </row>
    <row r="697" spans="1:25">
      <c r="A697" s="460"/>
      <c r="B697" s="461"/>
      <c r="C697" s="458"/>
      <c r="D697" s="459"/>
      <c r="E697" s="459"/>
      <c r="F697" s="459"/>
      <c r="G697" s="459"/>
      <c r="H697" s="459"/>
      <c r="I697" s="459"/>
      <c r="J697" s="458"/>
      <c r="K697" s="458"/>
      <c r="L697" s="458"/>
      <c r="M697" s="458"/>
      <c r="N697" s="458"/>
      <c r="O697" s="458"/>
      <c r="P697" s="458"/>
      <c r="Q697" s="458"/>
      <c r="R697" s="458"/>
      <c r="S697" s="458"/>
      <c r="T697" s="458"/>
      <c r="U697" s="458"/>
      <c r="V697" s="458"/>
      <c r="W697" s="458"/>
      <c r="X697" s="458"/>
      <c r="Y697" s="458"/>
    </row>
    <row r="698" spans="1:25">
      <c r="A698" s="460"/>
      <c r="B698" s="461"/>
      <c r="C698" s="458"/>
      <c r="D698" s="459"/>
      <c r="E698" s="459"/>
      <c r="F698" s="459"/>
      <c r="G698" s="459"/>
      <c r="H698" s="459"/>
      <c r="I698" s="459"/>
      <c r="J698" s="458"/>
      <c r="K698" s="458"/>
      <c r="L698" s="458"/>
      <c r="M698" s="458"/>
      <c r="N698" s="458"/>
      <c r="O698" s="458"/>
      <c r="P698" s="458"/>
      <c r="Q698" s="458"/>
      <c r="R698" s="458"/>
      <c r="S698" s="458"/>
      <c r="T698" s="458"/>
      <c r="U698" s="458"/>
      <c r="V698" s="458"/>
      <c r="W698" s="458"/>
      <c r="X698" s="458"/>
      <c r="Y698" s="458"/>
    </row>
    <row r="699" spans="1:25">
      <c r="A699" s="460"/>
      <c r="B699" s="461"/>
      <c r="C699" s="458"/>
      <c r="D699" s="459"/>
      <c r="E699" s="459"/>
      <c r="F699" s="459"/>
      <c r="G699" s="459"/>
      <c r="H699" s="459"/>
      <c r="I699" s="459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  <c r="Y699" s="458"/>
    </row>
    <row r="700" spans="1:25">
      <c r="A700" s="460"/>
      <c r="B700" s="461"/>
      <c r="C700" s="458"/>
      <c r="D700" s="459"/>
      <c r="E700" s="459"/>
      <c r="F700" s="459"/>
      <c r="G700" s="459"/>
      <c r="H700" s="459"/>
      <c r="I700" s="459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  <c r="Y700" s="458"/>
    </row>
    <row r="701" spans="1:25">
      <c r="A701" s="460"/>
      <c r="B701" s="461"/>
      <c r="C701" s="458"/>
      <c r="D701" s="459"/>
      <c r="E701" s="459"/>
      <c r="F701" s="459"/>
      <c r="G701" s="459"/>
      <c r="H701" s="459"/>
      <c r="I701" s="459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  <c r="Y701" s="458"/>
    </row>
    <row r="702" spans="1:25">
      <c r="A702" s="460"/>
      <c r="B702" s="461"/>
      <c r="C702" s="458"/>
      <c r="D702" s="459"/>
      <c r="E702" s="459"/>
      <c r="F702" s="459"/>
      <c r="G702" s="459"/>
      <c r="H702" s="459"/>
      <c r="I702" s="459"/>
      <c r="J702" s="458"/>
      <c r="K702" s="458"/>
      <c r="L702" s="458"/>
      <c r="M702" s="458"/>
      <c r="N702" s="458"/>
      <c r="O702" s="458"/>
      <c r="P702" s="458"/>
      <c r="Q702" s="458"/>
      <c r="R702" s="458"/>
      <c r="S702" s="458"/>
      <c r="T702" s="458"/>
      <c r="U702" s="458"/>
      <c r="V702" s="458"/>
      <c r="W702" s="458"/>
      <c r="X702" s="458"/>
      <c r="Y702" s="458"/>
    </row>
    <row r="703" spans="1:25">
      <c r="A703" s="460"/>
      <c r="B703" s="461"/>
      <c r="C703" s="458"/>
      <c r="D703" s="459"/>
      <c r="E703" s="459"/>
      <c r="F703" s="459"/>
      <c r="G703" s="459"/>
      <c r="H703" s="459"/>
      <c r="I703" s="459"/>
      <c r="J703" s="458"/>
      <c r="K703" s="458"/>
      <c r="L703" s="458"/>
      <c r="M703" s="458"/>
      <c r="N703" s="458"/>
      <c r="O703" s="458"/>
      <c r="P703" s="458"/>
      <c r="Q703" s="458"/>
      <c r="R703" s="458"/>
      <c r="S703" s="458"/>
      <c r="T703" s="458"/>
      <c r="U703" s="458"/>
      <c r="V703" s="458"/>
      <c r="W703" s="458"/>
      <c r="X703" s="458"/>
      <c r="Y703" s="458"/>
    </row>
    <row r="704" spans="1:25">
      <c r="A704" s="460"/>
      <c r="B704" s="461"/>
      <c r="C704" s="458"/>
      <c r="D704" s="459"/>
      <c r="E704" s="459"/>
      <c r="F704" s="459"/>
      <c r="G704" s="459"/>
      <c r="H704" s="459"/>
      <c r="I704" s="459"/>
      <c r="J704" s="458"/>
      <c r="K704" s="458"/>
      <c r="L704" s="458"/>
      <c r="M704" s="458"/>
      <c r="N704" s="458"/>
      <c r="O704" s="458"/>
      <c r="P704" s="458"/>
      <c r="Q704" s="458"/>
      <c r="R704" s="458"/>
      <c r="S704" s="458"/>
      <c r="T704" s="458"/>
      <c r="U704" s="458"/>
      <c r="V704" s="458"/>
      <c r="W704" s="458"/>
      <c r="X704" s="458"/>
      <c r="Y704" s="458"/>
    </row>
    <row r="705" spans="1:25">
      <c r="A705" s="460"/>
      <c r="B705" s="461"/>
      <c r="C705" s="458"/>
      <c r="D705" s="459"/>
      <c r="E705" s="459"/>
      <c r="F705" s="459"/>
      <c r="G705" s="459"/>
      <c r="H705" s="459"/>
      <c r="I705" s="459"/>
      <c r="J705" s="458"/>
      <c r="K705" s="458"/>
      <c r="L705" s="458"/>
      <c r="M705" s="458"/>
      <c r="N705" s="458"/>
      <c r="O705" s="458"/>
      <c r="P705" s="458"/>
      <c r="Q705" s="458"/>
      <c r="R705" s="458"/>
      <c r="S705" s="458"/>
      <c r="T705" s="458"/>
      <c r="U705" s="458"/>
      <c r="V705" s="458"/>
      <c r="W705" s="458"/>
      <c r="X705" s="458"/>
      <c r="Y705" s="458"/>
    </row>
    <row r="706" spans="1:25">
      <c r="A706" s="460"/>
      <c r="B706" s="461"/>
      <c r="C706" s="458"/>
      <c r="D706" s="459"/>
      <c r="E706" s="459"/>
      <c r="F706" s="459"/>
      <c r="G706" s="459"/>
      <c r="H706" s="459"/>
      <c r="I706" s="459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  <c r="Y706" s="458"/>
    </row>
    <row r="707" spans="1:25">
      <c r="A707" s="460"/>
      <c r="B707" s="461"/>
      <c r="C707" s="458"/>
      <c r="D707" s="459"/>
      <c r="E707" s="459"/>
      <c r="F707" s="459"/>
      <c r="G707" s="459"/>
      <c r="H707" s="459"/>
      <c r="I707" s="459"/>
      <c r="J707" s="458"/>
      <c r="K707" s="458"/>
      <c r="L707" s="458"/>
      <c r="M707" s="458"/>
      <c r="N707" s="458"/>
      <c r="O707" s="458"/>
      <c r="P707" s="458"/>
      <c r="Q707" s="458"/>
      <c r="R707" s="458"/>
      <c r="S707" s="458"/>
      <c r="T707" s="458"/>
      <c r="U707" s="458"/>
      <c r="V707" s="458"/>
      <c r="W707" s="458"/>
      <c r="X707" s="458"/>
      <c r="Y707" s="458"/>
    </row>
    <row r="708" spans="1:25">
      <c r="A708" s="460"/>
      <c r="B708" s="461"/>
      <c r="C708" s="458"/>
      <c r="D708" s="459"/>
      <c r="E708" s="459"/>
      <c r="F708" s="459"/>
      <c r="G708" s="459"/>
      <c r="H708" s="459"/>
      <c r="I708" s="459"/>
      <c r="J708" s="458"/>
      <c r="K708" s="458"/>
      <c r="L708" s="458"/>
      <c r="M708" s="458"/>
      <c r="N708" s="458"/>
      <c r="O708" s="458"/>
      <c r="P708" s="458"/>
      <c r="Q708" s="458"/>
      <c r="R708" s="458"/>
      <c r="S708" s="458"/>
      <c r="T708" s="458"/>
      <c r="U708" s="458"/>
      <c r="V708" s="458"/>
      <c r="W708" s="458"/>
      <c r="X708" s="458"/>
      <c r="Y708" s="458"/>
    </row>
    <row r="709" spans="1:25">
      <c r="A709" s="460"/>
      <c r="B709" s="461"/>
      <c r="C709" s="458"/>
      <c r="D709" s="459"/>
      <c r="E709" s="459"/>
      <c r="F709" s="459"/>
      <c r="G709" s="459"/>
      <c r="H709" s="459"/>
      <c r="I709" s="459"/>
      <c r="J709" s="458"/>
      <c r="K709" s="458"/>
      <c r="L709" s="458"/>
      <c r="M709" s="458"/>
      <c r="N709" s="458"/>
      <c r="O709" s="458"/>
      <c r="P709" s="458"/>
      <c r="Q709" s="458"/>
      <c r="R709" s="458"/>
      <c r="S709" s="458"/>
      <c r="T709" s="458"/>
      <c r="U709" s="458"/>
      <c r="V709" s="458"/>
      <c r="W709" s="458"/>
      <c r="X709" s="458"/>
      <c r="Y709" s="458"/>
    </row>
    <row r="710" spans="1:25">
      <c r="A710" s="460"/>
      <c r="B710" s="461"/>
      <c r="C710" s="458"/>
      <c r="D710" s="459"/>
      <c r="E710" s="459"/>
      <c r="F710" s="459"/>
      <c r="G710" s="459"/>
      <c r="H710" s="459"/>
      <c r="I710" s="459"/>
      <c r="J710" s="458"/>
      <c r="K710" s="458"/>
      <c r="L710" s="458"/>
      <c r="M710" s="458"/>
      <c r="N710" s="458"/>
      <c r="O710" s="458"/>
      <c r="P710" s="458"/>
      <c r="Q710" s="458"/>
      <c r="R710" s="458"/>
      <c r="S710" s="458"/>
      <c r="T710" s="458"/>
      <c r="U710" s="458"/>
      <c r="V710" s="458"/>
      <c r="W710" s="458"/>
      <c r="X710" s="458"/>
      <c r="Y710" s="458"/>
    </row>
    <row r="711" spans="1:25">
      <c r="A711" s="460"/>
      <c r="B711" s="461"/>
      <c r="C711" s="458"/>
      <c r="D711" s="459"/>
      <c r="E711" s="459"/>
      <c r="F711" s="459"/>
      <c r="G711" s="459"/>
      <c r="H711" s="459"/>
      <c r="I711" s="459"/>
      <c r="J711" s="458"/>
      <c r="K711" s="458"/>
      <c r="L711" s="458"/>
      <c r="M711" s="458"/>
      <c r="N711" s="458"/>
      <c r="O711" s="458"/>
      <c r="P711" s="458"/>
      <c r="Q711" s="458"/>
      <c r="R711" s="458"/>
      <c r="S711" s="458"/>
      <c r="T711" s="458"/>
      <c r="U711" s="458"/>
      <c r="V711" s="458"/>
      <c r="W711" s="458"/>
      <c r="X711" s="458"/>
      <c r="Y711" s="458"/>
    </row>
    <row r="712" spans="1:25">
      <c r="A712" s="460"/>
      <c r="B712" s="461"/>
      <c r="C712" s="458"/>
      <c r="D712" s="459"/>
      <c r="E712" s="459"/>
      <c r="F712" s="459"/>
      <c r="G712" s="459"/>
      <c r="H712" s="459"/>
      <c r="I712" s="459"/>
      <c r="J712" s="458"/>
      <c r="K712" s="458"/>
      <c r="L712" s="458"/>
      <c r="M712" s="458"/>
      <c r="N712" s="458"/>
      <c r="O712" s="458"/>
      <c r="P712" s="458"/>
      <c r="Q712" s="458"/>
      <c r="R712" s="458"/>
      <c r="S712" s="458"/>
      <c r="T712" s="458"/>
      <c r="U712" s="458"/>
      <c r="V712" s="458"/>
      <c r="W712" s="458"/>
      <c r="X712" s="458"/>
      <c r="Y712" s="458"/>
    </row>
    <row r="713" spans="1:25">
      <c r="A713" s="460"/>
      <c r="B713" s="461"/>
      <c r="C713" s="458"/>
      <c r="D713" s="459"/>
      <c r="E713" s="459"/>
      <c r="F713" s="459"/>
      <c r="G713" s="459"/>
      <c r="H713" s="459"/>
      <c r="I713" s="459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  <c r="Y713" s="458"/>
    </row>
    <row r="714" spans="1:25">
      <c r="A714" s="460"/>
      <c r="B714" s="461"/>
      <c r="C714" s="458"/>
      <c r="D714" s="459"/>
      <c r="E714" s="459"/>
      <c r="F714" s="459"/>
      <c r="G714" s="459"/>
      <c r="H714" s="459"/>
      <c r="I714" s="459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  <c r="Y714" s="458"/>
    </row>
    <row r="715" spans="1:25">
      <c r="A715" s="460"/>
      <c r="B715" s="461"/>
      <c r="C715" s="458"/>
      <c r="D715" s="459"/>
      <c r="E715" s="459"/>
      <c r="F715" s="459"/>
      <c r="G715" s="459"/>
      <c r="H715" s="459"/>
      <c r="I715" s="459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  <c r="Y715" s="458"/>
    </row>
    <row r="716" spans="1:25">
      <c r="A716" s="460"/>
      <c r="B716" s="461"/>
      <c r="C716" s="458"/>
      <c r="D716" s="459"/>
      <c r="E716" s="459"/>
      <c r="F716" s="459"/>
      <c r="G716" s="459"/>
      <c r="H716" s="459"/>
      <c r="I716" s="459"/>
      <c r="J716" s="458"/>
      <c r="K716" s="458"/>
      <c r="L716" s="458"/>
      <c r="M716" s="458"/>
      <c r="N716" s="458"/>
      <c r="O716" s="458"/>
      <c r="P716" s="458"/>
      <c r="Q716" s="458"/>
      <c r="R716" s="458"/>
      <c r="S716" s="458"/>
      <c r="T716" s="458"/>
      <c r="U716" s="458"/>
      <c r="V716" s="458"/>
      <c r="W716" s="458"/>
      <c r="X716" s="458"/>
      <c r="Y716" s="458"/>
    </row>
    <row r="717" spans="1:25">
      <c r="A717" s="460"/>
      <c r="B717" s="461"/>
      <c r="C717" s="458"/>
      <c r="D717" s="459"/>
      <c r="E717" s="459"/>
      <c r="F717" s="459"/>
      <c r="G717" s="459"/>
      <c r="H717" s="459"/>
      <c r="I717" s="459"/>
      <c r="J717" s="458"/>
      <c r="K717" s="458"/>
      <c r="L717" s="458"/>
      <c r="M717" s="458"/>
      <c r="N717" s="458"/>
      <c r="O717" s="458"/>
      <c r="P717" s="458"/>
      <c r="Q717" s="458"/>
      <c r="R717" s="458"/>
      <c r="S717" s="458"/>
      <c r="T717" s="458"/>
      <c r="U717" s="458"/>
      <c r="V717" s="458"/>
      <c r="W717" s="458"/>
      <c r="X717" s="458"/>
      <c r="Y717" s="458"/>
    </row>
    <row r="718" spans="1:25">
      <c r="A718" s="460"/>
      <c r="B718" s="461"/>
      <c r="C718" s="458"/>
      <c r="D718" s="459"/>
      <c r="E718" s="459"/>
      <c r="F718" s="459"/>
      <c r="G718" s="459"/>
      <c r="H718" s="459"/>
      <c r="I718" s="459"/>
      <c r="J718" s="458"/>
      <c r="K718" s="458"/>
      <c r="L718" s="458"/>
      <c r="M718" s="458"/>
      <c r="N718" s="458"/>
      <c r="O718" s="458"/>
      <c r="P718" s="458"/>
      <c r="Q718" s="458"/>
      <c r="R718" s="458"/>
      <c r="S718" s="458"/>
      <c r="T718" s="458"/>
      <c r="U718" s="458"/>
      <c r="V718" s="458"/>
      <c r="W718" s="458"/>
      <c r="X718" s="458"/>
      <c r="Y718" s="458"/>
    </row>
    <row r="719" spans="1:25">
      <c r="A719" s="460"/>
      <c r="B719" s="461"/>
      <c r="C719" s="458"/>
      <c r="D719" s="459"/>
      <c r="E719" s="459"/>
      <c r="F719" s="459"/>
      <c r="G719" s="459"/>
      <c r="H719" s="459"/>
      <c r="I719" s="459"/>
      <c r="J719" s="458"/>
      <c r="K719" s="458"/>
      <c r="L719" s="458"/>
      <c r="M719" s="458"/>
      <c r="N719" s="458"/>
      <c r="O719" s="458"/>
      <c r="P719" s="458"/>
      <c r="Q719" s="458"/>
      <c r="R719" s="458"/>
      <c r="S719" s="458"/>
      <c r="T719" s="458"/>
      <c r="U719" s="458"/>
      <c r="V719" s="458"/>
      <c r="W719" s="458"/>
      <c r="X719" s="458"/>
      <c r="Y719" s="458"/>
    </row>
    <row r="720" spans="1:25">
      <c r="A720" s="460"/>
      <c r="B720" s="461"/>
      <c r="C720" s="458"/>
      <c r="D720" s="459"/>
      <c r="E720" s="459"/>
      <c r="F720" s="459"/>
      <c r="G720" s="459"/>
      <c r="H720" s="459"/>
      <c r="I720" s="459"/>
      <c r="J720" s="458"/>
      <c r="K720" s="458"/>
      <c r="L720" s="458"/>
      <c r="M720" s="458"/>
      <c r="N720" s="458"/>
      <c r="O720" s="458"/>
      <c r="P720" s="458"/>
      <c r="Q720" s="458"/>
      <c r="R720" s="458"/>
      <c r="S720" s="458"/>
      <c r="T720" s="458"/>
      <c r="U720" s="458"/>
      <c r="V720" s="458"/>
      <c r="W720" s="458"/>
      <c r="X720" s="458"/>
      <c r="Y720" s="458"/>
    </row>
    <row r="721" spans="1:25">
      <c r="A721" s="460"/>
      <c r="B721" s="461"/>
      <c r="C721" s="458"/>
      <c r="D721" s="459"/>
      <c r="E721" s="459"/>
      <c r="F721" s="459"/>
      <c r="G721" s="459"/>
      <c r="H721" s="459"/>
      <c r="I721" s="459"/>
      <c r="J721" s="458"/>
      <c r="K721" s="458"/>
      <c r="L721" s="458"/>
      <c r="M721" s="458"/>
      <c r="N721" s="458"/>
      <c r="O721" s="458"/>
      <c r="P721" s="458"/>
      <c r="Q721" s="458"/>
      <c r="R721" s="458"/>
      <c r="S721" s="458"/>
      <c r="T721" s="458"/>
      <c r="U721" s="458"/>
      <c r="V721" s="458"/>
      <c r="W721" s="458"/>
      <c r="X721" s="458"/>
      <c r="Y721" s="458"/>
    </row>
    <row r="722" spans="1:25">
      <c r="A722" s="460"/>
      <c r="B722" s="461"/>
      <c r="C722" s="458"/>
      <c r="D722" s="459"/>
      <c r="E722" s="459"/>
      <c r="F722" s="459"/>
      <c r="G722" s="459"/>
      <c r="H722" s="459"/>
      <c r="I722" s="459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  <c r="Y722" s="458"/>
    </row>
    <row r="723" spans="1:25">
      <c r="A723" s="460"/>
      <c r="B723" s="461"/>
      <c r="C723" s="458"/>
      <c r="D723" s="459"/>
      <c r="E723" s="459"/>
      <c r="F723" s="459"/>
      <c r="G723" s="459"/>
      <c r="H723" s="459"/>
      <c r="I723" s="459"/>
      <c r="J723" s="458"/>
      <c r="K723" s="458"/>
      <c r="L723" s="458"/>
      <c r="M723" s="458"/>
      <c r="N723" s="458"/>
      <c r="O723" s="458"/>
      <c r="P723" s="458"/>
      <c r="Q723" s="458"/>
      <c r="R723" s="458"/>
      <c r="S723" s="458"/>
      <c r="T723" s="458"/>
      <c r="U723" s="458"/>
      <c r="V723" s="458"/>
      <c r="W723" s="458"/>
      <c r="X723" s="458"/>
      <c r="Y723" s="458"/>
    </row>
    <row r="724" spans="1:25">
      <c r="A724" s="460"/>
      <c r="B724" s="461"/>
      <c r="C724" s="458"/>
      <c r="D724" s="459"/>
      <c r="E724" s="459"/>
      <c r="F724" s="459"/>
      <c r="G724" s="459"/>
      <c r="H724" s="459"/>
      <c r="I724" s="459"/>
      <c r="J724" s="458"/>
      <c r="K724" s="458"/>
      <c r="L724" s="458"/>
      <c r="M724" s="458"/>
      <c r="N724" s="458"/>
      <c r="O724" s="458"/>
      <c r="P724" s="458"/>
      <c r="Q724" s="458"/>
      <c r="R724" s="458"/>
      <c r="S724" s="458"/>
      <c r="T724" s="458"/>
      <c r="U724" s="458"/>
      <c r="V724" s="458"/>
      <c r="W724" s="458"/>
      <c r="X724" s="458"/>
      <c r="Y724" s="458"/>
    </row>
    <row r="725" spans="1:25">
      <c r="A725" s="460"/>
      <c r="B725" s="461"/>
      <c r="C725" s="458"/>
      <c r="D725" s="459"/>
      <c r="E725" s="459"/>
      <c r="F725" s="459"/>
      <c r="G725" s="459"/>
      <c r="H725" s="459"/>
      <c r="I725" s="459"/>
      <c r="J725" s="458"/>
      <c r="K725" s="458"/>
      <c r="L725" s="458"/>
      <c r="M725" s="458"/>
      <c r="N725" s="458"/>
      <c r="O725" s="458"/>
      <c r="P725" s="458"/>
      <c r="Q725" s="458"/>
      <c r="R725" s="458"/>
      <c r="S725" s="458"/>
      <c r="T725" s="458"/>
      <c r="U725" s="458"/>
      <c r="V725" s="458"/>
      <c r="W725" s="458"/>
      <c r="X725" s="458"/>
      <c r="Y725" s="458"/>
    </row>
    <row r="726" spans="1:25">
      <c r="A726" s="460"/>
      <c r="B726" s="461"/>
      <c r="C726" s="458"/>
      <c r="D726" s="459"/>
      <c r="E726" s="459"/>
      <c r="F726" s="459"/>
      <c r="G726" s="459"/>
      <c r="H726" s="459"/>
      <c r="I726" s="459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  <c r="Y726" s="458"/>
    </row>
    <row r="727" spans="1:25">
      <c r="A727" s="460"/>
      <c r="B727" s="461"/>
      <c r="C727" s="458"/>
      <c r="D727" s="459"/>
      <c r="E727" s="459"/>
      <c r="F727" s="459"/>
      <c r="G727" s="459"/>
      <c r="H727" s="459"/>
      <c r="I727" s="459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  <c r="Y727" s="458"/>
    </row>
    <row r="728" spans="1:25">
      <c r="A728" s="460"/>
      <c r="B728" s="461"/>
      <c r="C728" s="458"/>
      <c r="D728" s="459"/>
      <c r="E728" s="459"/>
      <c r="F728" s="459"/>
      <c r="G728" s="459"/>
      <c r="H728" s="459"/>
      <c r="I728" s="459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  <c r="Y728" s="458"/>
    </row>
    <row r="729" spans="1:25">
      <c r="A729" s="460"/>
      <c r="B729" s="461"/>
      <c r="C729" s="458"/>
      <c r="D729" s="459"/>
      <c r="E729" s="459"/>
      <c r="F729" s="459"/>
      <c r="G729" s="459"/>
      <c r="H729" s="459"/>
      <c r="I729" s="459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  <c r="Y729" s="458"/>
    </row>
    <row r="730" spans="1:25">
      <c r="A730" s="460"/>
      <c r="B730" s="461"/>
      <c r="C730" s="458"/>
      <c r="D730" s="459"/>
      <c r="E730" s="459"/>
      <c r="F730" s="459"/>
      <c r="G730" s="459"/>
      <c r="H730" s="459"/>
      <c r="I730" s="459"/>
      <c r="J730" s="458"/>
      <c r="K730" s="458"/>
      <c r="L730" s="458"/>
      <c r="M730" s="458"/>
      <c r="N730" s="458"/>
      <c r="O730" s="458"/>
      <c r="P730" s="458"/>
      <c r="Q730" s="458"/>
      <c r="R730" s="458"/>
      <c r="S730" s="458"/>
      <c r="T730" s="458"/>
      <c r="U730" s="458"/>
      <c r="V730" s="458"/>
      <c r="W730" s="458"/>
      <c r="X730" s="458"/>
      <c r="Y730" s="458"/>
    </row>
    <row r="731" spans="1:25">
      <c r="A731" s="460"/>
      <c r="B731" s="461"/>
      <c r="C731" s="458"/>
      <c r="D731" s="459"/>
      <c r="E731" s="459"/>
      <c r="F731" s="459"/>
      <c r="G731" s="459"/>
      <c r="H731" s="459"/>
      <c r="I731" s="459"/>
      <c r="J731" s="458"/>
      <c r="K731" s="458"/>
      <c r="L731" s="458"/>
      <c r="M731" s="458"/>
      <c r="N731" s="458"/>
      <c r="O731" s="458"/>
      <c r="P731" s="458"/>
      <c r="Q731" s="458"/>
      <c r="R731" s="458"/>
      <c r="S731" s="458"/>
      <c r="T731" s="458"/>
      <c r="U731" s="458"/>
      <c r="V731" s="458"/>
      <c r="W731" s="458"/>
      <c r="X731" s="458"/>
      <c r="Y731" s="458"/>
    </row>
    <row r="732" spans="1:25">
      <c r="A732" s="460"/>
      <c r="B732" s="461"/>
      <c r="C732" s="458"/>
      <c r="D732" s="459"/>
      <c r="E732" s="459"/>
      <c r="F732" s="459"/>
      <c r="G732" s="459"/>
      <c r="H732" s="459"/>
      <c r="I732" s="459"/>
      <c r="J732" s="458"/>
      <c r="K732" s="458"/>
      <c r="L732" s="458"/>
      <c r="M732" s="458"/>
      <c r="N732" s="458"/>
      <c r="O732" s="458"/>
      <c r="P732" s="458"/>
      <c r="Q732" s="458"/>
      <c r="R732" s="458"/>
      <c r="S732" s="458"/>
      <c r="T732" s="458"/>
      <c r="U732" s="458"/>
      <c r="V732" s="458"/>
      <c r="W732" s="458"/>
      <c r="X732" s="458"/>
      <c r="Y732" s="458"/>
    </row>
    <row r="733" spans="1:25">
      <c r="A733" s="460"/>
      <c r="B733" s="461"/>
      <c r="C733" s="458"/>
      <c r="D733" s="459"/>
      <c r="E733" s="459"/>
      <c r="F733" s="459"/>
      <c r="G733" s="459"/>
      <c r="H733" s="459"/>
      <c r="I733" s="459"/>
      <c r="J733" s="458"/>
      <c r="K733" s="458"/>
      <c r="L733" s="458"/>
      <c r="M733" s="458"/>
      <c r="N733" s="458"/>
      <c r="O733" s="458"/>
      <c r="P733" s="458"/>
      <c r="Q733" s="458"/>
      <c r="R733" s="458"/>
      <c r="S733" s="458"/>
      <c r="T733" s="458"/>
      <c r="U733" s="458"/>
      <c r="V733" s="458"/>
      <c r="W733" s="458"/>
      <c r="X733" s="458"/>
      <c r="Y733" s="458"/>
    </row>
    <row r="734" spans="1:25">
      <c r="A734" s="460"/>
      <c r="B734" s="461"/>
      <c r="C734" s="458"/>
      <c r="D734" s="459"/>
      <c r="E734" s="459"/>
      <c r="F734" s="459"/>
      <c r="G734" s="459"/>
      <c r="H734" s="459"/>
      <c r="I734" s="459"/>
      <c r="J734" s="458"/>
      <c r="K734" s="458"/>
      <c r="L734" s="458"/>
      <c r="M734" s="458"/>
      <c r="N734" s="458"/>
      <c r="O734" s="458"/>
      <c r="P734" s="458"/>
      <c r="Q734" s="458"/>
      <c r="R734" s="458"/>
      <c r="S734" s="458"/>
      <c r="T734" s="458"/>
      <c r="U734" s="458"/>
      <c r="V734" s="458"/>
      <c r="W734" s="458"/>
      <c r="X734" s="458"/>
      <c r="Y734" s="458"/>
    </row>
    <row r="735" spans="1:25">
      <c r="A735" s="460"/>
      <c r="B735" s="461"/>
      <c r="C735" s="458"/>
      <c r="D735" s="459"/>
      <c r="E735" s="459"/>
      <c r="F735" s="459"/>
      <c r="G735" s="459"/>
      <c r="H735" s="459"/>
      <c r="I735" s="459"/>
      <c r="J735" s="458"/>
      <c r="K735" s="458"/>
      <c r="L735" s="458"/>
      <c r="M735" s="458"/>
      <c r="N735" s="458"/>
      <c r="O735" s="458"/>
      <c r="P735" s="458"/>
      <c r="Q735" s="458"/>
      <c r="R735" s="458"/>
      <c r="S735" s="458"/>
      <c r="T735" s="458"/>
      <c r="U735" s="458"/>
      <c r="V735" s="458"/>
      <c r="W735" s="458"/>
      <c r="X735" s="458"/>
      <c r="Y735" s="458"/>
    </row>
    <row r="736" spans="1:25">
      <c r="A736" s="460"/>
      <c r="B736" s="461"/>
      <c r="C736" s="458"/>
      <c r="D736" s="459"/>
      <c r="E736" s="459"/>
      <c r="F736" s="459"/>
      <c r="G736" s="459"/>
      <c r="H736" s="459"/>
      <c r="I736" s="459"/>
      <c r="J736" s="458"/>
      <c r="K736" s="458"/>
      <c r="L736" s="458"/>
      <c r="M736" s="458"/>
      <c r="N736" s="458"/>
      <c r="O736" s="458"/>
      <c r="P736" s="458"/>
      <c r="Q736" s="458"/>
      <c r="R736" s="458"/>
      <c r="S736" s="458"/>
      <c r="T736" s="458"/>
      <c r="U736" s="458"/>
      <c r="V736" s="458"/>
      <c r="W736" s="458"/>
      <c r="X736" s="458"/>
      <c r="Y736" s="458"/>
    </row>
    <row r="737" spans="1:25">
      <c r="A737" s="460"/>
      <c r="B737" s="461"/>
      <c r="C737" s="458"/>
      <c r="D737" s="459"/>
      <c r="E737" s="459"/>
      <c r="F737" s="459"/>
      <c r="G737" s="459"/>
      <c r="H737" s="459"/>
      <c r="I737" s="459"/>
      <c r="J737" s="458"/>
      <c r="K737" s="458"/>
      <c r="L737" s="458"/>
      <c r="M737" s="458"/>
      <c r="N737" s="458"/>
      <c r="O737" s="458"/>
      <c r="P737" s="458"/>
      <c r="Q737" s="458"/>
      <c r="R737" s="458"/>
      <c r="S737" s="458"/>
      <c r="T737" s="458"/>
      <c r="U737" s="458"/>
      <c r="V737" s="458"/>
      <c r="W737" s="458"/>
      <c r="X737" s="458"/>
      <c r="Y737" s="458"/>
    </row>
    <row r="738" spans="1:25">
      <c r="A738" s="460"/>
      <c r="B738" s="461"/>
      <c r="C738" s="458"/>
      <c r="D738" s="459"/>
      <c r="E738" s="459"/>
      <c r="F738" s="459"/>
      <c r="G738" s="459"/>
      <c r="H738" s="459"/>
      <c r="I738" s="459"/>
      <c r="J738" s="458"/>
      <c r="K738" s="458"/>
      <c r="L738" s="458"/>
      <c r="M738" s="458"/>
      <c r="N738" s="458"/>
      <c r="O738" s="458"/>
      <c r="P738" s="458"/>
      <c r="Q738" s="458"/>
      <c r="R738" s="458"/>
      <c r="S738" s="458"/>
      <c r="T738" s="458"/>
      <c r="U738" s="458"/>
      <c r="V738" s="458"/>
      <c r="W738" s="458"/>
      <c r="X738" s="458"/>
      <c r="Y738" s="458"/>
    </row>
    <row r="739" spans="1:25">
      <c r="A739" s="460"/>
      <c r="B739" s="461"/>
      <c r="C739" s="458"/>
      <c r="D739" s="459"/>
      <c r="E739" s="459"/>
      <c r="F739" s="459"/>
      <c r="G739" s="459"/>
      <c r="H739" s="459"/>
      <c r="I739" s="459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  <c r="Y739" s="458"/>
    </row>
    <row r="740" spans="1:25">
      <c r="A740" s="460"/>
      <c r="B740" s="461"/>
      <c r="C740" s="458"/>
      <c r="D740" s="459"/>
      <c r="E740" s="459"/>
      <c r="F740" s="459"/>
      <c r="G740" s="459"/>
      <c r="H740" s="459"/>
      <c r="I740" s="459"/>
      <c r="J740" s="458"/>
      <c r="K740" s="458"/>
      <c r="L740" s="458"/>
      <c r="M740" s="458"/>
      <c r="N740" s="458"/>
      <c r="O740" s="458"/>
      <c r="P740" s="458"/>
      <c r="Q740" s="458"/>
      <c r="R740" s="458"/>
      <c r="S740" s="458"/>
      <c r="T740" s="458"/>
      <c r="U740" s="458"/>
      <c r="V740" s="458"/>
      <c r="W740" s="458"/>
      <c r="X740" s="458"/>
      <c r="Y740" s="458"/>
    </row>
    <row r="741" spans="1:25">
      <c r="A741" s="460"/>
      <c r="B741" s="461"/>
      <c r="C741" s="458"/>
      <c r="D741" s="459"/>
      <c r="E741" s="459"/>
      <c r="F741" s="459"/>
      <c r="G741" s="459"/>
      <c r="H741" s="459"/>
      <c r="I741" s="459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  <c r="Y741" s="458"/>
    </row>
    <row r="742" spans="1:25">
      <c r="A742" s="460"/>
      <c r="B742" s="461"/>
      <c r="C742" s="458"/>
      <c r="D742" s="459"/>
      <c r="E742" s="459"/>
      <c r="F742" s="459"/>
      <c r="G742" s="459"/>
      <c r="H742" s="459"/>
      <c r="I742" s="459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  <c r="Y742" s="458"/>
    </row>
    <row r="743" spans="1:25">
      <c r="A743" s="460"/>
      <c r="B743" s="461"/>
      <c r="C743" s="458"/>
      <c r="D743" s="459"/>
      <c r="E743" s="459"/>
      <c r="F743" s="459"/>
      <c r="G743" s="459"/>
      <c r="H743" s="459"/>
      <c r="I743" s="459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  <c r="Y743" s="458"/>
    </row>
    <row r="744" spans="1:25">
      <c r="A744" s="460"/>
      <c r="B744" s="461"/>
      <c r="C744" s="458"/>
      <c r="D744" s="459"/>
      <c r="E744" s="459"/>
      <c r="F744" s="459"/>
      <c r="G744" s="459"/>
      <c r="H744" s="459"/>
      <c r="I744" s="459"/>
      <c r="J744" s="458"/>
      <c r="K744" s="458"/>
      <c r="L744" s="458"/>
      <c r="M744" s="458"/>
      <c r="N744" s="458"/>
      <c r="O744" s="458"/>
      <c r="P744" s="458"/>
      <c r="Q744" s="458"/>
      <c r="R744" s="458"/>
      <c r="S744" s="458"/>
      <c r="T744" s="458"/>
      <c r="U744" s="458"/>
      <c r="V744" s="458"/>
      <c r="W744" s="458"/>
      <c r="X744" s="458"/>
      <c r="Y744" s="458"/>
    </row>
    <row r="745" spans="1:25">
      <c r="A745" s="460"/>
      <c r="B745" s="461"/>
      <c r="C745" s="458"/>
      <c r="D745" s="459"/>
      <c r="E745" s="459"/>
      <c r="F745" s="459"/>
      <c r="G745" s="459"/>
      <c r="H745" s="459"/>
      <c r="I745" s="459"/>
      <c r="J745" s="458"/>
      <c r="K745" s="458"/>
      <c r="L745" s="458"/>
      <c r="M745" s="458"/>
      <c r="N745" s="458"/>
      <c r="O745" s="458"/>
      <c r="P745" s="458"/>
      <c r="Q745" s="458"/>
      <c r="R745" s="458"/>
      <c r="S745" s="458"/>
      <c r="T745" s="458"/>
      <c r="U745" s="458"/>
      <c r="V745" s="458"/>
      <c r="W745" s="458"/>
      <c r="X745" s="458"/>
      <c r="Y745" s="458"/>
    </row>
    <row r="746" spans="1:25">
      <c r="A746" s="460"/>
      <c r="B746" s="461"/>
      <c r="C746" s="458"/>
      <c r="D746" s="459"/>
      <c r="E746" s="459"/>
      <c r="F746" s="459"/>
      <c r="G746" s="459"/>
      <c r="H746" s="459"/>
      <c r="I746" s="459"/>
      <c r="J746" s="458"/>
      <c r="K746" s="458"/>
      <c r="L746" s="458"/>
      <c r="M746" s="458"/>
      <c r="N746" s="458"/>
      <c r="O746" s="458"/>
      <c r="P746" s="458"/>
      <c r="Q746" s="458"/>
      <c r="R746" s="458"/>
      <c r="S746" s="458"/>
      <c r="T746" s="458"/>
      <c r="U746" s="458"/>
      <c r="V746" s="458"/>
      <c r="W746" s="458"/>
      <c r="X746" s="458"/>
      <c r="Y746" s="458"/>
    </row>
    <row r="747" spans="1:25">
      <c r="A747" s="460"/>
      <c r="B747" s="461"/>
      <c r="C747" s="458"/>
      <c r="D747" s="459"/>
      <c r="E747" s="459"/>
      <c r="F747" s="459"/>
      <c r="G747" s="459"/>
      <c r="H747" s="459"/>
      <c r="I747" s="459"/>
      <c r="J747" s="458"/>
      <c r="K747" s="458"/>
      <c r="L747" s="458"/>
      <c r="M747" s="458"/>
      <c r="N747" s="458"/>
      <c r="O747" s="458"/>
      <c r="P747" s="458"/>
      <c r="Q747" s="458"/>
      <c r="R747" s="458"/>
      <c r="S747" s="458"/>
      <c r="T747" s="458"/>
      <c r="U747" s="458"/>
      <c r="V747" s="458"/>
      <c r="W747" s="458"/>
      <c r="X747" s="458"/>
      <c r="Y747" s="458"/>
    </row>
    <row r="748" spans="1:25">
      <c r="A748" s="460"/>
      <c r="B748" s="461"/>
      <c r="C748" s="458"/>
      <c r="D748" s="459"/>
      <c r="E748" s="459"/>
      <c r="F748" s="459"/>
      <c r="G748" s="459"/>
      <c r="H748" s="459"/>
      <c r="I748" s="459"/>
      <c r="J748" s="458"/>
      <c r="K748" s="458"/>
      <c r="L748" s="458"/>
      <c r="M748" s="458"/>
      <c r="N748" s="458"/>
      <c r="O748" s="458"/>
      <c r="P748" s="458"/>
      <c r="Q748" s="458"/>
      <c r="R748" s="458"/>
      <c r="S748" s="458"/>
      <c r="T748" s="458"/>
      <c r="U748" s="458"/>
      <c r="V748" s="458"/>
      <c r="W748" s="458"/>
      <c r="X748" s="458"/>
      <c r="Y748" s="458"/>
    </row>
    <row r="749" spans="1:25">
      <c r="A749" s="460"/>
      <c r="B749" s="461"/>
      <c r="C749" s="458"/>
      <c r="D749" s="459"/>
      <c r="E749" s="459"/>
      <c r="F749" s="459"/>
      <c r="G749" s="459"/>
      <c r="H749" s="459"/>
      <c r="I749" s="459"/>
      <c r="J749" s="458"/>
      <c r="K749" s="458"/>
      <c r="L749" s="458"/>
      <c r="M749" s="458"/>
      <c r="N749" s="458"/>
      <c r="O749" s="458"/>
      <c r="P749" s="458"/>
      <c r="Q749" s="458"/>
      <c r="R749" s="458"/>
      <c r="S749" s="458"/>
      <c r="T749" s="458"/>
      <c r="U749" s="458"/>
      <c r="V749" s="458"/>
      <c r="W749" s="458"/>
      <c r="X749" s="458"/>
      <c r="Y749" s="458"/>
    </row>
    <row r="750" spans="1:25">
      <c r="A750" s="460"/>
      <c r="B750" s="461"/>
      <c r="C750" s="458"/>
      <c r="D750" s="459"/>
      <c r="E750" s="459"/>
      <c r="F750" s="459"/>
      <c r="G750" s="459"/>
      <c r="H750" s="459"/>
      <c r="I750" s="459"/>
      <c r="J750" s="458"/>
      <c r="K750" s="458"/>
      <c r="L750" s="458"/>
      <c r="M750" s="458"/>
      <c r="N750" s="458"/>
      <c r="O750" s="458"/>
      <c r="P750" s="458"/>
      <c r="Q750" s="458"/>
      <c r="R750" s="458"/>
      <c r="S750" s="458"/>
      <c r="T750" s="458"/>
      <c r="U750" s="458"/>
      <c r="V750" s="458"/>
      <c r="W750" s="458"/>
      <c r="X750" s="458"/>
      <c r="Y750" s="458"/>
    </row>
    <row r="751" spans="1:25">
      <c r="A751" s="460"/>
      <c r="B751" s="461"/>
      <c r="C751" s="458"/>
      <c r="D751" s="459"/>
      <c r="E751" s="459"/>
      <c r="F751" s="459"/>
      <c r="G751" s="459"/>
      <c r="H751" s="459"/>
      <c r="I751" s="459"/>
      <c r="J751" s="458"/>
      <c r="K751" s="458"/>
      <c r="L751" s="458"/>
      <c r="M751" s="458"/>
      <c r="N751" s="458"/>
      <c r="O751" s="458"/>
      <c r="P751" s="458"/>
      <c r="Q751" s="458"/>
      <c r="R751" s="458"/>
      <c r="S751" s="458"/>
      <c r="T751" s="458"/>
      <c r="U751" s="458"/>
      <c r="V751" s="458"/>
      <c r="W751" s="458"/>
      <c r="X751" s="458"/>
      <c r="Y751" s="458"/>
    </row>
    <row r="752" spans="1:25">
      <c r="A752" s="460"/>
      <c r="B752" s="461"/>
      <c r="C752" s="458"/>
      <c r="D752" s="459"/>
      <c r="E752" s="459"/>
      <c r="F752" s="459"/>
      <c r="G752" s="459"/>
      <c r="H752" s="459"/>
      <c r="I752" s="459"/>
      <c r="J752" s="458"/>
      <c r="K752" s="458"/>
      <c r="L752" s="458"/>
      <c r="M752" s="458"/>
      <c r="N752" s="458"/>
      <c r="O752" s="458"/>
      <c r="P752" s="458"/>
      <c r="Q752" s="458"/>
      <c r="R752" s="458"/>
      <c r="S752" s="458"/>
      <c r="T752" s="458"/>
      <c r="U752" s="458"/>
      <c r="V752" s="458"/>
      <c r="W752" s="458"/>
      <c r="X752" s="458"/>
      <c r="Y752" s="458"/>
    </row>
    <row r="753" spans="1:25">
      <c r="A753" s="460"/>
      <c r="B753" s="461"/>
      <c r="C753" s="458"/>
      <c r="D753" s="459"/>
      <c r="E753" s="459"/>
      <c r="F753" s="459"/>
      <c r="G753" s="459"/>
      <c r="H753" s="459"/>
      <c r="I753" s="459"/>
      <c r="J753" s="458"/>
      <c r="K753" s="458"/>
      <c r="L753" s="458"/>
      <c r="M753" s="458"/>
      <c r="N753" s="458"/>
      <c r="O753" s="458"/>
      <c r="P753" s="458"/>
      <c r="Q753" s="458"/>
      <c r="R753" s="458"/>
      <c r="S753" s="458"/>
      <c r="T753" s="458"/>
      <c r="U753" s="458"/>
      <c r="V753" s="458"/>
      <c r="W753" s="458"/>
      <c r="X753" s="458"/>
      <c r="Y753" s="458"/>
    </row>
    <row r="754" spans="1:25">
      <c r="A754" s="460"/>
      <c r="B754" s="461"/>
      <c r="C754" s="458"/>
      <c r="D754" s="459"/>
      <c r="E754" s="459"/>
      <c r="F754" s="459"/>
      <c r="G754" s="459"/>
      <c r="H754" s="459"/>
      <c r="I754" s="459"/>
      <c r="J754" s="458"/>
      <c r="K754" s="458"/>
      <c r="L754" s="458"/>
      <c r="M754" s="458"/>
      <c r="N754" s="458"/>
      <c r="O754" s="458"/>
      <c r="P754" s="458"/>
      <c r="Q754" s="458"/>
      <c r="R754" s="458"/>
      <c r="S754" s="458"/>
      <c r="T754" s="458"/>
      <c r="U754" s="458"/>
      <c r="V754" s="458"/>
      <c r="W754" s="458"/>
      <c r="X754" s="458"/>
      <c r="Y754" s="458"/>
    </row>
    <row r="755" spans="1:25">
      <c r="A755" s="460"/>
      <c r="B755" s="461"/>
      <c r="C755" s="458"/>
      <c r="D755" s="459"/>
      <c r="E755" s="459"/>
      <c r="F755" s="459"/>
      <c r="G755" s="459"/>
      <c r="H755" s="459"/>
      <c r="I755" s="459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  <c r="Y755" s="458"/>
    </row>
    <row r="756" spans="1:25">
      <c r="A756" s="460"/>
      <c r="B756" s="461"/>
      <c r="C756" s="458"/>
      <c r="D756" s="459"/>
      <c r="E756" s="459"/>
      <c r="F756" s="459"/>
      <c r="G756" s="459"/>
      <c r="H756" s="459"/>
      <c r="I756" s="459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  <c r="Y756" s="458"/>
    </row>
    <row r="757" spans="1:25">
      <c r="A757" s="460"/>
      <c r="B757" s="461"/>
      <c r="C757" s="458"/>
      <c r="D757" s="459"/>
      <c r="E757" s="459"/>
      <c r="F757" s="459"/>
      <c r="G757" s="459"/>
      <c r="H757" s="459"/>
      <c r="I757" s="459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  <c r="Y757" s="458"/>
    </row>
    <row r="758" spans="1:25">
      <c r="A758" s="460"/>
      <c r="B758" s="461"/>
      <c r="C758" s="458"/>
      <c r="D758" s="459"/>
      <c r="E758" s="459"/>
      <c r="F758" s="459"/>
      <c r="G758" s="459"/>
      <c r="H758" s="459"/>
      <c r="I758" s="459"/>
      <c r="J758" s="458"/>
      <c r="K758" s="458"/>
      <c r="L758" s="458"/>
      <c r="M758" s="458"/>
      <c r="N758" s="458"/>
      <c r="O758" s="458"/>
      <c r="P758" s="458"/>
      <c r="Q758" s="458"/>
      <c r="R758" s="458"/>
      <c r="S758" s="458"/>
      <c r="T758" s="458"/>
      <c r="U758" s="458"/>
      <c r="V758" s="458"/>
      <c r="W758" s="458"/>
      <c r="X758" s="458"/>
      <c r="Y758" s="458"/>
    </row>
    <row r="759" spans="1:25">
      <c r="A759" s="460"/>
      <c r="B759" s="461"/>
      <c r="C759" s="458"/>
      <c r="D759" s="459"/>
      <c r="E759" s="459"/>
      <c r="F759" s="459"/>
      <c r="G759" s="459"/>
      <c r="H759" s="459"/>
      <c r="I759" s="459"/>
      <c r="J759" s="458"/>
      <c r="K759" s="458"/>
      <c r="L759" s="458"/>
      <c r="M759" s="458"/>
      <c r="N759" s="458"/>
      <c r="O759" s="458"/>
      <c r="P759" s="458"/>
      <c r="Q759" s="458"/>
      <c r="R759" s="458"/>
      <c r="S759" s="458"/>
      <c r="T759" s="458"/>
      <c r="U759" s="458"/>
      <c r="V759" s="458"/>
      <c r="W759" s="458"/>
      <c r="X759" s="458"/>
      <c r="Y759" s="458"/>
    </row>
    <row r="760" spans="1:25">
      <c r="A760" s="460"/>
      <c r="B760" s="461"/>
      <c r="C760" s="458"/>
      <c r="D760" s="459"/>
      <c r="E760" s="459"/>
      <c r="F760" s="459"/>
      <c r="G760" s="459"/>
      <c r="H760" s="459"/>
      <c r="I760" s="459"/>
      <c r="J760" s="458"/>
      <c r="K760" s="458"/>
      <c r="L760" s="458"/>
      <c r="M760" s="458"/>
      <c r="N760" s="458"/>
      <c r="O760" s="458"/>
      <c r="P760" s="458"/>
      <c r="Q760" s="458"/>
      <c r="R760" s="458"/>
      <c r="S760" s="458"/>
      <c r="T760" s="458"/>
      <c r="U760" s="458"/>
      <c r="V760" s="458"/>
      <c r="W760" s="458"/>
      <c r="X760" s="458"/>
      <c r="Y760" s="458"/>
    </row>
    <row r="761" spans="1:25">
      <c r="A761" s="460"/>
      <c r="B761" s="461"/>
      <c r="C761" s="458"/>
      <c r="D761" s="459"/>
      <c r="E761" s="459"/>
      <c r="F761" s="459"/>
      <c r="G761" s="459"/>
      <c r="H761" s="459"/>
      <c r="I761" s="459"/>
      <c r="J761" s="458"/>
      <c r="K761" s="458"/>
      <c r="L761" s="458"/>
      <c r="M761" s="458"/>
      <c r="N761" s="458"/>
      <c r="O761" s="458"/>
      <c r="P761" s="458"/>
      <c r="Q761" s="458"/>
      <c r="R761" s="458"/>
      <c r="S761" s="458"/>
      <c r="T761" s="458"/>
      <c r="U761" s="458"/>
      <c r="V761" s="458"/>
      <c r="W761" s="458"/>
      <c r="X761" s="458"/>
      <c r="Y761" s="458"/>
    </row>
    <row r="762" spans="1:25">
      <c r="A762" s="460"/>
      <c r="B762" s="461"/>
      <c r="C762" s="458"/>
      <c r="D762" s="459"/>
      <c r="E762" s="459"/>
      <c r="F762" s="459"/>
      <c r="G762" s="459"/>
      <c r="H762" s="459"/>
      <c r="I762" s="459"/>
      <c r="J762" s="458"/>
      <c r="K762" s="458"/>
      <c r="L762" s="458"/>
      <c r="M762" s="458"/>
      <c r="N762" s="458"/>
      <c r="O762" s="458"/>
      <c r="P762" s="458"/>
      <c r="Q762" s="458"/>
      <c r="R762" s="458"/>
      <c r="S762" s="458"/>
      <c r="T762" s="458"/>
      <c r="U762" s="458"/>
      <c r="V762" s="458"/>
      <c r="W762" s="458"/>
      <c r="X762" s="458"/>
      <c r="Y762" s="458"/>
    </row>
    <row r="763" spans="1:25">
      <c r="A763" s="460"/>
      <c r="B763" s="461"/>
      <c r="C763" s="458"/>
      <c r="D763" s="459"/>
      <c r="E763" s="459"/>
      <c r="F763" s="459"/>
      <c r="G763" s="459"/>
      <c r="H763" s="459"/>
      <c r="I763" s="459"/>
      <c r="J763" s="458"/>
      <c r="K763" s="458"/>
      <c r="L763" s="458"/>
      <c r="M763" s="458"/>
      <c r="N763" s="458"/>
      <c r="O763" s="458"/>
      <c r="P763" s="458"/>
      <c r="Q763" s="458"/>
      <c r="R763" s="458"/>
      <c r="S763" s="458"/>
      <c r="T763" s="458"/>
      <c r="U763" s="458"/>
      <c r="V763" s="458"/>
      <c r="W763" s="458"/>
      <c r="X763" s="458"/>
      <c r="Y763" s="458"/>
    </row>
    <row r="764" spans="1:25">
      <c r="A764" s="460"/>
      <c r="B764" s="461"/>
      <c r="C764" s="458"/>
      <c r="D764" s="459"/>
      <c r="E764" s="459"/>
      <c r="F764" s="459"/>
      <c r="G764" s="459"/>
      <c r="H764" s="459"/>
      <c r="I764" s="459"/>
      <c r="J764" s="458"/>
      <c r="K764" s="458"/>
      <c r="L764" s="458"/>
      <c r="M764" s="458"/>
      <c r="N764" s="458"/>
      <c r="O764" s="458"/>
      <c r="P764" s="458"/>
      <c r="Q764" s="458"/>
      <c r="R764" s="458"/>
      <c r="S764" s="458"/>
      <c r="T764" s="458"/>
      <c r="U764" s="458"/>
      <c r="V764" s="458"/>
      <c r="W764" s="458"/>
      <c r="X764" s="458"/>
      <c r="Y764" s="458"/>
    </row>
    <row r="765" spans="1:25">
      <c r="A765" s="460"/>
      <c r="B765" s="461"/>
      <c r="C765" s="458"/>
      <c r="D765" s="459"/>
      <c r="E765" s="459"/>
      <c r="F765" s="459"/>
      <c r="G765" s="459"/>
      <c r="H765" s="459"/>
      <c r="I765" s="459"/>
      <c r="J765" s="458"/>
      <c r="K765" s="458"/>
      <c r="L765" s="458"/>
      <c r="M765" s="458"/>
      <c r="N765" s="458"/>
      <c r="O765" s="458"/>
      <c r="P765" s="458"/>
      <c r="Q765" s="458"/>
      <c r="R765" s="458"/>
      <c r="S765" s="458"/>
      <c r="T765" s="458"/>
      <c r="U765" s="458"/>
      <c r="V765" s="458"/>
      <c r="W765" s="458"/>
      <c r="X765" s="458"/>
      <c r="Y765" s="458"/>
    </row>
    <row r="766" spans="1:25">
      <c r="A766" s="460"/>
      <c r="B766" s="461"/>
      <c r="C766" s="458"/>
      <c r="D766" s="459"/>
      <c r="E766" s="459"/>
      <c r="F766" s="459"/>
      <c r="G766" s="459"/>
      <c r="H766" s="459"/>
      <c r="I766" s="459"/>
      <c r="J766" s="458"/>
      <c r="K766" s="458"/>
      <c r="L766" s="458"/>
      <c r="M766" s="458"/>
      <c r="N766" s="458"/>
      <c r="O766" s="458"/>
      <c r="P766" s="458"/>
      <c r="Q766" s="458"/>
      <c r="R766" s="458"/>
      <c r="S766" s="458"/>
      <c r="T766" s="458"/>
      <c r="U766" s="458"/>
      <c r="V766" s="458"/>
      <c r="W766" s="458"/>
      <c r="X766" s="458"/>
      <c r="Y766" s="458"/>
    </row>
    <row r="767" spans="1:25">
      <c r="A767" s="460"/>
      <c r="B767" s="461"/>
      <c r="C767" s="458"/>
      <c r="D767" s="459"/>
      <c r="E767" s="459"/>
      <c r="F767" s="459"/>
      <c r="G767" s="459"/>
      <c r="H767" s="459"/>
      <c r="I767" s="459"/>
      <c r="J767" s="458"/>
      <c r="K767" s="458"/>
      <c r="L767" s="458"/>
      <c r="M767" s="458"/>
      <c r="N767" s="458"/>
      <c r="O767" s="458"/>
      <c r="P767" s="458"/>
      <c r="Q767" s="458"/>
      <c r="R767" s="458"/>
      <c r="S767" s="458"/>
      <c r="T767" s="458"/>
      <c r="U767" s="458"/>
      <c r="V767" s="458"/>
      <c r="W767" s="458"/>
      <c r="X767" s="458"/>
      <c r="Y767" s="458"/>
    </row>
    <row r="768" spans="1:25">
      <c r="A768" s="460"/>
      <c r="B768" s="461"/>
      <c r="C768" s="458"/>
      <c r="D768" s="459"/>
      <c r="E768" s="459"/>
      <c r="F768" s="459"/>
      <c r="G768" s="459"/>
      <c r="H768" s="459"/>
      <c r="I768" s="459"/>
      <c r="J768" s="458"/>
      <c r="K768" s="458"/>
      <c r="L768" s="458"/>
      <c r="M768" s="458"/>
      <c r="N768" s="458"/>
      <c r="O768" s="458"/>
      <c r="P768" s="458"/>
      <c r="Q768" s="458"/>
      <c r="R768" s="458"/>
      <c r="S768" s="458"/>
      <c r="T768" s="458"/>
      <c r="U768" s="458"/>
      <c r="V768" s="458"/>
      <c r="W768" s="458"/>
      <c r="X768" s="458"/>
      <c r="Y768" s="458"/>
    </row>
    <row r="769" spans="1:25">
      <c r="A769" s="460"/>
      <c r="B769" s="461"/>
      <c r="C769" s="458"/>
      <c r="D769" s="459"/>
      <c r="E769" s="459"/>
      <c r="F769" s="459"/>
      <c r="G769" s="459"/>
      <c r="H769" s="459"/>
      <c r="I769" s="459"/>
      <c r="J769" s="458"/>
      <c r="K769" s="458"/>
      <c r="L769" s="458"/>
      <c r="M769" s="458"/>
      <c r="N769" s="458"/>
      <c r="O769" s="458"/>
      <c r="P769" s="458"/>
      <c r="Q769" s="458"/>
      <c r="R769" s="458"/>
      <c r="S769" s="458"/>
      <c r="T769" s="458"/>
      <c r="U769" s="458"/>
      <c r="V769" s="458"/>
      <c r="W769" s="458"/>
      <c r="X769" s="458"/>
      <c r="Y769" s="458"/>
    </row>
    <row r="770" spans="1:25">
      <c r="A770" s="460"/>
      <c r="B770" s="461"/>
      <c r="C770" s="458"/>
      <c r="D770" s="459"/>
      <c r="E770" s="459"/>
      <c r="F770" s="459"/>
      <c r="G770" s="459"/>
      <c r="H770" s="459"/>
      <c r="I770" s="459"/>
      <c r="J770" s="458"/>
      <c r="K770" s="458"/>
      <c r="L770" s="458"/>
      <c r="M770" s="458"/>
      <c r="N770" s="458"/>
      <c r="O770" s="458"/>
      <c r="P770" s="458"/>
      <c r="Q770" s="458"/>
      <c r="R770" s="458"/>
      <c r="S770" s="458"/>
      <c r="T770" s="458"/>
      <c r="U770" s="458"/>
      <c r="V770" s="458"/>
      <c r="W770" s="458"/>
      <c r="X770" s="458"/>
      <c r="Y770" s="458"/>
    </row>
    <row r="771" spans="1:25">
      <c r="A771" s="460"/>
      <c r="B771" s="461"/>
      <c r="C771" s="458"/>
      <c r="D771" s="459"/>
      <c r="E771" s="459"/>
      <c r="F771" s="459"/>
      <c r="G771" s="459"/>
      <c r="H771" s="459"/>
      <c r="I771" s="459"/>
      <c r="J771" s="458"/>
      <c r="K771" s="458"/>
      <c r="L771" s="458"/>
      <c r="M771" s="458"/>
      <c r="N771" s="458"/>
      <c r="O771" s="458"/>
      <c r="P771" s="458"/>
      <c r="Q771" s="458"/>
      <c r="R771" s="458"/>
      <c r="S771" s="458"/>
      <c r="T771" s="458"/>
      <c r="U771" s="458"/>
      <c r="V771" s="458"/>
      <c r="W771" s="458"/>
      <c r="X771" s="458"/>
      <c r="Y771" s="458"/>
    </row>
    <row r="772" spans="1:25">
      <c r="A772" s="460"/>
      <c r="B772" s="461"/>
      <c r="C772" s="458"/>
      <c r="D772" s="459"/>
      <c r="E772" s="459"/>
      <c r="F772" s="459"/>
      <c r="G772" s="459"/>
      <c r="H772" s="459"/>
      <c r="I772" s="459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  <c r="Y772" s="458"/>
    </row>
    <row r="773" spans="1:25">
      <c r="A773" s="460"/>
      <c r="B773" s="461"/>
      <c r="C773" s="458"/>
      <c r="D773" s="459"/>
      <c r="E773" s="459"/>
      <c r="F773" s="459"/>
      <c r="G773" s="459"/>
      <c r="H773" s="459"/>
      <c r="I773" s="459"/>
      <c r="J773" s="458"/>
      <c r="K773" s="458"/>
      <c r="L773" s="458"/>
      <c r="M773" s="458"/>
      <c r="N773" s="458"/>
      <c r="O773" s="458"/>
      <c r="P773" s="458"/>
      <c r="Q773" s="458"/>
      <c r="R773" s="458"/>
      <c r="S773" s="458"/>
      <c r="T773" s="458"/>
      <c r="U773" s="458"/>
      <c r="V773" s="458"/>
      <c r="W773" s="458"/>
      <c r="X773" s="458"/>
      <c r="Y773" s="458"/>
    </row>
    <row r="774" spans="1:25">
      <c r="A774" s="460"/>
      <c r="B774" s="461"/>
      <c r="C774" s="458"/>
      <c r="D774" s="459"/>
      <c r="E774" s="459"/>
      <c r="F774" s="459"/>
      <c r="G774" s="459"/>
      <c r="H774" s="459"/>
      <c r="I774" s="459"/>
      <c r="J774" s="458"/>
      <c r="K774" s="458"/>
      <c r="L774" s="458"/>
      <c r="M774" s="458"/>
      <c r="N774" s="458"/>
      <c r="O774" s="458"/>
      <c r="P774" s="458"/>
      <c r="Q774" s="458"/>
      <c r="R774" s="458"/>
      <c r="S774" s="458"/>
      <c r="T774" s="458"/>
      <c r="U774" s="458"/>
      <c r="V774" s="458"/>
      <c r="W774" s="458"/>
      <c r="X774" s="458"/>
      <c r="Y774" s="458"/>
    </row>
    <row r="775" spans="1:25">
      <c r="A775" s="460"/>
      <c r="B775" s="461"/>
      <c r="C775" s="458"/>
      <c r="D775" s="459"/>
      <c r="E775" s="459"/>
      <c r="F775" s="459"/>
      <c r="G775" s="459"/>
      <c r="H775" s="459"/>
      <c r="I775" s="459"/>
      <c r="J775" s="458"/>
      <c r="K775" s="458"/>
      <c r="L775" s="458"/>
      <c r="M775" s="458"/>
      <c r="N775" s="458"/>
      <c r="O775" s="458"/>
      <c r="P775" s="458"/>
      <c r="Q775" s="458"/>
      <c r="R775" s="458"/>
      <c r="S775" s="458"/>
      <c r="T775" s="458"/>
      <c r="U775" s="458"/>
      <c r="V775" s="458"/>
      <c r="W775" s="458"/>
      <c r="X775" s="458"/>
      <c r="Y775" s="458"/>
    </row>
    <row r="776" spans="1:25">
      <c r="A776" s="460"/>
      <c r="B776" s="461"/>
      <c r="C776" s="458"/>
      <c r="D776" s="459"/>
      <c r="E776" s="459"/>
      <c r="F776" s="459"/>
      <c r="G776" s="459"/>
      <c r="H776" s="459"/>
      <c r="I776" s="459"/>
      <c r="J776" s="458"/>
      <c r="K776" s="458"/>
      <c r="L776" s="458"/>
      <c r="M776" s="458"/>
      <c r="N776" s="458"/>
      <c r="O776" s="458"/>
      <c r="P776" s="458"/>
      <c r="Q776" s="458"/>
      <c r="R776" s="458"/>
      <c r="S776" s="458"/>
      <c r="T776" s="458"/>
      <c r="U776" s="458"/>
      <c r="V776" s="458"/>
      <c r="W776" s="458"/>
      <c r="X776" s="458"/>
      <c r="Y776" s="458"/>
    </row>
    <row r="777" spans="1:25">
      <c r="A777" s="460"/>
      <c r="B777" s="461"/>
      <c r="C777" s="458"/>
      <c r="D777" s="459"/>
      <c r="E777" s="459"/>
      <c r="F777" s="459"/>
      <c r="G777" s="459"/>
      <c r="H777" s="459"/>
      <c r="I777" s="459"/>
      <c r="J777" s="458"/>
      <c r="K777" s="458"/>
      <c r="L777" s="458"/>
      <c r="M777" s="458"/>
      <c r="N777" s="458"/>
      <c r="O777" s="458"/>
      <c r="P777" s="458"/>
      <c r="Q777" s="458"/>
      <c r="R777" s="458"/>
      <c r="S777" s="458"/>
      <c r="T777" s="458"/>
      <c r="U777" s="458"/>
      <c r="V777" s="458"/>
      <c r="W777" s="458"/>
      <c r="X777" s="458"/>
      <c r="Y777" s="458"/>
    </row>
    <row r="778" spans="1:25">
      <c r="A778" s="460"/>
      <c r="B778" s="461"/>
      <c r="C778" s="458"/>
      <c r="D778" s="459"/>
      <c r="E778" s="459"/>
      <c r="F778" s="459"/>
      <c r="G778" s="459"/>
      <c r="H778" s="459"/>
      <c r="I778" s="459"/>
      <c r="J778" s="458"/>
      <c r="K778" s="458"/>
      <c r="L778" s="458"/>
      <c r="M778" s="458"/>
      <c r="N778" s="458"/>
      <c r="O778" s="458"/>
      <c r="P778" s="458"/>
      <c r="Q778" s="458"/>
      <c r="R778" s="458"/>
      <c r="S778" s="458"/>
      <c r="T778" s="458"/>
      <c r="U778" s="458"/>
      <c r="V778" s="458"/>
      <c r="W778" s="458"/>
      <c r="X778" s="458"/>
      <c r="Y778" s="458"/>
    </row>
    <row r="779" spans="1:25">
      <c r="A779" s="460"/>
      <c r="B779" s="461"/>
      <c r="C779" s="458"/>
      <c r="D779" s="459"/>
      <c r="E779" s="459"/>
      <c r="F779" s="459"/>
      <c r="G779" s="459"/>
      <c r="H779" s="459"/>
      <c r="I779" s="459"/>
      <c r="J779" s="458"/>
      <c r="K779" s="458"/>
      <c r="L779" s="458"/>
      <c r="M779" s="458"/>
      <c r="N779" s="458"/>
      <c r="O779" s="458"/>
      <c r="P779" s="458"/>
      <c r="Q779" s="458"/>
      <c r="R779" s="458"/>
      <c r="S779" s="458"/>
      <c r="T779" s="458"/>
      <c r="U779" s="458"/>
      <c r="V779" s="458"/>
      <c r="W779" s="458"/>
      <c r="X779" s="458"/>
      <c r="Y779" s="458"/>
    </row>
    <row r="780" spans="1:25">
      <c r="A780" s="460"/>
      <c r="B780" s="461"/>
      <c r="C780" s="458"/>
      <c r="D780" s="459"/>
      <c r="E780" s="459"/>
      <c r="F780" s="459"/>
      <c r="G780" s="459"/>
      <c r="H780" s="459"/>
      <c r="I780" s="459"/>
      <c r="J780" s="458"/>
      <c r="K780" s="458"/>
      <c r="L780" s="458"/>
      <c r="M780" s="458"/>
      <c r="N780" s="458"/>
      <c r="O780" s="458"/>
      <c r="P780" s="458"/>
      <c r="Q780" s="458"/>
      <c r="R780" s="458"/>
      <c r="S780" s="458"/>
      <c r="T780" s="458"/>
      <c r="U780" s="458"/>
      <c r="V780" s="458"/>
      <c r="W780" s="458"/>
      <c r="X780" s="458"/>
      <c r="Y780" s="458"/>
    </row>
    <row r="781" spans="1:25">
      <c r="A781" s="460"/>
      <c r="B781" s="461"/>
      <c r="C781" s="458"/>
      <c r="D781" s="459"/>
      <c r="E781" s="459"/>
      <c r="F781" s="459"/>
      <c r="G781" s="459"/>
      <c r="H781" s="459"/>
      <c r="I781" s="459"/>
      <c r="J781" s="458"/>
      <c r="K781" s="458"/>
      <c r="L781" s="458"/>
      <c r="M781" s="458"/>
      <c r="N781" s="458"/>
      <c r="O781" s="458"/>
      <c r="P781" s="458"/>
      <c r="Q781" s="458"/>
      <c r="R781" s="458"/>
      <c r="S781" s="458"/>
      <c r="T781" s="458"/>
      <c r="U781" s="458"/>
      <c r="V781" s="458"/>
      <c r="W781" s="458"/>
      <c r="X781" s="458"/>
      <c r="Y781" s="458"/>
    </row>
    <row r="782" spans="1:25">
      <c r="A782" s="460"/>
      <c r="B782" s="461"/>
      <c r="C782" s="458"/>
      <c r="D782" s="459"/>
      <c r="E782" s="459"/>
      <c r="F782" s="459"/>
      <c r="G782" s="459"/>
      <c r="H782" s="459"/>
      <c r="I782" s="459"/>
      <c r="J782" s="458"/>
      <c r="K782" s="458"/>
      <c r="L782" s="458"/>
      <c r="M782" s="458"/>
      <c r="N782" s="458"/>
      <c r="O782" s="458"/>
      <c r="P782" s="458"/>
      <c r="Q782" s="458"/>
      <c r="R782" s="458"/>
      <c r="S782" s="458"/>
      <c r="T782" s="458"/>
      <c r="U782" s="458"/>
      <c r="V782" s="458"/>
      <c r="W782" s="458"/>
      <c r="X782" s="458"/>
      <c r="Y782" s="458"/>
    </row>
    <row r="783" spans="1:25">
      <c r="A783" s="460"/>
      <c r="B783" s="461"/>
      <c r="C783" s="458"/>
      <c r="D783" s="459"/>
      <c r="E783" s="459"/>
      <c r="F783" s="459"/>
      <c r="G783" s="459"/>
      <c r="H783" s="459"/>
      <c r="I783" s="459"/>
      <c r="J783" s="458"/>
      <c r="K783" s="458"/>
      <c r="L783" s="458"/>
      <c r="M783" s="458"/>
      <c r="N783" s="458"/>
      <c r="O783" s="458"/>
      <c r="P783" s="458"/>
      <c r="Q783" s="458"/>
      <c r="R783" s="458"/>
      <c r="S783" s="458"/>
      <c r="T783" s="458"/>
      <c r="U783" s="458"/>
      <c r="V783" s="458"/>
      <c r="W783" s="458"/>
      <c r="X783" s="458"/>
      <c r="Y783" s="458"/>
    </row>
    <row r="784" spans="1:25">
      <c r="A784" s="460"/>
      <c r="B784" s="461"/>
      <c r="C784" s="458"/>
      <c r="D784" s="459"/>
      <c r="E784" s="459"/>
      <c r="F784" s="459"/>
      <c r="G784" s="459"/>
      <c r="H784" s="459"/>
      <c r="I784" s="459"/>
      <c r="J784" s="458"/>
      <c r="K784" s="458"/>
      <c r="L784" s="458"/>
      <c r="M784" s="458"/>
      <c r="N784" s="458"/>
      <c r="O784" s="458"/>
      <c r="P784" s="458"/>
      <c r="Q784" s="458"/>
      <c r="R784" s="458"/>
      <c r="S784" s="458"/>
      <c r="T784" s="458"/>
      <c r="U784" s="458"/>
      <c r="V784" s="458"/>
      <c r="W784" s="458"/>
      <c r="X784" s="458"/>
      <c r="Y784" s="458"/>
    </row>
    <row r="785" spans="1:25">
      <c r="A785" s="460"/>
      <c r="B785" s="461"/>
      <c r="C785" s="458"/>
      <c r="D785" s="459"/>
      <c r="E785" s="459"/>
      <c r="F785" s="459"/>
      <c r="G785" s="459"/>
      <c r="H785" s="459"/>
      <c r="I785" s="459"/>
      <c r="J785" s="458"/>
      <c r="K785" s="458"/>
      <c r="L785" s="458"/>
      <c r="M785" s="458"/>
      <c r="N785" s="458"/>
      <c r="O785" s="458"/>
      <c r="P785" s="458"/>
      <c r="Q785" s="458"/>
      <c r="R785" s="458"/>
      <c r="S785" s="458"/>
      <c r="T785" s="458"/>
      <c r="U785" s="458"/>
      <c r="V785" s="458"/>
      <c r="W785" s="458"/>
      <c r="X785" s="458"/>
      <c r="Y785" s="458"/>
    </row>
    <row r="786" spans="1:25">
      <c r="A786" s="460"/>
      <c r="B786" s="461"/>
      <c r="C786" s="458"/>
      <c r="D786" s="459"/>
      <c r="E786" s="459"/>
      <c r="F786" s="459"/>
      <c r="G786" s="459"/>
      <c r="H786" s="459"/>
      <c r="I786" s="459"/>
      <c r="J786" s="458"/>
      <c r="K786" s="458"/>
      <c r="L786" s="458"/>
      <c r="M786" s="458"/>
      <c r="N786" s="458"/>
      <c r="O786" s="458"/>
      <c r="P786" s="458"/>
      <c r="Q786" s="458"/>
      <c r="R786" s="458"/>
      <c r="S786" s="458"/>
      <c r="T786" s="458"/>
      <c r="U786" s="458"/>
      <c r="V786" s="458"/>
      <c r="W786" s="458"/>
      <c r="X786" s="458"/>
      <c r="Y786" s="458"/>
    </row>
    <row r="787" spans="1:25">
      <c r="A787" s="460"/>
      <c r="B787" s="461"/>
      <c r="C787" s="458"/>
      <c r="D787" s="459"/>
      <c r="E787" s="459"/>
      <c r="F787" s="459"/>
      <c r="G787" s="459"/>
      <c r="H787" s="459"/>
      <c r="I787" s="459"/>
      <c r="J787" s="458"/>
      <c r="K787" s="458"/>
      <c r="L787" s="458"/>
      <c r="M787" s="458"/>
      <c r="N787" s="458"/>
      <c r="O787" s="458"/>
      <c r="P787" s="458"/>
      <c r="Q787" s="458"/>
      <c r="R787" s="458"/>
      <c r="S787" s="458"/>
      <c r="T787" s="458"/>
      <c r="U787" s="458"/>
      <c r="V787" s="458"/>
      <c r="W787" s="458"/>
      <c r="X787" s="458"/>
      <c r="Y787" s="458"/>
    </row>
    <row r="788" spans="1:25">
      <c r="A788" s="460"/>
      <c r="B788" s="461"/>
      <c r="C788" s="458"/>
      <c r="D788" s="459"/>
      <c r="E788" s="459"/>
      <c r="F788" s="459"/>
      <c r="G788" s="459"/>
      <c r="H788" s="459"/>
      <c r="I788" s="459"/>
      <c r="J788" s="458"/>
      <c r="K788" s="458"/>
      <c r="L788" s="458"/>
      <c r="M788" s="458"/>
      <c r="N788" s="458"/>
      <c r="O788" s="458"/>
      <c r="P788" s="458"/>
      <c r="Q788" s="458"/>
      <c r="R788" s="458"/>
      <c r="S788" s="458"/>
      <c r="T788" s="458"/>
      <c r="U788" s="458"/>
      <c r="V788" s="458"/>
      <c r="W788" s="458"/>
      <c r="X788" s="458"/>
      <c r="Y788" s="458"/>
    </row>
    <row r="789" spans="1:25">
      <c r="A789" s="460"/>
      <c r="B789" s="461"/>
      <c r="C789" s="458"/>
      <c r="D789" s="459"/>
      <c r="E789" s="459"/>
      <c r="F789" s="459"/>
      <c r="G789" s="459"/>
      <c r="H789" s="459"/>
      <c r="I789" s="459"/>
      <c r="J789" s="458"/>
      <c r="K789" s="458"/>
      <c r="L789" s="458"/>
      <c r="M789" s="458"/>
      <c r="N789" s="458"/>
      <c r="O789" s="458"/>
      <c r="P789" s="458"/>
      <c r="Q789" s="458"/>
      <c r="R789" s="458"/>
      <c r="S789" s="458"/>
      <c r="T789" s="458"/>
      <c r="U789" s="458"/>
      <c r="V789" s="458"/>
      <c r="W789" s="458"/>
      <c r="X789" s="458"/>
      <c r="Y789" s="458"/>
    </row>
    <row r="790" spans="1:25">
      <c r="A790" s="460"/>
      <c r="B790" s="461"/>
      <c r="C790" s="458"/>
      <c r="D790" s="459"/>
      <c r="E790" s="459"/>
      <c r="F790" s="459"/>
      <c r="G790" s="459"/>
      <c r="H790" s="459"/>
      <c r="I790" s="459"/>
      <c r="J790" s="458"/>
      <c r="K790" s="458"/>
      <c r="L790" s="458"/>
      <c r="M790" s="458"/>
      <c r="N790" s="458"/>
      <c r="O790" s="458"/>
      <c r="P790" s="458"/>
      <c r="Q790" s="458"/>
      <c r="R790" s="458"/>
      <c r="S790" s="458"/>
      <c r="T790" s="458"/>
      <c r="U790" s="458"/>
      <c r="V790" s="458"/>
      <c r="W790" s="458"/>
      <c r="X790" s="458"/>
      <c r="Y790" s="458"/>
    </row>
    <row r="791" spans="1:25">
      <c r="A791" s="460"/>
      <c r="B791" s="461"/>
      <c r="C791" s="458"/>
      <c r="D791" s="459"/>
      <c r="E791" s="459"/>
      <c r="F791" s="459"/>
      <c r="G791" s="459"/>
      <c r="H791" s="459"/>
      <c r="I791" s="459"/>
      <c r="J791" s="458"/>
      <c r="K791" s="458"/>
      <c r="L791" s="458"/>
      <c r="M791" s="458"/>
      <c r="N791" s="458"/>
      <c r="O791" s="458"/>
      <c r="P791" s="458"/>
      <c r="Q791" s="458"/>
      <c r="R791" s="458"/>
      <c r="S791" s="458"/>
      <c r="T791" s="458"/>
      <c r="U791" s="458"/>
      <c r="V791" s="458"/>
      <c r="W791" s="458"/>
      <c r="X791" s="458"/>
      <c r="Y791" s="458"/>
    </row>
    <row r="792" spans="1:25">
      <c r="A792" s="460"/>
      <c r="B792" s="461"/>
      <c r="C792" s="458"/>
      <c r="D792" s="459"/>
      <c r="E792" s="459"/>
      <c r="F792" s="459"/>
      <c r="G792" s="459"/>
      <c r="H792" s="459"/>
      <c r="I792" s="459"/>
      <c r="J792" s="458"/>
      <c r="K792" s="458"/>
      <c r="L792" s="458"/>
      <c r="M792" s="458"/>
      <c r="N792" s="458"/>
      <c r="O792" s="458"/>
      <c r="P792" s="458"/>
      <c r="Q792" s="458"/>
      <c r="R792" s="458"/>
      <c r="S792" s="458"/>
      <c r="T792" s="458"/>
      <c r="U792" s="458"/>
      <c r="V792" s="458"/>
      <c r="W792" s="458"/>
      <c r="X792" s="458"/>
      <c r="Y792" s="458"/>
    </row>
    <row r="793" spans="1:25">
      <c r="A793" s="460"/>
      <c r="B793" s="461"/>
      <c r="C793" s="458"/>
      <c r="D793" s="459"/>
      <c r="E793" s="459"/>
      <c r="F793" s="459"/>
      <c r="G793" s="459"/>
      <c r="H793" s="459"/>
      <c r="I793" s="459"/>
      <c r="J793" s="458"/>
      <c r="K793" s="458"/>
      <c r="L793" s="458"/>
      <c r="M793" s="458"/>
      <c r="N793" s="458"/>
      <c r="O793" s="458"/>
      <c r="P793" s="458"/>
      <c r="Q793" s="458"/>
      <c r="R793" s="458"/>
      <c r="S793" s="458"/>
      <c r="T793" s="458"/>
      <c r="U793" s="458"/>
      <c r="V793" s="458"/>
      <c r="W793" s="458"/>
      <c r="X793" s="458"/>
      <c r="Y793" s="458"/>
    </row>
    <row r="794" spans="1:25">
      <c r="A794" s="460"/>
      <c r="B794" s="461"/>
      <c r="C794" s="458"/>
      <c r="D794" s="459"/>
      <c r="E794" s="459"/>
      <c r="F794" s="459"/>
      <c r="G794" s="459"/>
      <c r="H794" s="459"/>
      <c r="I794" s="459"/>
      <c r="J794" s="458"/>
      <c r="K794" s="458"/>
      <c r="L794" s="458"/>
      <c r="M794" s="458"/>
      <c r="N794" s="458"/>
      <c r="O794" s="458"/>
      <c r="P794" s="458"/>
      <c r="Q794" s="458"/>
      <c r="R794" s="458"/>
      <c r="S794" s="458"/>
      <c r="T794" s="458"/>
      <c r="U794" s="458"/>
      <c r="V794" s="458"/>
      <c r="W794" s="458"/>
      <c r="X794" s="458"/>
      <c r="Y794" s="458"/>
    </row>
    <row r="795" spans="1:25">
      <c r="A795" s="460"/>
      <c r="B795" s="461"/>
      <c r="C795" s="458"/>
      <c r="D795" s="459"/>
      <c r="E795" s="459"/>
      <c r="F795" s="459"/>
      <c r="G795" s="459"/>
      <c r="H795" s="459"/>
      <c r="I795" s="459"/>
      <c r="J795" s="458"/>
      <c r="K795" s="458"/>
      <c r="L795" s="458"/>
      <c r="M795" s="458"/>
      <c r="N795" s="458"/>
      <c r="O795" s="458"/>
      <c r="P795" s="458"/>
      <c r="Q795" s="458"/>
      <c r="R795" s="458"/>
      <c r="S795" s="458"/>
      <c r="T795" s="458"/>
      <c r="U795" s="458"/>
      <c r="V795" s="458"/>
      <c r="W795" s="458"/>
      <c r="X795" s="458"/>
      <c r="Y795" s="458"/>
    </row>
    <row r="796" spans="1:25">
      <c r="A796" s="460"/>
      <c r="B796" s="461"/>
      <c r="C796" s="458"/>
      <c r="D796" s="459"/>
      <c r="E796" s="459"/>
      <c r="F796" s="459"/>
      <c r="G796" s="459"/>
      <c r="H796" s="459"/>
      <c r="I796" s="459"/>
      <c r="J796" s="458"/>
      <c r="K796" s="458"/>
      <c r="L796" s="458"/>
      <c r="M796" s="458"/>
      <c r="N796" s="458"/>
      <c r="O796" s="458"/>
      <c r="P796" s="458"/>
      <c r="Q796" s="458"/>
      <c r="R796" s="458"/>
      <c r="S796" s="458"/>
      <c r="T796" s="458"/>
      <c r="U796" s="458"/>
      <c r="V796" s="458"/>
      <c r="W796" s="458"/>
      <c r="X796" s="458"/>
      <c r="Y796" s="458"/>
    </row>
    <row r="797" spans="1:25">
      <c r="A797" s="460"/>
      <c r="B797" s="461"/>
      <c r="C797" s="458"/>
      <c r="D797" s="459"/>
      <c r="E797" s="459"/>
      <c r="F797" s="459"/>
      <c r="G797" s="459"/>
      <c r="H797" s="459"/>
      <c r="I797" s="459"/>
      <c r="J797" s="458"/>
      <c r="K797" s="458"/>
      <c r="L797" s="458"/>
      <c r="M797" s="458"/>
      <c r="N797" s="458"/>
      <c r="O797" s="458"/>
      <c r="P797" s="458"/>
      <c r="Q797" s="458"/>
      <c r="R797" s="458"/>
      <c r="S797" s="458"/>
      <c r="T797" s="458"/>
      <c r="U797" s="458"/>
      <c r="V797" s="458"/>
      <c r="W797" s="458"/>
      <c r="X797" s="458"/>
      <c r="Y797" s="458"/>
    </row>
    <row r="798" spans="1:25">
      <c r="A798" s="460"/>
      <c r="B798" s="461"/>
      <c r="C798" s="458"/>
      <c r="D798" s="459"/>
      <c r="E798" s="459"/>
      <c r="F798" s="459"/>
      <c r="G798" s="459"/>
      <c r="H798" s="459"/>
      <c r="I798" s="459"/>
      <c r="J798" s="458"/>
      <c r="K798" s="458"/>
      <c r="L798" s="458"/>
      <c r="M798" s="458"/>
      <c r="N798" s="458"/>
      <c r="O798" s="458"/>
      <c r="P798" s="458"/>
      <c r="Q798" s="458"/>
      <c r="R798" s="458"/>
      <c r="S798" s="458"/>
      <c r="T798" s="458"/>
      <c r="U798" s="458"/>
      <c r="V798" s="458"/>
      <c r="W798" s="458"/>
      <c r="X798" s="458"/>
      <c r="Y798" s="458"/>
    </row>
    <row r="799" spans="1:25">
      <c r="A799" s="460"/>
      <c r="B799" s="461"/>
      <c r="C799" s="458"/>
      <c r="D799" s="459"/>
      <c r="E799" s="459"/>
      <c r="F799" s="459"/>
      <c r="G799" s="459"/>
      <c r="H799" s="459"/>
      <c r="I799" s="459"/>
      <c r="J799" s="458"/>
      <c r="K799" s="458"/>
      <c r="L799" s="458"/>
      <c r="M799" s="458"/>
      <c r="N799" s="458"/>
      <c r="O799" s="458"/>
      <c r="P799" s="458"/>
      <c r="Q799" s="458"/>
      <c r="R799" s="458"/>
      <c r="S799" s="458"/>
      <c r="T799" s="458"/>
      <c r="U799" s="458"/>
      <c r="V799" s="458"/>
      <c r="W799" s="458"/>
      <c r="X799" s="458"/>
      <c r="Y799" s="458"/>
    </row>
    <row r="800" spans="1:25">
      <c r="A800" s="460"/>
      <c r="B800" s="461"/>
      <c r="C800" s="458"/>
      <c r="D800" s="459"/>
      <c r="E800" s="459"/>
      <c r="F800" s="459"/>
      <c r="G800" s="459"/>
      <c r="H800" s="459"/>
      <c r="I800" s="459"/>
      <c r="J800" s="458"/>
      <c r="K800" s="458"/>
      <c r="L800" s="458"/>
      <c r="M800" s="458"/>
      <c r="N800" s="458"/>
      <c r="O800" s="458"/>
      <c r="P800" s="458"/>
      <c r="Q800" s="458"/>
      <c r="R800" s="458"/>
      <c r="S800" s="458"/>
      <c r="T800" s="458"/>
      <c r="U800" s="458"/>
      <c r="V800" s="458"/>
      <c r="W800" s="458"/>
      <c r="X800" s="458"/>
      <c r="Y800" s="458"/>
    </row>
    <row r="801" spans="1:25">
      <c r="A801" s="460"/>
      <c r="B801" s="461"/>
      <c r="C801" s="458"/>
      <c r="D801" s="459"/>
      <c r="E801" s="459"/>
      <c r="F801" s="459"/>
      <c r="G801" s="459"/>
      <c r="H801" s="459"/>
      <c r="I801" s="459"/>
      <c r="J801" s="458"/>
      <c r="K801" s="458"/>
      <c r="L801" s="458"/>
      <c r="M801" s="458"/>
      <c r="N801" s="458"/>
      <c r="O801" s="458"/>
      <c r="P801" s="458"/>
      <c r="Q801" s="458"/>
      <c r="R801" s="458"/>
      <c r="S801" s="458"/>
      <c r="T801" s="458"/>
      <c r="U801" s="458"/>
      <c r="V801" s="458"/>
      <c r="W801" s="458"/>
      <c r="X801" s="458"/>
      <c r="Y801" s="458"/>
    </row>
    <row r="802" spans="1:25">
      <c r="A802" s="460"/>
      <c r="B802" s="461"/>
      <c r="C802" s="458"/>
      <c r="D802" s="459"/>
      <c r="E802" s="459"/>
      <c r="F802" s="459"/>
      <c r="G802" s="459"/>
      <c r="H802" s="459"/>
      <c r="I802" s="459"/>
      <c r="J802" s="458"/>
      <c r="K802" s="458"/>
      <c r="L802" s="458"/>
      <c r="M802" s="458"/>
      <c r="N802" s="458"/>
      <c r="O802" s="458"/>
      <c r="P802" s="458"/>
      <c r="Q802" s="458"/>
      <c r="R802" s="458"/>
      <c r="S802" s="458"/>
      <c r="T802" s="458"/>
      <c r="U802" s="458"/>
      <c r="V802" s="458"/>
      <c r="W802" s="458"/>
      <c r="X802" s="458"/>
      <c r="Y802" s="458"/>
    </row>
    <row r="803" spans="1:25">
      <c r="A803" s="460"/>
      <c r="B803" s="461"/>
      <c r="C803" s="458"/>
      <c r="D803" s="459"/>
      <c r="E803" s="459"/>
      <c r="F803" s="459"/>
      <c r="G803" s="459"/>
      <c r="H803" s="459"/>
      <c r="I803" s="459"/>
      <c r="J803" s="458"/>
      <c r="K803" s="458"/>
      <c r="L803" s="458"/>
      <c r="M803" s="458"/>
      <c r="N803" s="458"/>
      <c r="O803" s="458"/>
      <c r="P803" s="458"/>
      <c r="Q803" s="458"/>
      <c r="R803" s="458"/>
      <c r="S803" s="458"/>
      <c r="T803" s="458"/>
      <c r="U803" s="458"/>
      <c r="V803" s="458"/>
      <c r="W803" s="458"/>
      <c r="X803" s="458"/>
      <c r="Y803" s="458"/>
    </row>
    <row r="804" spans="1:25">
      <c r="A804" s="460"/>
      <c r="B804" s="461"/>
      <c r="C804" s="458"/>
      <c r="D804" s="459"/>
      <c r="E804" s="459"/>
      <c r="F804" s="459"/>
      <c r="G804" s="459"/>
      <c r="H804" s="459"/>
      <c r="I804" s="459"/>
      <c r="J804" s="458"/>
      <c r="K804" s="458"/>
      <c r="L804" s="458"/>
      <c r="M804" s="458"/>
      <c r="N804" s="458"/>
      <c r="O804" s="458"/>
      <c r="P804" s="458"/>
      <c r="Q804" s="458"/>
      <c r="R804" s="458"/>
      <c r="S804" s="458"/>
      <c r="T804" s="458"/>
      <c r="U804" s="458"/>
      <c r="V804" s="458"/>
      <c r="W804" s="458"/>
      <c r="X804" s="458"/>
      <c r="Y804" s="458"/>
    </row>
    <row r="805" spans="1:25">
      <c r="A805" s="460"/>
      <c r="B805" s="461"/>
      <c r="C805" s="458"/>
      <c r="D805" s="459"/>
      <c r="E805" s="459"/>
      <c r="F805" s="459"/>
      <c r="G805" s="459"/>
      <c r="H805" s="459"/>
      <c r="I805" s="459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  <c r="Y805" s="458"/>
    </row>
    <row r="806" spans="1:25">
      <c r="A806" s="460"/>
      <c r="B806" s="461"/>
      <c r="C806" s="458"/>
      <c r="D806" s="459"/>
      <c r="E806" s="459"/>
      <c r="F806" s="459"/>
      <c r="G806" s="459"/>
      <c r="H806" s="459"/>
      <c r="I806" s="459"/>
      <c r="J806" s="458"/>
      <c r="K806" s="458"/>
      <c r="L806" s="458"/>
      <c r="M806" s="458"/>
      <c r="N806" s="458"/>
      <c r="O806" s="458"/>
      <c r="P806" s="458"/>
      <c r="Q806" s="458"/>
      <c r="R806" s="458"/>
      <c r="S806" s="458"/>
      <c r="T806" s="458"/>
      <c r="U806" s="458"/>
      <c r="V806" s="458"/>
      <c r="W806" s="458"/>
      <c r="X806" s="458"/>
      <c r="Y806" s="458"/>
    </row>
    <row r="807" spans="1:25">
      <c r="A807" s="460"/>
      <c r="B807" s="461"/>
      <c r="C807" s="458"/>
      <c r="D807" s="459"/>
      <c r="E807" s="459"/>
      <c r="F807" s="459"/>
      <c r="G807" s="459"/>
      <c r="H807" s="459"/>
      <c r="I807" s="459"/>
      <c r="J807" s="458"/>
      <c r="K807" s="458"/>
      <c r="L807" s="458"/>
      <c r="M807" s="458"/>
      <c r="N807" s="458"/>
      <c r="O807" s="458"/>
      <c r="P807" s="458"/>
      <c r="Q807" s="458"/>
      <c r="R807" s="458"/>
      <c r="S807" s="458"/>
      <c r="T807" s="458"/>
      <c r="U807" s="458"/>
      <c r="V807" s="458"/>
      <c r="W807" s="458"/>
      <c r="X807" s="458"/>
      <c r="Y807" s="458"/>
    </row>
    <row r="808" spans="1:25">
      <c r="A808" s="460"/>
      <c r="B808" s="461"/>
      <c r="C808" s="458"/>
      <c r="D808" s="459"/>
      <c r="E808" s="459"/>
      <c r="F808" s="459"/>
      <c r="G808" s="459"/>
      <c r="H808" s="459"/>
      <c r="I808" s="459"/>
      <c r="J808" s="458"/>
      <c r="K808" s="458"/>
      <c r="L808" s="458"/>
      <c r="M808" s="458"/>
      <c r="N808" s="458"/>
      <c r="O808" s="458"/>
      <c r="P808" s="458"/>
      <c r="Q808" s="458"/>
      <c r="R808" s="458"/>
      <c r="S808" s="458"/>
      <c r="T808" s="458"/>
      <c r="U808" s="458"/>
      <c r="V808" s="458"/>
      <c r="W808" s="458"/>
      <c r="X808" s="458"/>
      <c r="Y808" s="458"/>
    </row>
    <row r="809" spans="1:25">
      <c r="A809" s="460"/>
      <c r="B809" s="461"/>
      <c r="C809" s="458"/>
      <c r="D809" s="459"/>
      <c r="E809" s="459"/>
      <c r="F809" s="459"/>
      <c r="G809" s="459"/>
      <c r="H809" s="459"/>
      <c r="I809" s="459"/>
      <c r="J809" s="458"/>
      <c r="K809" s="458"/>
      <c r="L809" s="458"/>
      <c r="M809" s="458"/>
      <c r="N809" s="458"/>
      <c r="O809" s="458"/>
      <c r="P809" s="458"/>
      <c r="Q809" s="458"/>
      <c r="R809" s="458"/>
      <c r="S809" s="458"/>
      <c r="T809" s="458"/>
      <c r="U809" s="458"/>
      <c r="V809" s="458"/>
      <c r="W809" s="458"/>
      <c r="X809" s="458"/>
      <c r="Y809" s="458"/>
    </row>
    <row r="810" spans="1:25">
      <c r="A810" s="460"/>
      <c r="B810" s="461"/>
      <c r="C810" s="458"/>
      <c r="D810" s="459"/>
      <c r="E810" s="459"/>
      <c r="F810" s="459"/>
      <c r="G810" s="459"/>
      <c r="H810" s="459"/>
      <c r="I810" s="459"/>
      <c r="J810" s="458"/>
      <c r="K810" s="458"/>
      <c r="L810" s="458"/>
      <c r="M810" s="458"/>
      <c r="N810" s="458"/>
      <c r="O810" s="458"/>
      <c r="P810" s="458"/>
      <c r="Q810" s="458"/>
      <c r="R810" s="458"/>
      <c r="S810" s="458"/>
      <c r="T810" s="458"/>
      <c r="U810" s="458"/>
      <c r="V810" s="458"/>
      <c r="W810" s="458"/>
      <c r="X810" s="458"/>
      <c r="Y810" s="458"/>
    </row>
    <row r="811" spans="1:25">
      <c r="A811" s="460"/>
      <c r="B811" s="461"/>
      <c r="C811" s="458"/>
      <c r="D811" s="459"/>
      <c r="E811" s="459"/>
      <c r="F811" s="459"/>
      <c r="G811" s="459"/>
      <c r="H811" s="459"/>
      <c r="I811" s="459"/>
      <c r="J811" s="458"/>
      <c r="K811" s="458"/>
      <c r="L811" s="458"/>
      <c r="M811" s="458"/>
      <c r="N811" s="458"/>
      <c r="O811" s="458"/>
      <c r="P811" s="458"/>
      <c r="Q811" s="458"/>
      <c r="R811" s="458"/>
      <c r="S811" s="458"/>
      <c r="T811" s="458"/>
      <c r="U811" s="458"/>
      <c r="V811" s="458"/>
      <c r="W811" s="458"/>
      <c r="X811" s="458"/>
      <c r="Y811" s="458"/>
    </row>
    <row r="812" spans="1:25">
      <c r="A812" s="460"/>
      <c r="B812" s="461"/>
      <c r="C812" s="458"/>
      <c r="D812" s="459"/>
      <c r="E812" s="459"/>
      <c r="F812" s="459"/>
      <c r="G812" s="459"/>
      <c r="H812" s="459"/>
      <c r="I812" s="459"/>
      <c r="J812" s="458"/>
      <c r="K812" s="458"/>
      <c r="L812" s="458"/>
      <c r="M812" s="458"/>
      <c r="N812" s="458"/>
      <c r="O812" s="458"/>
      <c r="P812" s="458"/>
      <c r="Q812" s="458"/>
      <c r="R812" s="458"/>
      <c r="S812" s="458"/>
      <c r="T812" s="458"/>
      <c r="U812" s="458"/>
      <c r="V812" s="458"/>
      <c r="W812" s="458"/>
      <c r="X812" s="458"/>
      <c r="Y812" s="458"/>
    </row>
    <row r="813" spans="1:25">
      <c r="A813" s="460"/>
      <c r="B813" s="461"/>
      <c r="C813" s="458"/>
      <c r="D813" s="459"/>
      <c r="E813" s="459"/>
      <c r="F813" s="459"/>
      <c r="G813" s="459"/>
      <c r="H813" s="459"/>
      <c r="I813" s="459"/>
      <c r="J813" s="458"/>
      <c r="K813" s="458"/>
      <c r="L813" s="458"/>
      <c r="M813" s="458"/>
      <c r="N813" s="458"/>
      <c r="O813" s="458"/>
      <c r="P813" s="458"/>
      <c r="Q813" s="458"/>
      <c r="R813" s="458"/>
      <c r="S813" s="458"/>
      <c r="T813" s="458"/>
      <c r="U813" s="458"/>
      <c r="V813" s="458"/>
      <c r="W813" s="458"/>
      <c r="X813" s="458"/>
      <c r="Y813" s="458"/>
    </row>
    <row r="814" spans="1:25">
      <c r="A814" s="460"/>
      <c r="B814" s="461"/>
      <c r="C814" s="458"/>
      <c r="D814" s="459"/>
      <c r="E814" s="459"/>
      <c r="F814" s="459"/>
      <c r="G814" s="459"/>
      <c r="H814" s="459"/>
      <c r="I814" s="459"/>
      <c r="J814" s="458"/>
      <c r="K814" s="458"/>
      <c r="L814" s="458"/>
      <c r="M814" s="458"/>
      <c r="N814" s="458"/>
      <c r="O814" s="458"/>
      <c r="P814" s="458"/>
      <c r="Q814" s="458"/>
      <c r="R814" s="458"/>
      <c r="S814" s="458"/>
      <c r="T814" s="458"/>
      <c r="U814" s="458"/>
      <c r="V814" s="458"/>
      <c r="W814" s="458"/>
      <c r="X814" s="458"/>
      <c r="Y814" s="458"/>
    </row>
    <row r="815" spans="1:25">
      <c r="A815" s="460"/>
      <c r="B815" s="461"/>
      <c r="C815" s="458"/>
      <c r="D815" s="459"/>
      <c r="E815" s="459"/>
      <c r="F815" s="459"/>
      <c r="G815" s="459"/>
      <c r="H815" s="459"/>
      <c r="I815" s="459"/>
      <c r="J815" s="458"/>
      <c r="K815" s="458"/>
      <c r="L815" s="458"/>
      <c r="M815" s="458"/>
      <c r="N815" s="458"/>
      <c r="O815" s="458"/>
      <c r="P815" s="458"/>
      <c r="Q815" s="458"/>
      <c r="R815" s="458"/>
      <c r="S815" s="458"/>
      <c r="T815" s="458"/>
      <c r="U815" s="458"/>
      <c r="V815" s="458"/>
      <c r="W815" s="458"/>
      <c r="X815" s="458"/>
      <c r="Y815" s="458"/>
    </row>
    <row r="816" spans="1:25">
      <c r="A816" s="460"/>
      <c r="B816" s="461"/>
      <c r="C816" s="458"/>
      <c r="D816" s="459"/>
      <c r="E816" s="459"/>
      <c r="F816" s="459"/>
      <c r="G816" s="459"/>
      <c r="H816" s="459"/>
      <c r="I816" s="459"/>
      <c r="J816" s="458"/>
      <c r="K816" s="458"/>
      <c r="L816" s="458"/>
      <c r="M816" s="458"/>
      <c r="N816" s="458"/>
      <c r="O816" s="458"/>
      <c r="P816" s="458"/>
      <c r="Q816" s="458"/>
      <c r="R816" s="458"/>
      <c r="S816" s="458"/>
      <c r="T816" s="458"/>
      <c r="U816" s="458"/>
      <c r="V816" s="458"/>
      <c r="W816" s="458"/>
      <c r="X816" s="458"/>
      <c r="Y816" s="458"/>
    </row>
    <row r="817" spans="1:25">
      <c r="A817" s="460"/>
      <c r="B817" s="461"/>
      <c r="C817" s="458"/>
      <c r="D817" s="459"/>
      <c r="E817" s="459"/>
      <c r="F817" s="459"/>
      <c r="G817" s="459"/>
      <c r="H817" s="459"/>
      <c r="I817" s="459"/>
      <c r="J817" s="458"/>
      <c r="K817" s="458"/>
      <c r="L817" s="458"/>
      <c r="M817" s="458"/>
      <c r="N817" s="458"/>
      <c r="O817" s="458"/>
      <c r="P817" s="458"/>
      <c r="Q817" s="458"/>
      <c r="R817" s="458"/>
      <c r="S817" s="458"/>
      <c r="T817" s="458"/>
      <c r="U817" s="458"/>
      <c r="V817" s="458"/>
      <c r="W817" s="458"/>
      <c r="X817" s="458"/>
      <c r="Y817" s="458"/>
    </row>
    <row r="818" spans="1:25">
      <c r="A818" s="460"/>
      <c r="B818" s="461"/>
      <c r="C818" s="458"/>
      <c r="D818" s="459"/>
      <c r="E818" s="459"/>
      <c r="F818" s="459"/>
      <c r="G818" s="459"/>
      <c r="H818" s="459"/>
      <c r="I818" s="459"/>
      <c r="J818" s="458"/>
      <c r="K818" s="458"/>
      <c r="L818" s="458"/>
      <c r="M818" s="458"/>
      <c r="N818" s="458"/>
      <c r="O818" s="458"/>
      <c r="P818" s="458"/>
      <c r="Q818" s="458"/>
      <c r="R818" s="458"/>
      <c r="S818" s="458"/>
      <c r="T818" s="458"/>
      <c r="U818" s="458"/>
      <c r="V818" s="458"/>
      <c r="W818" s="458"/>
      <c r="X818" s="458"/>
      <c r="Y818" s="458"/>
    </row>
    <row r="819" spans="1:25">
      <c r="A819" s="460"/>
      <c r="B819" s="461"/>
      <c r="C819" s="458"/>
      <c r="D819" s="459"/>
      <c r="E819" s="459"/>
      <c r="F819" s="459"/>
      <c r="G819" s="459"/>
      <c r="H819" s="459"/>
      <c r="I819" s="459"/>
      <c r="J819" s="458"/>
      <c r="K819" s="458"/>
      <c r="L819" s="458"/>
      <c r="M819" s="458"/>
      <c r="N819" s="458"/>
      <c r="O819" s="458"/>
      <c r="P819" s="458"/>
      <c r="Q819" s="458"/>
      <c r="R819" s="458"/>
      <c r="S819" s="458"/>
      <c r="T819" s="458"/>
      <c r="U819" s="458"/>
      <c r="V819" s="458"/>
      <c r="W819" s="458"/>
      <c r="X819" s="458"/>
      <c r="Y819" s="458"/>
    </row>
    <row r="820" spans="1:25">
      <c r="A820" s="460"/>
      <c r="B820" s="461"/>
      <c r="C820" s="458"/>
      <c r="D820" s="459"/>
      <c r="E820" s="459"/>
      <c r="F820" s="459"/>
      <c r="G820" s="459"/>
      <c r="H820" s="459"/>
      <c r="I820" s="459"/>
      <c r="J820" s="458"/>
      <c r="K820" s="458"/>
      <c r="L820" s="458"/>
      <c r="M820" s="458"/>
      <c r="N820" s="458"/>
      <c r="O820" s="458"/>
      <c r="P820" s="458"/>
      <c r="Q820" s="458"/>
      <c r="R820" s="458"/>
      <c r="S820" s="458"/>
      <c r="T820" s="458"/>
      <c r="U820" s="458"/>
      <c r="V820" s="458"/>
      <c r="W820" s="458"/>
      <c r="X820" s="458"/>
      <c r="Y820" s="458"/>
    </row>
    <row r="821" spans="1:25">
      <c r="A821" s="460"/>
      <c r="B821" s="461"/>
      <c r="C821" s="458"/>
      <c r="D821" s="459"/>
      <c r="E821" s="459"/>
      <c r="F821" s="459"/>
      <c r="G821" s="459"/>
      <c r="H821" s="459"/>
      <c r="I821" s="459"/>
      <c r="J821" s="458"/>
      <c r="K821" s="458"/>
      <c r="L821" s="458"/>
      <c r="M821" s="458"/>
      <c r="N821" s="458"/>
      <c r="O821" s="458"/>
      <c r="P821" s="458"/>
      <c r="Q821" s="458"/>
      <c r="R821" s="458"/>
      <c r="S821" s="458"/>
      <c r="T821" s="458"/>
      <c r="U821" s="458"/>
      <c r="V821" s="458"/>
      <c r="W821" s="458"/>
      <c r="X821" s="458"/>
      <c r="Y821" s="458"/>
    </row>
    <row r="822" spans="1:25">
      <c r="A822" s="460"/>
      <c r="B822" s="461"/>
      <c r="C822" s="458"/>
      <c r="D822" s="459"/>
      <c r="E822" s="459"/>
      <c r="F822" s="459"/>
      <c r="G822" s="459"/>
      <c r="H822" s="459"/>
      <c r="I822" s="459"/>
      <c r="J822" s="458"/>
      <c r="K822" s="458"/>
      <c r="L822" s="458"/>
      <c r="M822" s="458"/>
      <c r="N822" s="458"/>
      <c r="O822" s="458"/>
      <c r="P822" s="458"/>
      <c r="Q822" s="458"/>
      <c r="R822" s="458"/>
      <c r="S822" s="458"/>
      <c r="T822" s="458"/>
      <c r="U822" s="458"/>
      <c r="V822" s="458"/>
      <c r="W822" s="458"/>
      <c r="X822" s="458"/>
      <c r="Y822" s="458"/>
    </row>
    <row r="823" spans="1:25">
      <c r="A823" s="460"/>
      <c r="B823" s="461"/>
      <c r="C823" s="458"/>
      <c r="D823" s="459"/>
      <c r="E823" s="459"/>
      <c r="F823" s="459"/>
      <c r="G823" s="459"/>
      <c r="H823" s="459"/>
      <c r="I823" s="459"/>
      <c r="J823" s="458"/>
      <c r="K823" s="458"/>
      <c r="L823" s="458"/>
      <c r="M823" s="458"/>
      <c r="N823" s="458"/>
      <c r="O823" s="458"/>
      <c r="P823" s="458"/>
      <c r="Q823" s="458"/>
      <c r="R823" s="458"/>
      <c r="S823" s="458"/>
      <c r="T823" s="458"/>
      <c r="U823" s="458"/>
      <c r="V823" s="458"/>
      <c r="W823" s="458"/>
      <c r="X823" s="458"/>
      <c r="Y823" s="458"/>
    </row>
    <row r="824" spans="1:25">
      <c r="A824" s="460"/>
      <c r="B824" s="461"/>
      <c r="C824" s="458"/>
      <c r="D824" s="459"/>
      <c r="E824" s="459"/>
      <c r="F824" s="459"/>
      <c r="G824" s="459"/>
      <c r="H824" s="459"/>
      <c r="I824" s="459"/>
      <c r="J824" s="458"/>
      <c r="K824" s="458"/>
      <c r="L824" s="458"/>
      <c r="M824" s="458"/>
      <c r="N824" s="458"/>
      <c r="O824" s="458"/>
      <c r="P824" s="458"/>
      <c r="Q824" s="458"/>
      <c r="R824" s="458"/>
      <c r="S824" s="458"/>
      <c r="T824" s="458"/>
      <c r="U824" s="458"/>
      <c r="V824" s="458"/>
      <c r="W824" s="458"/>
      <c r="X824" s="458"/>
      <c r="Y824" s="458"/>
    </row>
    <row r="825" spans="1:25">
      <c r="A825" s="460"/>
      <c r="B825" s="461"/>
      <c r="C825" s="458"/>
      <c r="D825" s="459"/>
      <c r="E825" s="459"/>
      <c r="F825" s="459"/>
      <c r="G825" s="459"/>
      <c r="H825" s="459"/>
      <c r="I825" s="459"/>
      <c r="J825" s="458"/>
      <c r="K825" s="458"/>
      <c r="L825" s="458"/>
      <c r="M825" s="458"/>
      <c r="N825" s="458"/>
      <c r="O825" s="458"/>
      <c r="P825" s="458"/>
      <c r="Q825" s="458"/>
      <c r="R825" s="458"/>
      <c r="S825" s="458"/>
      <c r="T825" s="458"/>
      <c r="U825" s="458"/>
      <c r="V825" s="458"/>
      <c r="W825" s="458"/>
      <c r="X825" s="458"/>
      <c r="Y825" s="458"/>
    </row>
    <row r="826" spans="1:25">
      <c r="A826" s="460"/>
      <c r="B826" s="461"/>
      <c r="C826" s="458"/>
      <c r="D826" s="459"/>
      <c r="E826" s="459"/>
      <c r="F826" s="459"/>
      <c r="G826" s="459"/>
      <c r="H826" s="459"/>
      <c r="I826" s="459"/>
      <c r="J826" s="458"/>
      <c r="K826" s="458"/>
      <c r="L826" s="458"/>
      <c r="M826" s="458"/>
      <c r="N826" s="458"/>
      <c r="O826" s="458"/>
      <c r="P826" s="458"/>
      <c r="Q826" s="458"/>
      <c r="R826" s="458"/>
      <c r="S826" s="458"/>
      <c r="T826" s="458"/>
      <c r="U826" s="458"/>
      <c r="V826" s="458"/>
      <c r="W826" s="458"/>
      <c r="X826" s="458"/>
      <c r="Y826" s="458"/>
    </row>
    <row r="827" spans="1:25">
      <c r="A827" s="460"/>
      <c r="B827" s="461"/>
      <c r="C827" s="458"/>
      <c r="D827" s="459"/>
      <c r="E827" s="459"/>
      <c r="F827" s="459"/>
      <c r="G827" s="459"/>
      <c r="H827" s="459"/>
      <c r="I827" s="459"/>
      <c r="J827" s="458"/>
      <c r="K827" s="458"/>
      <c r="L827" s="458"/>
      <c r="M827" s="458"/>
      <c r="N827" s="458"/>
      <c r="O827" s="458"/>
      <c r="P827" s="458"/>
      <c r="Q827" s="458"/>
      <c r="R827" s="458"/>
      <c r="S827" s="458"/>
      <c r="T827" s="458"/>
      <c r="U827" s="458"/>
      <c r="V827" s="458"/>
      <c r="W827" s="458"/>
      <c r="X827" s="458"/>
      <c r="Y827" s="458"/>
    </row>
    <row r="828" spans="1:25">
      <c r="A828" s="460"/>
      <c r="B828" s="461"/>
      <c r="C828" s="458"/>
      <c r="D828" s="459"/>
      <c r="E828" s="459"/>
      <c r="F828" s="459"/>
      <c r="G828" s="459"/>
      <c r="H828" s="459"/>
      <c r="I828" s="459"/>
      <c r="J828" s="458"/>
      <c r="K828" s="458"/>
      <c r="L828" s="458"/>
      <c r="M828" s="458"/>
      <c r="N828" s="458"/>
      <c r="O828" s="458"/>
      <c r="P828" s="458"/>
      <c r="Q828" s="458"/>
      <c r="R828" s="458"/>
      <c r="S828" s="458"/>
      <c r="T828" s="458"/>
      <c r="U828" s="458"/>
      <c r="V828" s="458"/>
      <c r="W828" s="458"/>
      <c r="X828" s="458"/>
      <c r="Y828" s="458"/>
    </row>
    <row r="829" spans="1:25">
      <c r="A829" s="460"/>
      <c r="B829" s="461"/>
      <c r="C829" s="458"/>
      <c r="D829" s="459"/>
      <c r="E829" s="459"/>
      <c r="F829" s="459"/>
      <c r="G829" s="459"/>
      <c r="H829" s="459"/>
      <c r="I829" s="459"/>
      <c r="J829" s="458"/>
      <c r="K829" s="458"/>
      <c r="L829" s="458"/>
      <c r="M829" s="458"/>
      <c r="N829" s="458"/>
      <c r="O829" s="458"/>
      <c r="P829" s="458"/>
      <c r="Q829" s="458"/>
      <c r="R829" s="458"/>
      <c r="S829" s="458"/>
      <c r="T829" s="458"/>
      <c r="U829" s="458"/>
      <c r="V829" s="458"/>
      <c r="W829" s="458"/>
      <c r="X829" s="458"/>
      <c r="Y829" s="458"/>
    </row>
    <row r="830" spans="1:25">
      <c r="A830" s="460"/>
      <c r="B830" s="461"/>
      <c r="C830" s="458"/>
      <c r="D830" s="459"/>
      <c r="E830" s="459"/>
      <c r="F830" s="459"/>
      <c r="G830" s="459"/>
      <c r="H830" s="459"/>
      <c r="I830" s="459"/>
      <c r="J830" s="458"/>
      <c r="K830" s="458"/>
      <c r="L830" s="458"/>
      <c r="M830" s="458"/>
      <c r="N830" s="458"/>
      <c r="O830" s="458"/>
      <c r="P830" s="458"/>
      <c r="Q830" s="458"/>
      <c r="R830" s="458"/>
      <c r="S830" s="458"/>
      <c r="T830" s="458"/>
      <c r="U830" s="458"/>
      <c r="V830" s="458"/>
      <c r="W830" s="458"/>
      <c r="X830" s="458"/>
      <c r="Y830" s="458"/>
    </row>
    <row r="831" spans="1:25">
      <c r="A831" s="460"/>
      <c r="B831" s="461"/>
      <c r="C831" s="458"/>
      <c r="D831" s="459"/>
      <c r="E831" s="459"/>
      <c r="F831" s="459"/>
      <c r="G831" s="459"/>
      <c r="H831" s="459"/>
      <c r="I831" s="459"/>
      <c r="J831" s="458"/>
      <c r="K831" s="458"/>
      <c r="L831" s="458"/>
      <c r="M831" s="458"/>
      <c r="N831" s="458"/>
      <c r="O831" s="458"/>
      <c r="P831" s="458"/>
      <c r="Q831" s="458"/>
      <c r="R831" s="458"/>
      <c r="S831" s="458"/>
      <c r="T831" s="458"/>
      <c r="U831" s="458"/>
      <c r="V831" s="458"/>
      <c r="W831" s="458"/>
      <c r="X831" s="458"/>
      <c r="Y831" s="458"/>
    </row>
    <row r="832" spans="1:25">
      <c r="A832" s="460"/>
      <c r="B832" s="461"/>
      <c r="C832" s="458"/>
      <c r="D832" s="459"/>
      <c r="E832" s="459"/>
      <c r="F832" s="459"/>
      <c r="G832" s="459"/>
      <c r="H832" s="459"/>
      <c r="I832" s="459"/>
      <c r="J832" s="458"/>
      <c r="K832" s="458"/>
      <c r="L832" s="458"/>
      <c r="M832" s="458"/>
      <c r="N832" s="458"/>
      <c r="O832" s="458"/>
      <c r="P832" s="458"/>
      <c r="Q832" s="458"/>
      <c r="R832" s="458"/>
      <c r="S832" s="458"/>
      <c r="T832" s="458"/>
      <c r="U832" s="458"/>
      <c r="V832" s="458"/>
      <c r="W832" s="458"/>
      <c r="X832" s="458"/>
      <c r="Y832" s="458"/>
    </row>
    <row r="833" spans="1:25">
      <c r="A833" s="460"/>
      <c r="B833" s="461"/>
      <c r="C833" s="458"/>
      <c r="D833" s="459"/>
      <c r="E833" s="459"/>
      <c r="F833" s="459"/>
      <c r="G833" s="459"/>
      <c r="H833" s="459"/>
      <c r="I833" s="459"/>
      <c r="J833" s="458"/>
      <c r="K833" s="458"/>
      <c r="L833" s="458"/>
      <c r="M833" s="458"/>
      <c r="N833" s="458"/>
      <c r="O833" s="458"/>
      <c r="P833" s="458"/>
      <c r="Q833" s="458"/>
      <c r="R833" s="458"/>
      <c r="S833" s="458"/>
      <c r="T833" s="458"/>
      <c r="U833" s="458"/>
      <c r="V833" s="458"/>
      <c r="W833" s="458"/>
      <c r="X833" s="458"/>
      <c r="Y833" s="458"/>
    </row>
    <row r="834" spans="1:25">
      <c r="A834" s="460"/>
      <c r="B834" s="461"/>
      <c r="C834" s="458"/>
      <c r="D834" s="459"/>
      <c r="E834" s="459"/>
      <c r="F834" s="459"/>
      <c r="G834" s="459"/>
      <c r="H834" s="459"/>
      <c r="I834" s="459"/>
      <c r="J834" s="458"/>
      <c r="K834" s="458"/>
      <c r="L834" s="458"/>
      <c r="M834" s="458"/>
      <c r="N834" s="458"/>
      <c r="O834" s="458"/>
      <c r="P834" s="458"/>
      <c r="Q834" s="458"/>
      <c r="R834" s="458"/>
      <c r="S834" s="458"/>
      <c r="T834" s="458"/>
      <c r="U834" s="458"/>
      <c r="V834" s="458"/>
      <c r="W834" s="458"/>
      <c r="X834" s="458"/>
      <c r="Y834" s="458"/>
    </row>
    <row r="835" spans="1:25">
      <c r="A835" s="460"/>
      <c r="B835" s="461"/>
      <c r="C835" s="458"/>
      <c r="D835" s="459"/>
      <c r="E835" s="459"/>
      <c r="F835" s="459"/>
      <c r="G835" s="459"/>
      <c r="H835" s="459"/>
      <c r="I835" s="459"/>
      <c r="J835" s="458"/>
      <c r="K835" s="458"/>
      <c r="L835" s="458"/>
      <c r="M835" s="458"/>
      <c r="N835" s="458"/>
      <c r="O835" s="458"/>
      <c r="P835" s="458"/>
      <c r="Q835" s="458"/>
      <c r="R835" s="458"/>
      <c r="S835" s="458"/>
      <c r="T835" s="458"/>
      <c r="U835" s="458"/>
      <c r="V835" s="458"/>
      <c r="W835" s="458"/>
      <c r="X835" s="458"/>
      <c r="Y835" s="458"/>
    </row>
    <row r="836" spans="1:25">
      <c r="A836" s="460"/>
      <c r="B836" s="461"/>
      <c r="C836" s="458"/>
      <c r="D836" s="459"/>
      <c r="E836" s="459"/>
      <c r="F836" s="459"/>
      <c r="G836" s="459"/>
      <c r="H836" s="459"/>
      <c r="I836" s="459"/>
      <c r="J836" s="458"/>
      <c r="K836" s="458"/>
      <c r="L836" s="458"/>
      <c r="M836" s="458"/>
      <c r="N836" s="458"/>
      <c r="O836" s="458"/>
      <c r="P836" s="458"/>
      <c r="Q836" s="458"/>
      <c r="R836" s="458"/>
      <c r="S836" s="458"/>
      <c r="T836" s="458"/>
      <c r="U836" s="458"/>
      <c r="V836" s="458"/>
      <c r="W836" s="458"/>
      <c r="X836" s="458"/>
      <c r="Y836" s="458"/>
    </row>
    <row r="837" spans="1:25">
      <c r="A837" s="460"/>
      <c r="B837" s="461"/>
      <c r="C837" s="458"/>
      <c r="D837" s="459"/>
      <c r="E837" s="459"/>
      <c r="F837" s="459"/>
      <c r="G837" s="459"/>
      <c r="H837" s="459"/>
      <c r="I837" s="459"/>
      <c r="J837" s="458"/>
      <c r="K837" s="458"/>
      <c r="L837" s="458"/>
      <c r="M837" s="458"/>
      <c r="N837" s="458"/>
      <c r="O837" s="458"/>
      <c r="P837" s="458"/>
      <c r="Q837" s="458"/>
      <c r="R837" s="458"/>
      <c r="S837" s="458"/>
      <c r="T837" s="458"/>
      <c r="U837" s="458"/>
      <c r="V837" s="458"/>
      <c r="W837" s="458"/>
      <c r="X837" s="458"/>
      <c r="Y837" s="458"/>
    </row>
    <row r="838" spans="1:25">
      <c r="A838" s="460"/>
      <c r="B838" s="461"/>
      <c r="C838" s="458"/>
      <c r="D838" s="459"/>
      <c r="E838" s="459"/>
      <c r="F838" s="459"/>
      <c r="G838" s="459"/>
      <c r="H838" s="459"/>
      <c r="I838" s="459"/>
      <c r="J838" s="458"/>
      <c r="K838" s="458"/>
      <c r="L838" s="458"/>
      <c r="M838" s="458"/>
      <c r="N838" s="458"/>
      <c r="O838" s="458"/>
      <c r="P838" s="458"/>
      <c r="Q838" s="458"/>
      <c r="R838" s="458"/>
      <c r="S838" s="458"/>
      <c r="T838" s="458"/>
      <c r="U838" s="458"/>
      <c r="V838" s="458"/>
      <c r="W838" s="458"/>
      <c r="X838" s="458"/>
      <c r="Y838" s="458"/>
    </row>
    <row r="839" spans="1:25">
      <c r="A839" s="460"/>
      <c r="B839" s="461"/>
      <c r="C839" s="458"/>
      <c r="D839" s="459"/>
      <c r="E839" s="459"/>
      <c r="F839" s="459"/>
      <c r="G839" s="459"/>
      <c r="H839" s="459"/>
      <c r="I839" s="459"/>
      <c r="J839" s="458"/>
      <c r="K839" s="458"/>
      <c r="L839" s="458"/>
      <c r="M839" s="458"/>
      <c r="N839" s="458"/>
      <c r="O839" s="458"/>
      <c r="P839" s="458"/>
      <c r="Q839" s="458"/>
      <c r="R839" s="458"/>
      <c r="S839" s="458"/>
      <c r="T839" s="458"/>
      <c r="U839" s="458"/>
      <c r="V839" s="458"/>
      <c r="W839" s="458"/>
      <c r="X839" s="458"/>
      <c r="Y839" s="458"/>
    </row>
    <row r="840" spans="1:25">
      <c r="A840" s="460"/>
      <c r="B840" s="461"/>
      <c r="C840" s="458"/>
      <c r="D840" s="459"/>
      <c r="E840" s="459"/>
      <c r="F840" s="459"/>
      <c r="G840" s="459"/>
      <c r="H840" s="459"/>
      <c r="I840" s="459"/>
      <c r="J840" s="458"/>
      <c r="K840" s="458"/>
      <c r="L840" s="458"/>
      <c r="M840" s="458"/>
      <c r="N840" s="458"/>
      <c r="O840" s="458"/>
      <c r="P840" s="458"/>
      <c r="Q840" s="458"/>
      <c r="R840" s="458"/>
      <c r="S840" s="458"/>
      <c r="T840" s="458"/>
      <c r="U840" s="458"/>
      <c r="V840" s="458"/>
      <c r="W840" s="458"/>
      <c r="X840" s="458"/>
      <c r="Y840" s="458"/>
    </row>
    <row r="841" spans="1:25">
      <c r="A841" s="460"/>
      <c r="B841" s="461"/>
      <c r="C841" s="458"/>
      <c r="D841" s="459"/>
      <c r="E841" s="459"/>
      <c r="F841" s="459"/>
      <c r="G841" s="459"/>
      <c r="H841" s="459"/>
      <c r="I841" s="459"/>
      <c r="J841" s="458"/>
      <c r="K841" s="458"/>
      <c r="L841" s="458"/>
      <c r="M841" s="458"/>
      <c r="N841" s="458"/>
      <c r="O841" s="458"/>
      <c r="P841" s="458"/>
      <c r="Q841" s="458"/>
      <c r="R841" s="458"/>
      <c r="S841" s="458"/>
      <c r="T841" s="458"/>
      <c r="U841" s="458"/>
      <c r="V841" s="458"/>
      <c r="W841" s="458"/>
      <c r="X841" s="458"/>
      <c r="Y841" s="458"/>
    </row>
    <row r="842" spans="1:25">
      <c r="A842" s="460"/>
      <c r="B842" s="461"/>
      <c r="C842" s="458"/>
      <c r="D842" s="459"/>
      <c r="E842" s="459"/>
      <c r="F842" s="459"/>
      <c r="G842" s="459"/>
      <c r="H842" s="459"/>
      <c r="I842" s="459"/>
      <c r="J842" s="458"/>
      <c r="K842" s="458"/>
      <c r="L842" s="458"/>
      <c r="M842" s="458"/>
      <c r="N842" s="458"/>
      <c r="O842" s="458"/>
      <c r="P842" s="458"/>
      <c r="Q842" s="458"/>
      <c r="R842" s="458"/>
      <c r="S842" s="458"/>
      <c r="T842" s="458"/>
      <c r="U842" s="458"/>
      <c r="V842" s="458"/>
      <c r="W842" s="458"/>
      <c r="X842" s="458"/>
      <c r="Y842" s="458"/>
    </row>
    <row r="843" spans="1:25">
      <c r="A843" s="460"/>
      <c r="B843" s="461"/>
      <c r="C843" s="458"/>
      <c r="D843" s="459"/>
      <c r="E843" s="459"/>
      <c r="F843" s="459"/>
      <c r="G843" s="459"/>
      <c r="H843" s="459"/>
      <c r="I843" s="459"/>
      <c r="J843" s="458"/>
      <c r="K843" s="458"/>
      <c r="L843" s="458"/>
      <c r="M843" s="458"/>
      <c r="N843" s="458"/>
      <c r="O843" s="458"/>
      <c r="P843" s="458"/>
      <c r="Q843" s="458"/>
      <c r="R843" s="458"/>
      <c r="S843" s="458"/>
      <c r="T843" s="458"/>
      <c r="U843" s="458"/>
      <c r="V843" s="458"/>
      <c r="W843" s="458"/>
      <c r="X843" s="458"/>
      <c r="Y843" s="458"/>
    </row>
    <row r="844" spans="1:25">
      <c r="A844" s="460"/>
      <c r="B844" s="461"/>
      <c r="C844" s="458"/>
      <c r="D844" s="459"/>
      <c r="E844" s="459"/>
      <c r="F844" s="459"/>
      <c r="G844" s="459"/>
      <c r="H844" s="459"/>
      <c r="I844" s="459"/>
      <c r="J844" s="458"/>
      <c r="K844" s="458"/>
      <c r="L844" s="458"/>
      <c r="M844" s="458"/>
      <c r="N844" s="458"/>
      <c r="O844" s="458"/>
      <c r="P844" s="458"/>
      <c r="Q844" s="458"/>
      <c r="R844" s="458"/>
      <c r="S844" s="458"/>
      <c r="T844" s="458"/>
      <c r="U844" s="458"/>
      <c r="V844" s="458"/>
      <c r="W844" s="458"/>
      <c r="X844" s="458"/>
      <c r="Y844" s="458"/>
    </row>
    <row r="845" spans="1:25">
      <c r="A845" s="460"/>
      <c r="B845" s="461"/>
      <c r="C845" s="458"/>
      <c r="D845" s="459"/>
      <c r="E845" s="459"/>
      <c r="F845" s="459"/>
      <c r="G845" s="459"/>
      <c r="H845" s="459"/>
      <c r="I845" s="459"/>
      <c r="J845" s="458"/>
      <c r="K845" s="458"/>
      <c r="L845" s="458"/>
      <c r="M845" s="458"/>
      <c r="N845" s="458"/>
      <c r="O845" s="458"/>
      <c r="P845" s="458"/>
      <c r="Q845" s="458"/>
      <c r="R845" s="458"/>
      <c r="S845" s="458"/>
      <c r="T845" s="458"/>
      <c r="U845" s="458"/>
      <c r="V845" s="458"/>
      <c r="W845" s="458"/>
      <c r="X845" s="458"/>
      <c r="Y845" s="458"/>
    </row>
    <row r="846" spans="1:25">
      <c r="A846" s="460"/>
      <c r="B846" s="461"/>
      <c r="C846" s="458"/>
      <c r="D846" s="459"/>
      <c r="E846" s="459"/>
      <c r="F846" s="459"/>
      <c r="G846" s="459"/>
      <c r="H846" s="459"/>
      <c r="I846" s="459"/>
      <c r="J846" s="458"/>
      <c r="K846" s="458"/>
      <c r="L846" s="458"/>
      <c r="M846" s="458"/>
      <c r="N846" s="458"/>
      <c r="O846" s="458"/>
      <c r="P846" s="458"/>
      <c r="Q846" s="458"/>
      <c r="R846" s="458"/>
      <c r="S846" s="458"/>
      <c r="T846" s="458"/>
      <c r="U846" s="458"/>
      <c r="V846" s="458"/>
      <c r="W846" s="458"/>
      <c r="X846" s="458"/>
      <c r="Y846" s="458"/>
    </row>
    <row r="847" spans="1:25">
      <c r="A847" s="460"/>
      <c r="B847" s="461"/>
      <c r="C847" s="458"/>
      <c r="D847" s="459"/>
      <c r="E847" s="459"/>
      <c r="F847" s="459"/>
      <c r="G847" s="459"/>
      <c r="H847" s="459"/>
      <c r="I847" s="459"/>
      <c r="J847" s="458"/>
      <c r="K847" s="458"/>
      <c r="L847" s="458"/>
      <c r="M847" s="458"/>
      <c r="N847" s="458"/>
      <c r="O847" s="458"/>
      <c r="P847" s="458"/>
      <c r="Q847" s="458"/>
      <c r="R847" s="458"/>
      <c r="S847" s="458"/>
      <c r="T847" s="458"/>
      <c r="U847" s="458"/>
      <c r="V847" s="458"/>
      <c r="W847" s="458"/>
      <c r="X847" s="458"/>
      <c r="Y847" s="458"/>
    </row>
    <row r="848" spans="1:25">
      <c r="A848" s="460"/>
      <c r="B848" s="461"/>
      <c r="C848" s="458"/>
      <c r="D848" s="459"/>
      <c r="E848" s="459"/>
      <c r="F848" s="459"/>
      <c r="G848" s="459"/>
      <c r="H848" s="459"/>
      <c r="I848" s="459"/>
      <c r="J848" s="458"/>
      <c r="K848" s="458"/>
      <c r="L848" s="458"/>
      <c r="M848" s="458"/>
      <c r="N848" s="458"/>
      <c r="O848" s="458"/>
      <c r="P848" s="458"/>
      <c r="Q848" s="458"/>
      <c r="R848" s="458"/>
      <c r="S848" s="458"/>
      <c r="T848" s="458"/>
      <c r="U848" s="458"/>
      <c r="V848" s="458"/>
      <c r="W848" s="458"/>
      <c r="X848" s="458"/>
      <c r="Y848" s="458"/>
    </row>
    <row r="849" spans="1:25">
      <c r="A849" s="460"/>
      <c r="B849" s="461"/>
      <c r="C849" s="458"/>
      <c r="D849" s="459"/>
      <c r="E849" s="459"/>
      <c r="F849" s="459"/>
      <c r="G849" s="459"/>
      <c r="H849" s="459"/>
      <c r="I849" s="459"/>
      <c r="J849" s="458"/>
      <c r="K849" s="458"/>
      <c r="L849" s="458"/>
      <c r="M849" s="458"/>
      <c r="N849" s="458"/>
      <c r="O849" s="458"/>
      <c r="P849" s="458"/>
      <c r="Q849" s="458"/>
      <c r="R849" s="458"/>
      <c r="S849" s="458"/>
      <c r="T849" s="458"/>
      <c r="U849" s="458"/>
      <c r="V849" s="458"/>
      <c r="W849" s="458"/>
      <c r="X849" s="458"/>
      <c r="Y849" s="458"/>
    </row>
    <row r="850" spans="1:25">
      <c r="A850" s="460"/>
      <c r="B850" s="461"/>
      <c r="C850" s="458"/>
      <c r="D850" s="459"/>
      <c r="E850" s="459"/>
      <c r="F850" s="459"/>
      <c r="G850" s="459"/>
      <c r="H850" s="459"/>
      <c r="I850" s="459"/>
      <c r="J850" s="458"/>
      <c r="K850" s="458"/>
      <c r="L850" s="458"/>
      <c r="M850" s="458"/>
      <c r="N850" s="458"/>
      <c r="O850" s="458"/>
      <c r="P850" s="458"/>
      <c r="Q850" s="458"/>
      <c r="R850" s="458"/>
      <c r="S850" s="458"/>
      <c r="T850" s="458"/>
      <c r="U850" s="458"/>
      <c r="V850" s="458"/>
      <c r="W850" s="458"/>
      <c r="X850" s="458"/>
      <c r="Y850" s="458"/>
    </row>
    <row r="851" spans="1:25">
      <c r="A851" s="460"/>
      <c r="B851" s="461"/>
      <c r="C851" s="458"/>
      <c r="D851" s="459"/>
      <c r="E851" s="459"/>
      <c r="F851" s="459"/>
      <c r="G851" s="459"/>
      <c r="H851" s="459"/>
      <c r="I851" s="459"/>
      <c r="J851" s="458"/>
      <c r="K851" s="458"/>
      <c r="L851" s="458"/>
      <c r="M851" s="458"/>
      <c r="N851" s="458"/>
      <c r="O851" s="458"/>
      <c r="P851" s="458"/>
      <c r="Q851" s="458"/>
      <c r="R851" s="458"/>
      <c r="S851" s="458"/>
      <c r="T851" s="458"/>
      <c r="U851" s="458"/>
      <c r="V851" s="458"/>
      <c r="W851" s="458"/>
      <c r="X851" s="458"/>
      <c r="Y851" s="458"/>
    </row>
    <row r="852" spans="1:25">
      <c r="A852" s="460"/>
      <c r="B852" s="461"/>
      <c r="C852" s="458"/>
      <c r="D852" s="459"/>
      <c r="E852" s="459"/>
      <c r="F852" s="459"/>
      <c r="G852" s="459"/>
      <c r="H852" s="459"/>
      <c r="I852" s="459"/>
      <c r="J852" s="458"/>
      <c r="K852" s="458"/>
      <c r="L852" s="458"/>
      <c r="M852" s="458"/>
      <c r="N852" s="458"/>
      <c r="O852" s="458"/>
      <c r="P852" s="458"/>
      <c r="Q852" s="458"/>
      <c r="R852" s="458"/>
      <c r="S852" s="458"/>
      <c r="T852" s="458"/>
      <c r="U852" s="458"/>
      <c r="V852" s="458"/>
      <c r="W852" s="458"/>
      <c r="X852" s="458"/>
      <c r="Y852" s="458"/>
    </row>
    <row r="853" spans="1:25">
      <c r="A853" s="460"/>
      <c r="B853" s="461"/>
      <c r="C853" s="458"/>
      <c r="D853" s="459"/>
      <c r="E853" s="459"/>
      <c r="F853" s="459"/>
      <c r="G853" s="459"/>
      <c r="H853" s="459"/>
      <c r="I853" s="459"/>
      <c r="J853" s="458"/>
      <c r="K853" s="458"/>
      <c r="L853" s="458"/>
      <c r="M853" s="458"/>
      <c r="N853" s="458"/>
      <c r="O853" s="458"/>
      <c r="P853" s="458"/>
      <c r="Q853" s="458"/>
      <c r="R853" s="458"/>
      <c r="S853" s="458"/>
      <c r="T853" s="458"/>
      <c r="U853" s="458"/>
      <c r="V853" s="458"/>
      <c r="W853" s="458"/>
      <c r="X853" s="458"/>
      <c r="Y853" s="458"/>
    </row>
    <row r="854" spans="1:25">
      <c r="A854" s="460"/>
      <c r="B854" s="461"/>
      <c r="C854" s="458"/>
      <c r="D854" s="459"/>
      <c r="E854" s="459"/>
      <c r="F854" s="459"/>
      <c r="G854" s="459"/>
      <c r="H854" s="459"/>
      <c r="I854" s="459"/>
      <c r="J854" s="458"/>
      <c r="K854" s="458"/>
      <c r="L854" s="458"/>
      <c r="M854" s="458"/>
      <c r="N854" s="458"/>
      <c r="O854" s="458"/>
      <c r="P854" s="458"/>
      <c r="Q854" s="458"/>
      <c r="R854" s="458"/>
      <c r="S854" s="458"/>
      <c r="T854" s="458"/>
      <c r="U854" s="458"/>
      <c r="V854" s="458"/>
      <c r="W854" s="458"/>
      <c r="X854" s="458"/>
      <c r="Y854" s="458"/>
    </row>
    <row r="855" spans="1:25">
      <c r="A855" s="460"/>
      <c r="B855" s="461"/>
      <c r="C855" s="458"/>
      <c r="D855" s="459"/>
      <c r="E855" s="459"/>
      <c r="F855" s="459"/>
      <c r="G855" s="459"/>
      <c r="H855" s="459"/>
      <c r="I855" s="459"/>
      <c r="J855" s="458"/>
      <c r="K855" s="458"/>
      <c r="L855" s="458"/>
      <c r="M855" s="458"/>
      <c r="N855" s="458"/>
      <c r="O855" s="458"/>
      <c r="P855" s="458"/>
      <c r="Q855" s="458"/>
      <c r="R855" s="458"/>
      <c r="S855" s="458"/>
      <c r="T855" s="458"/>
      <c r="U855" s="458"/>
      <c r="V855" s="458"/>
      <c r="W855" s="458"/>
      <c r="X855" s="458"/>
      <c r="Y855" s="458"/>
    </row>
    <row r="856" spans="1:25">
      <c r="A856" s="460"/>
      <c r="B856" s="461"/>
      <c r="C856" s="458"/>
      <c r="D856" s="459"/>
      <c r="E856" s="459"/>
      <c r="F856" s="459"/>
      <c r="G856" s="459"/>
      <c r="H856" s="459"/>
      <c r="I856" s="459"/>
      <c r="J856" s="458"/>
      <c r="K856" s="458"/>
      <c r="L856" s="458"/>
      <c r="M856" s="458"/>
      <c r="N856" s="458"/>
      <c r="O856" s="458"/>
      <c r="P856" s="458"/>
      <c r="Q856" s="458"/>
      <c r="R856" s="458"/>
      <c r="S856" s="458"/>
      <c r="T856" s="458"/>
      <c r="U856" s="458"/>
      <c r="V856" s="458"/>
      <c r="W856" s="458"/>
      <c r="X856" s="458"/>
      <c r="Y856" s="458"/>
    </row>
    <row r="857" spans="1:25">
      <c r="A857" s="460"/>
      <c r="B857" s="461"/>
      <c r="C857" s="458"/>
      <c r="D857" s="459"/>
      <c r="E857" s="459"/>
      <c r="F857" s="459"/>
      <c r="G857" s="459"/>
      <c r="H857" s="459"/>
      <c r="I857" s="459"/>
      <c r="J857" s="458"/>
      <c r="K857" s="458"/>
      <c r="L857" s="458"/>
      <c r="M857" s="458"/>
      <c r="N857" s="458"/>
      <c r="O857" s="458"/>
      <c r="P857" s="458"/>
      <c r="Q857" s="458"/>
      <c r="R857" s="458"/>
      <c r="S857" s="458"/>
      <c r="T857" s="458"/>
      <c r="U857" s="458"/>
      <c r="V857" s="458"/>
      <c r="W857" s="458"/>
      <c r="X857" s="458"/>
      <c r="Y857" s="458"/>
    </row>
    <row r="858" spans="1:25">
      <c r="A858" s="460"/>
      <c r="B858" s="461"/>
      <c r="C858" s="458"/>
      <c r="D858" s="459"/>
      <c r="E858" s="459"/>
      <c r="F858" s="459"/>
      <c r="G858" s="459"/>
      <c r="H858" s="459"/>
      <c r="I858" s="459"/>
      <c r="J858" s="458"/>
      <c r="K858" s="458"/>
      <c r="L858" s="458"/>
      <c r="M858" s="458"/>
      <c r="N858" s="458"/>
      <c r="O858" s="458"/>
      <c r="P858" s="458"/>
      <c r="Q858" s="458"/>
      <c r="R858" s="458"/>
      <c r="S858" s="458"/>
      <c r="T858" s="458"/>
      <c r="U858" s="458"/>
      <c r="V858" s="458"/>
      <c r="W858" s="458"/>
      <c r="X858" s="458"/>
      <c r="Y858" s="458"/>
    </row>
    <row r="859" spans="1:25">
      <c r="A859" s="460"/>
      <c r="B859" s="461"/>
      <c r="C859" s="458"/>
      <c r="D859" s="459"/>
      <c r="E859" s="459"/>
      <c r="F859" s="459"/>
      <c r="G859" s="459"/>
      <c r="H859" s="459"/>
      <c r="I859" s="459"/>
      <c r="J859" s="458"/>
      <c r="K859" s="458"/>
      <c r="L859" s="458"/>
      <c r="M859" s="458"/>
      <c r="N859" s="458"/>
      <c r="O859" s="458"/>
      <c r="P859" s="458"/>
      <c r="Q859" s="458"/>
      <c r="R859" s="458"/>
      <c r="S859" s="458"/>
      <c r="T859" s="458"/>
      <c r="U859" s="458"/>
      <c r="V859" s="458"/>
      <c r="W859" s="458"/>
      <c r="X859" s="458"/>
      <c r="Y859" s="458"/>
    </row>
    <row r="860" spans="1:25">
      <c r="A860" s="460"/>
      <c r="B860" s="461"/>
      <c r="C860" s="458"/>
      <c r="D860" s="459"/>
      <c r="E860" s="459"/>
      <c r="F860" s="459"/>
      <c r="G860" s="459"/>
      <c r="H860" s="459"/>
      <c r="I860" s="459"/>
      <c r="J860" s="458"/>
      <c r="K860" s="458"/>
      <c r="L860" s="458"/>
      <c r="M860" s="458"/>
      <c r="N860" s="458"/>
      <c r="O860" s="458"/>
      <c r="P860" s="458"/>
      <c r="Q860" s="458"/>
      <c r="R860" s="458"/>
      <c r="S860" s="458"/>
      <c r="T860" s="458"/>
      <c r="U860" s="458"/>
      <c r="V860" s="458"/>
      <c r="W860" s="458"/>
      <c r="X860" s="458"/>
      <c r="Y860" s="458"/>
    </row>
    <row r="861" spans="1:25">
      <c r="A861" s="460"/>
      <c r="B861" s="461"/>
      <c r="C861" s="458"/>
      <c r="D861" s="459"/>
      <c r="E861" s="459"/>
      <c r="F861" s="459"/>
      <c r="G861" s="459"/>
      <c r="H861" s="459"/>
      <c r="I861" s="459"/>
      <c r="J861" s="458"/>
      <c r="K861" s="458"/>
      <c r="L861" s="458"/>
      <c r="M861" s="458"/>
      <c r="N861" s="458"/>
      <c r="O861" s="458"/>
      <c r="P861" s="458"/>
      <c r="Q861" s="458"/>
      <c r="R861" s="458"/>
      <c r="S861" s="458"/>
      <c r="T861" s="458"/>
      <c r="U861" s="458"/>
      <c r="V861" s="458"/>
      <c r="W861" s="458"/>
      <c r="X861" s="458"/>
      <c r="Y861" s="458"/>
    </row>
    <row r="862" spans="1:25">
      <c r="A862" s="460"/>
      <c r="B862" s="461"/>
      <c r="C862" s="458"/>
      <c r="D862" s="459"/>
      <c r="E862" s="459"/>
      <c r="F862" s="459"/>
      <c r="G862" s="459"/>
      <c r="H862" s="459"/>
      <c r="I862" s="459"/>
      <c r="J862" s="458"/>
      <c r="K862" s="458"/>
      <c r="L862" s="458"/>
      <c r="M862" s="458"/>
      <c r="N862" s="458"/>
      <c r="O862" s="458"/>
      <c r="P862" s="458"/>
      <c r="Q862" s="458"/>
      <c r="R862" s="458"/>
      <c r="S862" s="458"/>
      <c r="T862" s="458"/>
      <c r="U862" s="458"/>
      <c r="V862" s="458"/>
      <c r="W862" s="458"/>
      <c r="X862" s="458"/>
      <c r="Y862" s="458"/>
    </row>
    <row r="863" spans="1:25">
      <c r="A863" s="460"/>
      <c r="B863" s="461"/>
      <c r="C863" s="458"/>
      <c r="D863" s="459"/>
      <c r="E863" s="459"/>
      <c r="F863" s="459"/>
      <c r="G863" s="459"/>
      <c r="H863" s="459"/>
      <c r="I863" s="459"/>
      <c r="J863" s="458"/>
      <c r="K863" s="458"/>
      <c r="L863" s="458"/>
      <c r="M863" s="458"/>
      <c r="N863" s="458"/>
      <c r="O863" s="458"/>
      <c r="P863" s="458"/>
      <c r="Q863" s="458"/>
      <c r="R863" s="458"/>
      <c r="S863" s="458"/>
      <c r="T863" s="458"/>
      <c r="U863" s="458"/>
      <c r="V863" s="458"/>
      <c r="W863" s="458"/>
      <c r="X863" s="458"/>
      <c r="Y863" s="458"/>
    </row>
    <row r="864" spans="1:25">
      <c r="A864" s="460"/>
      <c r="B864" s="461"/>
      <c r="C864" s="458"/>
      <c r="D864" s="459"/>
      <c r="E864" s="459"/>
      <c r="F864" s="459"/>
      <c r="G864" s="459"/>
      <c r="H864" s="459"/>
      <c r="I864" s="459"/>
      <c r="J864" s="458"/>
      <c r="K864" s="458"/>
      <c r="L864" s="458"/>
      <c r="M864" s="458"/>
      <c r="N864" s="458"/>
      <c r="O864" s="458"/>
      <c r="P864" s="458"/>
      <c r="Q864" s="458"/>
      <c r="R864" s="458"/>
      <c r="S864" s="458"/>
      <c r="T864" s="458"/>
      <c r="U864" s="458"/>
      <c r="V864" s="458"/>
      <c r="W864" s="458"/>
      <c r="X864" s="458"/>
      <c r="Y864" s="458"/>
    </row>
    <row r="865" spans="1:25">
      <c r="A865" s="460"/>
      <c r="B865" s="461"/>
      <c r="C865" s="458"/>
      <c r="D865" s="459"/>
      <c r="E865" s="459"/>
      <c r="F865" s="459"/>
      <c r="G865" s="459"/>
      <c r="H865" s="459"/>
      <c r="I865" s="459"/>
      <c r="J865" s="458"/>
      <c r="K865" s="458"/>
      <c r="L865" s="458"/>
      <c r="M865" s="458"/>
      <c r="N865" s="458"/>
      <c r="O865" s="458"/>
      <c r="P865" s="458"/>
      <c r="Q865" s="458"/>
      <c r="R865" s="458"/>
      <c r="S865" s="458"/>
      <c r="T865" s="458"/>
      <c r="U865" s="458"/>
      <c r="V865" s="458"/>
      <c r="W865" s="458"/>
      <c r="X865" s="458"/>
      <c r="Y865" s="458"/>
    </row>
    <row r="866" spans="1:25">
      <c r="A866" s="460"/>
      <c r="B866" s="461"/>
      <c r="C866" s="458"/>
      <c r="D866" s="459"/>
      <c r="E866" s="459"/>
      <c r="F866" s="459"/>
      <c r="G866" s="459"/>
      <c r="H866" s="459"/>
      <c r="I866" s="459"/>
      <c r="J866" s="458"/>
      <c r="K866" s="458"/>
      <c r="L866" s="458"/>
      <c r="M866" s="458"/>
      <c r="N866" s="458"/>
      <c r="O866" s="458"/>
      <c r="P866" s="458"/>
      <c r="Q866" s="458"/>
      <c r="R866" s="458"/>
      <c r="S866" s="458"/>
      <c r="T866" s="458"/>
      <c r="U866" s="458"/>
      <c r="V866" s="458"/>
      <c r="W866" s="458"/>
      <c r="X866" s="458"/>
      <c r="Y866" s="458"/>
    </row>
    <row r="867" spans="1:25">
      <c r="A867" s="460"/>
      <c r="B867" s="461"/>
      <c r="C867" s="458"/>
      <c r="D867" s="459"/>
      <c r="E867" s="459"/>
      <c r="F867" s="459"/>
      <c r="G867" s="459"/>
      <c r="H867" s="459"/>
      <c r="I867" s="459"/>
      <c r="J867" s="458"/>
      <c r="K867" s="458"/>
      <c r="L867" s="458"/>
      <c r="M867" s="458"/>
      <c r="N867" s="458"/>
      <c r="O867" s="458"/>
      <c r="P867" s="458"/>
      <c r="Q867" s="458"/>
      <c r="R867" s="458"/>
      <c r="S867" s="458"/>
      <c r="T867" s="458"/>
      <c r="U867" s="458"/>
      <c r="V867" s="458"/>
      <c r="W867" s="458"/>
      <c r="X867" s="458"/>
      <c r="Y867" s="458"/>
    </row>
    <row r="868" spans="1:25">
      <c r="A868" s="460"/>
      <c r="B868" s="461"/>
      <c r="C868" s="458"/>
      <c r="D868" s="459"/>
      <c r="E868" s="459"/>
      <c r="F868" s="459"/>
      <c r="G868" s="459"/>
      <c r="H868" s="459"/>
      <c r="I868" s="459"/>
      <c r="J868" s="458"/>
      <c r="K868" s="458"/>
      <c r="L868" s="458"/>
      <c r="M868" s="458"/>
      <c r="N868" s="458"/>
      <c r="O868" s="458"/>
      <c r="P868" s="458"/>
      <c r="Q868" s="458"/>
      <c r="R868" s="458"/>
      <c r="S868" s="458"/>
      <c r="T868" s="458"/>
      <c r="U868" s="458"/>
      <c r="V868" s="458"/>
      <c r="W868" s="458"/>
      <c r="X868" s="458"/>
      <c r="Y868" s="458"/>
    </row>
    <row r="869" spans="1:25">
      <c r="A869" s="460"/>
      <c r="B869" s="461"/>
      <c r="C869" s="458"/>
      <c r="D869" s="459"/>
      <c r="E869" s="459"/>
      <c r="F869" s="459"/>
      <c r="G869" s="459"/>
      <c r="H869" s="459"/>
      <c r="I869" s="459"/>
      <c r="J869" s="458"/>
      <c r="K869" s="458"/>
      <c r="L869" s="458"/>
      <c r="M869" s="458"/>
      <c r="N869" s="458"/>
      <c r="O869" s="458"/>
      <c r="P869" s="458"/>
      <c r="Q869" s="458"/>
      <c r="R869" s="458"/>
      <c r="S869" s="458"/>
      <c r="T869" s="458"/>
      <c r="U869" s="458"/>
      <c r="V869" s="458"/>
      <c r="W869" s="458"/>
      <c r="X869" s="458"/>
      <c r="Y869" s="458"/>
    </row>
    <row r="870" spans="1:25">
      <c r="A870" s="460"/>
      <c r="B870" s="461"/>
      <c r="C870" s="458"/>
      <c r="D870" s="459"/>
      <c r="E870" s="459"/>
      <c r="F870" s="459"/>
      <c r="G870" s="459"/>
      <c r="H870" s="459"/>
      <c r="I870" s="459"/>
      <c r="J870" s="458"/>
      <c r="K870" s="458"/>
      <c r="L870" s="458"/>
      <c r="M870" s="458"/>
      <c r="N870" s="458"/>
      <c r="O870" s="458"/>
      <c r="P870" s="458"/>
      <c r="Q870" s="458"/>
      <c r="R870" s="458"/>
      <c r="S870" s="458"/>
      <c r="T870" s="458"/>
      <c r="U870" s="458"/>
      <c r="V870" s="458"/>
      <c r="W870" s="458"/>
      <c r="X870" s="458"/>
      <c r="Y870" s="458"/>
    </row>
    <row r="871" spans="1:25">
      <c r="A871" s="460"/>
      <c r="B871" s="461"/>
      <c r="C871" s="458"/>
      <c r="D871" s="459"/>
      <c r="E871" s="459"/>
      <c r="F871" s="459"/>
      <c r="G871" s="459"/>
      <c r="H871" s="459"/>
      <c r="I871" s="459"/>
      <c r="J871" s="458"/>
      <c r="K871" s="458"/>
      <c r="L871" s="458"/>
      <c r="M871" s="458"/>
      <c r="N871" s="458"/>
      <c r="O871" s="458"/>
      <c r="P871" s="458"/>
      <c r="Q871" s="458"/>
      <c r="R871" s="458"/>
      <c r="S871" s="458"/>
      <c r="T871" s="458"/>
      <c r="U871" s="458"/>
      <c r="V871" s="458"/>
      <c r="W871" s="458"/>
      <c r="X871" s="458"/>
      <c r="Y871" s="458"/>
    </row>
    <row r="872" spans="1:25">
      <c r="A872" s="460"/>
      <c r="B872" s="461"/>
      <c r="C872" s="458"/>
      <c r="D872" s="459"/>
      <c r="E872" s="459"/>
      <c r="F872" s="459"/>
      <c r="G872" s="459"/>
      <c r="H872" s="459"/>
      <c r="I872" s="459"/>
      <c r="J872" s="458"/>
      <c r="K872" s="458"/>
      <c r="L872" s="458"/>
      <c r="M872" s="458"/>
      <c r="N872" s="458"/>
      <c r="O872" s="458"/>
      <c r="P872" s="458"/>
      <c r="Q872" s="458"/>
      <c r="R872" s="458"/>
      <c r="S872" s="458"/>
      <c r="T872" s="458"/>
      <c r="U872" s="458"/>
      <c r="V872" s="458"/>
      <c r="W872" s="458"/>
      <c r="X872" s="458"/>
      <c r="Y872" s="458"/>
    </row>
    <row r="873" spans="1:25">
      <c r="A873" s="460"/>
      <c r="B873" s="461"/>
      <c r="C873" s="458"/>
      <c r="D873" s="459"/>
      <c r="E873" s="459"/>
      <c r="F873" s="459"/>
      <c r="G873" s="459"/>
      <c r="H873" s="459"/>
      <c r="I873" s="459"/>
      <c r="J873" s="458"/>
      <c r="K873" s="458"/>
      <c r="L873" s="458"/>
      <c r="M873" s="458"/>
      <c r="N873" s="458"/>
      <c r="O873" s="458"/>
      <c r="P873" s="458"/>
      <c r="Q873" s="458"/>
      <c r="R873" s="458"/>
      <c r="S873" s="458"/>
      <c r="T873" s="458"/>
      <c r="U873" s="458"/>
      <c r="V873" s="458"/>
      <c r="W873" s="458"/>
      <c r="X873" s="458"/>
      <c r="Y873" s="458"/>
    </row>
    <row r="874" spans="1:25">
      <c r="A874" s="460"/>
      <c r="B874" s="461"/>
      <c r="C874" s="458"/>
      <c r="D874" s="459"/>
      <c r="E874" s="459"/>
      <c r="F874" s="459"/>
      <c r="G874" s="459"/>
      <c r="H874" s="459"/>
      <c r="I874" s="459"/>
      <c r="J874" s="458"/>
      <c r="K874" s="458"/>
      <c r="L874" s="458"/>
      <c r="M874" s="458"/>
      <c r="N874" s="458"/>
      <c r="O874" s="458"/>
      <c r="P874" s="458"/>
      <c r="Q874" s="458"/>
      <c r="R874" s="458"/>
      <c r="S874" s="458"/>
      <c r="T874" s="458"/>
      <c r="U874" s="458"/>
      <c r="V874" s="458"/>
      <c r="W874" s="458"/>
      <c r="X874" s="458"/>
      <c r="Y874" s="458"/>
    </row>
    <row r="875" spans="1:25">
      <c r="A875" s="460"/>
      <c r="B875" s="461"/>
      <c r="C875" s="458"/>
      <c r="D875" s="459"/>
      <c r="E875" s="459"/>
      <c r="F875" s="459"/>
      <c r="G875" s="459"/>
      <c r="H875" s="459"/>
      <c r="I875" s="459"/>
      <c r="J875" s="458"/>
      <c r="K875" s="458"/>
      <c r="L875" s="458"/>
      <c r="M875" s="458"/>
      <c r="N875" s="458"/>
      <c r="O875" s="458"/>
      <c r="P875" s="458"/>
      <c r="Q875" s="458"/>
      <c r="R875" s="458"/>
      <c r="S875" s="458"/>
      <c r="T875" s="458"/>
      <c r="U875" s="458"/>
      <c r="V875" s="458"/>
      <c r="W875" s="458"/>
      <c r="X875" s="458"/>
      <c r="Y875" s="458"/>
    </row>
    <row r="876" spans="1:25">
      <c r="A876" s="460"/>
      <c r="B876" s="461"/>
      <c r="C876" s="458"/>
      <c r="D876" s="459"/>
      <c r="E876" s="459"/>
      <c r="F876" s="459"/>
      <c r="G876" s="459"/>
      <c r="H876" s="459"/>
      <c r="I876" s="459"/>
      <c r="J876" s="458"/>
      <c r="K876" s="458"/>
      <c r="L876" s="458"/>
      <c r="M876" s="458"/>
      <c r="N876" s="458"/>
      <c r="O876" s="458"/>
      <c r="P876" s="458"/>
      <c r="Q876" s="458"/>
      <c r="R876" s="458"/>
      <c r="S876" s="458"/>
      <c r="T876" s="458"/>
      <c r="U876" s="458"/>
      <c r="V876" s="458"/>
      <c r="W876" s="458"/>
      <c r="X876" s="458"/>
      <c r="Y876" s="458"/>
    </row>
    <row r="877" spans="1:25">
      <c r="A877" s="460"/>
      <c r="B877" s="461"/>
      <c r="C877" s="458"/>
      <c r="D877" s="459"/>
      <c r="E877" s="459"/>
      <c r="F877" s="459"/>
      <c r="G877" s="459"/>
      <c r="H877" s="459"/>
      <c r="I877" s="459"/>
      <c r="J877" s="458"/>
      <c r="K877" s="458"/>
      <c r="L877" s="458"/>
      <c r="M877" s="458"/>
      <c r="N877" s="458"/>
      <c r="O877" s="458"/>
      <c r="P877" s="458"/>
      <c r="Q877" s="458"/>
      <c r="R877" s="458"/>
      <c r="S877" s="458"/>
      <c r="T877" s="458"/>
      <c r="U877" s="458"/>
      <c r="V877" s="458"/>
      <c r="W877" s="458"/>
      <c r="X877" s="458"/>
      <c r="Y877" s="458"/>
    </row>
    <row r="878" spans="1:25">
      <c r="A878" s="460"/>
      <c r="B878" s="461"/>
      <c r="C878" s="458"/>
      <c r="D878" s="459"/>
      <c r="E878" s="459"/>
      <c r="F878" s="459"/>
      <c r="G878" s="459"/>
      <c r="H878" s="459"/>
      <c r="I878" s="459"/>
      <c r="J878" s="458"/>
      <c r="K878" s="458"/>
      <c r="L878" s="458"/>
      <c r="M878" s="458"/>
      <c r="N878" s="458"/>
      <c r="O878" s="458"/>
      <c r="P878" s="458"/>
      <c r="Q878" s="458"/>
      <c r="R878" s="458"/>
      <c r="S878" s="458"/>
      <c r="T878" s="458"/>
      <c r="U878" s="458"/>
      <c r="V878" s="458"/>
      <c r="W878" s="458"/>
      <c r="X878" s="458"/>
      <c r="Y878" s="458"/>
    </row>
    <row r="879" spans="1:25">
      <c r="A879" s="460"/>
      <c r="B879" s="461"/>
      <c r="C879" s="458"/>
      <c r="D879" s="459"/>
      <c r="E879" s="459"/>
      <c r="F879" s="459"/>
      <c r="G879" s="459"/>
      <c r="H879" s="459"/>
      <c r="I879" s="459"/>
      <c r="J879" s="458"/>
      <c r="K879" s="458"/>
      <c r="L879" s="458"/>
      <c r="M879" s="458"/>
      <c r="N879" s="458"/>
      <c r="O879" s="458"/>
      <c r="P879" s="458"/>
      <c r="Q879" s="458"/>
      <c r="R879" s="458"/>
      <c r="S879" s="458"/>
      <c r="T879" s="458"/>
      <c r="U879" s="458"/>
      <c r="V879" s="458"/>
      <c r="W879" s="458"/>
      <c r="X879" s="458"/>
      <c r="Y879" s="458"/>
    </row>
    <row r="880" spans="1:25">
      <c r="A880" s="460"/>
      <c r="B880" s="461"/>
      <c r="C880" s="458"/>
      <c r="D880" s="459"/>
      <c r="E880" s="459"/>
      <c r="F880" s="459"/>
      <c r="G880" s="459"/>
      <c r="H880" s="459"/>
      <c r="I880" s="459"/>
      <c r="J880" s="458"/>
      <c r="K880" s="458"/>
      <c r="L880" s="458"/>
      <c r="M880" s="458"/>
      <c r="N880" s="458"/>
      <c r="O880" s="458"/>
      <c r="P880" s="458"/>
      <c r="Q880" s="458"/>
      <c r="R880" s="458"/>
      <c r="S880" s="458"/>
      <c r="T880" s="458"/>
      <c r="U880" s="458"/>
      <c r="V880" s="458"/>
      <c r="W880" s="458"/>
      <c r="X880" s="458"/>
      <c r="Y880" s="458"/>
    </row>
    <row r="881" spans="1:25">
      <c r="A881" s="460"/>
      <c r="B881" s="461"/>
      <c r="C881" s="458"/>
      <c r="D881" s="459"/>
      <c r="E881" s="459"/>
      <c r="F881" s="459"/>
      <c r="G881" s="459"/>
      <c r="H881" s="459"/>
      <c r="I881" s="459"/>
      <c r="J881" s="458"/>
      <c r="K881" s="458"/>
      <c r="L881" s="458"/>
      <c r="M881" s="458"/>
      <c r="N881" s="458"/>
      <c r="O881" s="458"/>
      <c r="P881" s="458"/>
      <c r="Q881" s="458"/>
      <c r="R881" s="458"/>
      <c r="S881" s="458"/>
      <c r="T881" s="458"/>
      <c r="U881" s="458"/>
      <c r="V881" s="458"/>
      <c r="W881" s="458"/>
      <c r="X881" s="458"/>
      <c r="Y881" s="458"/>
    </row>
    <row r="882" spans="1:25">
      <c r="A882" s="460"/>
      <c r="B882" s="461"/>
      <c r="C882" s="458"/>
      <c r="D882" s="459"/>
      <c r="E882" s="459"/>
      <c r="F882" s="459"/>
      <c r="G882" s="459"/>
      <c r="H882" s="459"/>
      <c r="I882" s="459"/>
      <c r="J882" s="458"/>
      <c r="K882" s="458"/>
      <c r="L882" s="458"/>
      <c r="M882" s="458"/>
      <c r="N882" s="458"/>
      <c r="O882" s="458"/>
      <c r="P882" s="458"/>
      <c r="Q882" s="458"/>
      <c r="R882" s="458"/>
      <c r="S882" s="458"/>
      <c r="T882" s="458"/>
      <c r="U882" s="458"/>
      <c r="V882" s="458"/>
      <c r="W882" s="458"/>
      <c r="X882" s="458"/>
      <c r="Y882" s="458"/>
    </row>
    <row r="883" spans="1:25">
      <c r="A883" s="460"/>
      <c r="B883" s="461"/>
      <c r="C883" s="458"/>
      <c r="D883" s="459"/>
      <c r="E883" s="459"/>
      <c r="F883" s="459"/>
      <c r="G883" s="459"/>
      <c r="H883" s="459"/>
      <c r="I883" s="459"/>
      <c r="J883" s="458"/>
      <c r="K883" s="458"/>
      <c r="L883" s="458"/>
      <c r="M883" s="458"/>
      <c r="N883" s="458"/>
      <c r="O883" s="458"/>
      <c r="P883" s="458"/>
      <c r="Q883" s="458"/>
      <c r="R883" s="458"/>
      <c r="S883" s="458"/>
      <c r="T883" s="458"/>
      <c r="U883" s="458"/>
      <c r="V883" s="458"/>
      <c r="W883" s="458"/>
      <c r="X883" s="458"/>
      <c r="Y883" s="458"/>
    </row>
    <row r="884" spans="1:25">
      <c r="A884" s="460"/>
      <c r="B884" s="461"/>
      <c r="C884" s="458"/>
      <c r="D884" s="459"/>
      <c r="E884" s="459"/>
      <c r="F884" s="459"/>
      <c r="G884" s="459"/>
      <c r="H884" s="459"/>
      <c r="I884" s="459"/>
      <c r="J884" s="458"/>
      <c r="K884" s="458"/>
      <c r="L884" s="458"/>
      <c r="M884" s="458"/>
      <c r="N884" s="458"/>
      <c r="O884" s="458"/>
      <c r="P884" s="458"/>
      <c r="Q884" s="458"/>
      <c r="R884" s="458"/>
      <c r="S884" s="458"/>
      <c r="T884" s="458"/>
      <c r="U884" s="458"/>
      <c r="V884" s="458"/>
      <c r="W884" s="458"/>
      <c r="X884" s="458"/>
      <c r="Y884" s="458"/>
    </row>
    <row r="885" spans="1:25">
      <c r="A885" s="460"/>
      <c r="B885" s="461"/>
      <c r="C885" s="458"/>
      <c r="D885" s="459"/>
      <c r="E885" s="459"/>
      <c r="F885" s="459"/>
      <c r="G885" s="459"/>
      <c r="H885" s="459"/>
      <c r="I885" s="459"/>
      <c r="J885" s="458"/>
      <c r="K885" s="458"/>
      <c r="L885" s="458"/>
      <c r="M885" s="458"/>
      <c r="N885" s="458"/>
      <c r="O885" s="458"/>
      <c r="P885" s="458"/>
      <c r="Q885" s="458"/>
      <c r="R885" s="458"/>
      <c r="S885" s="458"/>
      <c r="T885" s="458"/>
      <c r="U885" s="458"/>
      <c r="V885" s="458"/>
      <c r="W885" s="458"/>
      <c r="X885" s="458"/>
      <c r="Y885" s="458"/>
    </row>
    <row r="886" spans="1:25">
      <c r="A886" s="460"/>
      <c r="B886" s="461"/>
      <c r="C886" s="458"/>
      <c r="D886" s="459"/>
      <c r="E886" s="459"/>
      <c r="F886" s="459"/>
      <c r="G886" s="459"/>
      <c r="H886" s="459"/>
      <c r="I886" s="459"/>
      <c r="J886" s="458"/>
      <c r="K886" s="458"/>
      <c r="L886" s="458"/>
      <c r="M886" s="458"/>
      <c r="N886" s="458"/>
      <c r="O886" s="458"/>
      <c r="P886" s="458"/>
      <c r="Q886" s="458"/>
      <c r="R886" s="458"/>
      <c r="S886" s="458"/>
      <c r="T886" s="458"/>
      <c r="U886" s="458"/>
      <c r="V886" s="458"/>
      <c r="W886" s="458"/>
      <c r="X886" s="458"/>
      <c r="Y886" s="458"/>
    </row>
    <row r="887" spans="1:25">
      <c r="A887" s="460"/>
      <c r="B887" s="461"/>
      <c r="C887" s="458"/>
      <c r="D887" s="459"/>
      <c r="E887" s="459"/>
      <c r="F887" s="459"/>
      <c r="G887" s="459"/>
      <c r="H887" s="459"/>
      <c r="I887" s="459"/>
      <c r="J887" s="458"/>
      <c r="K887" s="458"/>
      <c r="L887" s="458"/>
      <c r="M887" s="458"/>
      <c r="N887" s="458"/>
      <c r="O887" s="458"/>
      <c r="P887" s="458"/>
      <c r="Q887" s="458"/>
      <c r="R887" s="458"/>
      <c r="S887" s="458"/>
      <c r="T887" s="458"/>
      <c r="U887" s="458"/>
      <c r="V887" s="458"/>
      <c r="W887" s="458"/>
      <c r="X887" s="458"/>
      <c r="Y887" s="458"/>
    </row>
    <row r="888" spans="1:25">
      <c r="A888" s="460"/>
      <c r="B888" s="461"/>
      <c r="C888" s="458"/>
      <c r="D888" s="459"/>
      <c r="E888" s="459"/>
      <c r="F888" s="459"/>
      <c r="G888" s="459"/>
      <c r="H888" s="459"/>
      <c r="I888" s="459"/>
      <c r="J888" s="458"/>
      <c r="K888" s="458"/>
      <c r="L888" s="458"/>
      <c r="M888" s="458"/>
      <c r="N888" s="458"/>
      <c r="O888" s="458"/>
      <c r="P888" s="458"/>
      <c r="Q888" s="458"/>
      <c r="R888" s="458"/>
      <c r="S888" s="458"/>
      <c r="T888" s="458"/>
      <c r="U888" s="458"/>
      <c r="V888" s="458"/>
      <c r="W888" s="458"/>
      <c r="X888" s="458"/>
      <c r="Y888" s="458"/>
    </row>
    <row r="889" spans="1:25">
      <c r="A889" s="460"/>
      <c r="B889" s="461"/>
      <c r="C889" s="458"/>
      <c r="D889" s="459"/>
      <c r="E889" s="459"/>
      <c r="F889" s="459"/>
      <c r="G889" s="459"/>
      <c r="H889" s="459"/>
      <c r="I889" s="459"/>
      <c r="J889" s="458"/>
      <c r="K889" s="458"/>
      <c r="L889" s="458"/>
      <c r="M889" s="458"/>
      <c r="N889" s="458"/>
      <c r="O889" s="458"/>
      <c r="P889" s="458"/>
      <c r="Q889" s="458"/>
      <c r="R889" s="458"/>
      <c r="S889" s="458"/>
      <c r="T889" s="458"/>
      <c r="U889" s="458"/>
      <c r="V889" s="458"/>
      <c r="W889" s="458"/>
      <c r="X889" s="458"/>
      <c r="Y889" s="458"/>
    </row>
    <row r="890" spans="1:25">
      <c r="A890" s="460"/>
      <c r="B890" s="461"/>
      <c r="C890" s="458"/>
      <c r="D890" s="459"/>
      <c r="E890" s="459"/>
      <c r="F890" s="459"/>
      <c r="G890" s="459"/>
      <c r="H890" s="459"/>
      <c r="I890" s="459"/>
      <c r="J890" s="458"/>
      <c r="K890" s="458"/>
      <c r="L890" s="458"/>
      <c r="M890" s="458"/>
      <c r="N890" s="458"/>
      <c r="O890" s="458"/>
      <c r="P890" s="458"/>
      <c r="Q890" s="458"/>
      <c r="R890" s="458"/>
      <c r="S890" s="458"/>
      <c r="T890" s="458"/>
      <c r="U890" s="458"/>
      <c r="V890" s="458"/>
      <c r="W890" s="458"/>
      <c r="X890" s="458"/>
      <c r="Y890" s="458"/>
    </row>
    <row r="891" spans="1:25">
      <c r="A891" s="460"/>
      <c r="B891" s="461"/>
      <c r="C891" s="458"/>
      <c r="D891" s="459"/>
      <c r="E891" s="459"/>
      <c r="F891" s="459"/>
      <c r="G891" s="459"/>
      <c r="H891" s="459"/>
      <c r="I891" s="459"/>
      <c r="J891" s="458"/>
      <c r="K891" s="458"/>
      <c r="L891" s="458"/>
      <c r="M891" s="458"/>
      <c r="N891" s="458"/>
      <c r="O891" s="458"/>
      <c r="P891" s="458"/>
      <c r="Q891" s="458"/>
      <c r="R891" s="458"/>
      <c r="S891" s="458"/>
      <c r="T891" s="458"/>
      <c r="U891" s="458"/>
      <c r="V891" s="458"/>
      <c r="W891" s="458"/>
      <c r="X891" s="458"/>
      <c r="Y891" s="458"/>
    </row>
    <row r="892" spans="1:25">
      <c r="A892" s="460"/>
      <c r="B892" s="461"/>
      <c r="C892" s="458"/>
      <c r="D892" s="459"/>
      <c r="E892" s="459"/>
      <c r="F892" s="459"/>
      <c r="G892" s="459"/>
      <c r="H892" s="459"/>
      <c r="I892" s="459"/>
      <c r="J892" s="458"/>
      <c r="K892" s="458"/>
      <c r="L892" s="458"/>
      <c r="M892" s="458"/>
      <c r="N892" s="458"/>
      <c r="O892" s="458"/>
      <c r="P892" s="458"/>
      <c r="Q892" s="458"/>
      <c r="R892" s="458"/>
      <c r="S892" s="458"/>
      <c r="T892" s="458"/>
      <c r="U892" s="458"/>
      <c r="V892" s="458"/>
      <c r="W892" s="458"/>
      <c r="X892" s="458"/>
      <c r="Y892" s="458"/>
    </row>
    <row r="893" spans="1:25">
      <c r="A893" s="460"/>
      <c r="B893" s="461"/>
      <c r="C893" s="458"/>
      <c r="D893" s="459"/>
      <c r="E893" s="459"/>
      <c r="F893" s="459"/>
      <c r="G893" s="459"/>
      <c r="H893" s="459"/>
      <c r="I893" s="459"/>
      <c r="J893" s="458"/>
      <c r="K893" s="458"/>
      <c r="L893" s="458"/>
      <c r="M893" s="458"/>
      <c r="N893" s="458"/>
      <c r="O893" s="458"/>
      <c r="P893" s="458"/>
      <c r="Q893" s="458"/>
      <c r="R893" s="458"/>
      <c r="S893" s="458"/>
      <c r="T893" s="458"/>
      <c r="U893" s="458"/>
      <c r="V893" s="458"/>
      <c r="W893" s="458"/>
      <c r="X893" s="458"/>
      <c r="Y893" s="458"/>
    </row>
    <row r="894" spans="1:25">
      <c r="A894" s="460"/>
      <c r="B894" s="461"/>
      <c r="C894" s="458"/>
      <c r="D894" s="459"/>
      <c r="E894" s="459"/>
      <c r="F894" s="459"/>
      <c r="G894" s="459"/>
      <c r="H894" s="459"/>
      <c r="I894" s="459"/>
      <c r="J894" s="458"/>
      <c r="K894" s="458"/>
      <c r="L894" s="458"/>
      <c r="M894" s="458"/>
      <c r="N894" s="458"/>
      <c r="O894" s="458"/>
      <c r="P894" s="458"/>
      <c r="Q894" s="458"/>
      <c r="R894" s="458"/>
      <c r="S894" s="458"/>
      <c r="T894" s="458"/>
      <c r="U894" s="458"/>
      <c r="V894" s="458"/>
      <c r="W894" s="458"/>
      <c r="X894" s="458"/>
      <c r="Y894" s="458"/>
    </row>
    <row r="895" spans="1:25">
      <c r="A895" s="460"/>
      <c r="B895" s="461"/>
      <c r="C895" s="458"/>
      <c r="D895" s="459"/>
      <c r="E895" s="459"/>
      <c r="F895" s="459"/>
      <c r="G895" s="459"/>
      <c r="H895" s="459"/>
      <c r="I895" s="459"/>
      <c r="J895" s="458"/>
      <c r="K895" s="458"/>
      <c r="L895" s="458"/>
      <c r="M895" s="458"/>
      <c r="N895" s="458"/>
      <c r="O895" s="458"/>
      <c r="P895" s="458"/>
      <c r="Q895" s="458"/>
      <c r="R895" s="458"/>
      <c r="S895" s="458"/>
      <c r="T895" s="458"/>
      <c r="U895" s="458"/>
      <c r="V895" s="458"/>
      <c r="W895" s="458"/>
      <c r="X895" s="458"/>
      <c r="Y895" s="458"/>
    </row>
    <row r="896" spans="1:25">
      <c r="A896" s="460"/>
      <c r="B896" s="461"/>
      <c r="C896" s="458"/>
      <c r="D896" s="459"/>
      <c r="E896" s="459"/>
      <c r="F896" s="459"/>
      <c r="G896" s="459"/>
      <c r="H896" s="459"/>
      <c r="I896" s="459"/>
      <c r="J896" s="458"/>
      <c r="K896" s="458"/>
      <c r="L896" s="458"/>
      <c r="M896" s="458"/>
      <c r="N896" s="458"/>
      <c r="O896" s="458"/>
      <c r="P896" s="458"/>
      <c r="Q896" s="458"/>
      <c r="R896" s="458"/>
      <c r="S896" s="458"/>
      <c r="T896" s="458"/>
      <c r="U896" s="458"/>
      <c r="V896" s="458"/>
      <c r="W896" s="458"/>
      <c r="X896" s="458"/>
      <c r="Y896" s="458"/>
    </row>
    <row r="897" spans="1:25">
      <c r="A897" s="460"/>
      <c r="B897" s="461"/>
      <c r="C897" s="458"/>
      <c r="D897" s="459"/>
      <c r="E897" s="459"/>
      <c r="F897" s="459"/>
      <c r="G897" s="459"/>
      <c r="H897" s="459"/>
      <c r="I897" s="459"/>
      <c r="J897" s="458"/>
      <c r="K897" s="458"/>
      <c r="L897" s="458"/>
      <c r="M897" s="458"/>
      <c r="N897" s="458"/>
      <c r="O897" s="458"/>
      <c r="P897" s="458"/>
      <c r="Q897" s="458"/>
      <c r="R897" s="458"/>
      <c r="S897" s="458"/>
      <c r="T897" s="458"/>
      <c r="U897" s="458"/>
      <c r="V897" s="458"/>
      <c r="W897" s="458"/>
      <c r="X897" s="458"/>
      <c r="Y897" s="458"/>
    </row>
    <row r="898" spans="1:25">
      <c r="A898" s="460"/>
      <c r="B898" s="461"/>
      <c r="C898" s="458"/>
      <c r="D898" s="459"/>
      <c r="E898" s="459"/>
      <c r="F898" s="459"/>
      <c r="G898" s="459"/>
      <c r="H898" s="459"/>
      <c r="I898" s="459"/>
      <c r="J898" s="458"/>
      <c r="K898" s="458"/>
      <c r="L898" s="458"/>
      <c r="M898" s="458"/>
      <c r="N898" s="458"/>
      <c r="O898" s="458"/>
      <c r="P898" s="458"/>
      <c r="Q898" s="458"/>
      <c r="R898" s="458"/>
      <c r="S898" s="458"/>
      <c r="T898" s="458"/>
      <c r="U898" s="458"/>
      <c r="V898" s="458"/>
      <c r="W898" s="458"/>
      <c r="X898" s="458"/>
      <c r="Y898" s="458"/>
    </row>
    <row r="899" spans="1:25">
      <c r="A899" s="460"/>
      <c r="B899" s="461"/>
      <c r="C899" s="458"/>
      <c r="D899" s="459"/>
      <c r="E899" s="459"/>
      <c r="F899" s="459"/>
      <c r="G899" s="459"/>
      <c r="H899" s="459"/>
      <c r="I899" s="459"/>
      <c r="J899" s="458"/>
      <c r="K899" s="458"/>
      <c r="L899" s="458"/>
      <c r="M899" s="458"/>
      <c r="N899" s="458"/>
      <c r="O899" s="458"/>
      <c r="P899" s="458"/>
      <c r="Q899" s="458"/>
      <c r="R899" s="458"/>
      <c r="S899" s="458"/>
      <c r="T899" s="458"/>
      <c r="U899" s="458"/>
      <c r="V899" s="458"/>
      <c r="W899" s="458"/>
      <c r="X899" s="458"/>
      <c r="Y899" s="458"/>
    </row>
    <row r="900" spans="1:25">
      <c r="A900" s="460"/>
      <c r="B900" s="461"/>
      <c r="C900" s="458"/>
      <c r="D900" s="459"/>
      <c r="E900" s="459"/>
      <c r="F900" s="459"/>
      <c r="G900" s="459"/>
      <c r="H900" s="459"/>
      <c r="I900" s="459"/>
      <c r="J900" s="458"/>
      <c r="K900" s="458"/>
      <c r="L900" s="458"/>
      <c r="M900" s="458"/>
      <c r="N900" s="458"/>
      <c r="O900" s="458"/>
      <c r="P900" s="458"/>
      <c r="Q900" s="458"/>
      <c r="R900" s="458"/>
      <c r="S900" s="458"/>
      <c r="T900" s="458"/>
      <c r="U900" s="458"/>
      <c r="V900" s="458"/>
      <c r="W900" s="458"/>
      <c r="X900" s="458"/>
      <c r="Y900" s="458"/>
    </row>
    <row r="901" spans="1:25">
      <c r="A901" s="460"/>
      <c r="B901" s="461"/>
      <c r="C901" s="458"/>
      <c r="D901" s="459"/>
      <c r="E901" s="459"/>
      <c r="F901" s="459"/>
      <c r="G901" s="459"/>
      <c r="H901" s="459"/>
      <c r="I901" s="459"/>
      <c r="J901" s="458"/>
      <c r="K901" s="458"/>
      <c r="L901" s="458"/>
      <c r="M901" s="458"/>
      <c r="N901" s="458"/>
      <c r="O901" s="458"/>
      <c r="P901" s="458"/>
      <c r="Q901" s="458"/>
      <c r="R901" s="458"/>
      <c r="S901" s="458"/>
      <c r="T901" s="458"/>
      <c r="U901" s="458"/>
      <c r="V901" s="458"/>
      <c r="W901" s="458"/>
      <c r="X901" s="458"/>
      <c r="Y901" s="458"/>
    </row>
    <row r="902" spans="1:25">
      <c r="A902" s="460"/>
      <c r="B902" s="461"/>
      <c r="C902" s="458"/>
      <c r="D902" s="459"/>
      <c r="E902" s="459"/>
      <c r="F902" s="459"/>
      <c r="G902" s="459"/>
      <c r="H902" s="459"/>
      <c r="I902" s="459"/>
      <c r="J902" s="458"/>
      <c r="K902" s="458"/>
      <c r="L902" s="458"/>
      <c r="M902" s="458"/>
      <c r="N902" s="458"/>
      <c r="O902" s="458"/>
      <c r="P902" s="458"/>
      <c r="Q902" s="458"/>
      <c r="R902" s="458"/>
      <c r="S902" s="458"/>
      <c r="T902" s="458"/>
      <c r="U902" s="458"/>
      <c r="V902" s="458"/>
      <c r="W902" s="458"/>
      <c r="X902" s="458"/>
      <c r="Y902" s="458"/>
    </row>
    <row r="903" spans="1:25">
      <c r="A903" s="460"/>
      <c r="B903" s="461"/>
      <c r="C903" s="458"/>
      <c r="D903" s="459"/>
      <c r="E903" s="459"/>
      <c r="F903" s="459"/>
      <c r="G903" s="459"/>
      <c r="H903" s="459"/>
      <c r="I903" s="459"/>
      <c r="J903" s="458"/>
      <c r="K903" s="458"/>
      <c r="L903" s="458"/>
      <c r="M903" s="458"/>
      <c r="N903" s="458"/>
      <c r="O903" s="458"/>
      <c r="P903" s="458"/>
      <c r="Q903" s="458"/>
      <c r="R903" s="458"/>
      <c r="S903" s="458"/>
      <c r="T903" s="458"/>
      <c r="U903" s="458"/>
      <c r="V903" s="458"/>
      <c r="W903" s="458"/>
      <c r="X903" s="458"/>
      <c r="Y903" s="458"/>
    </row>
    <row r="904" spans="1:25">
      <c r="A904" s="460"/>
      <c r="B904" s="461"/>
      <c r="C904" s="458"/>
      <c r="D904" s="459"/>
      <c r="E904" s="459"/>
      <c r="F904" s="459"/>
      <c r="G904" s="459"/>
      <c r="H904" s="459"/>
      <c r="I904" s="459"/>
      <c r="J904" s="458"/>
      <c r="K904" s="458"/>
      <c r="L904" s="458"/>
      <c r="M904" s="458"/>
      <c r="N904" s="458"/>
      <c r="O904" s="458"/>
      <c r="P904" s="458"/>
      <c r="Q904" s="458"/>
      <c r="R904" s="458"/>
      <c r="S904" s="458"/>
      <c r="T904" s="458"/>
      <c r="U904" s="458"/>
      <c r="V904" s="458"/>
      <c r="W904" s="458"/>
      <c r="X904" s="458"/>
      <c r="Y904" s="458"/>
    </row>
    <row r="905" spans="1:25">
      <c r="A905" s="460"/>
      <c r="B905" s="461"/>
      <c r="C905" s="458"/>
      <c r="D905" s="459"/>
      <c r="E905" s="459"/>
      <c r="F905" s="459"/>
      <c r="G905" s="459"/>
      <c r="H905" s="459"/>
      <c r="I905" s="459"/>
      <c r="J905" s="458"/>
      <c r="K905" s="458"/>
      <c r="L905" s="458"/>
      <c r="M905" s="458"/>
      <c r="N905" s="458"/>
      <c r="O905" s="458"/>
      <c r="P905" s="458"/>
      <c r="Q905" s="458"/>
      <c r="R905" s="458"/>
      <c r="S905" s="458"/>
      <c r="T905" s="458"/>
      <c r="U905" s="458"/>
      <c r="V905" s="458"/>
      <c r="W905" s="458"/>
      <c r="X905" s="458"/>
      <c r="Y905" s="458"/>
    </row>
    <row r="906" spans="1:25">
      <c r="A906" s="460"/>
      <c r="B906" s="461"/>
      <c r="C906" s="458"/>
      <c r="D906" s="459"/>
      <c r="E906" s="459"/>
      <c r="F906" s="459"/>
      <c r="G906" s="459"/>
      <c r="H906" s="459"/>
      <c r="I906" s="459"/>
      <c r="J906" s="458"/>
      <c r="K906" s="458"/>
      <c r="L906" s="458"/>
      <c r="M906" s="458"/>
      <c r="N906" s="458"/>
      <c r="O906" s="458"/>
      <c r="P906" s="458"/>
      <c r="Q906" s="458"/>
      <c r="R906" s="458"/>
      <c r="S906" s="458"/>
      <c r="T906" s="458"/>
      <c r="U906" s="458"/>
      <c r="V906" s="458"/>
      <c r="W906" s="458"/>
      <c r="X906" s="458"/>
      <c r="Y906" s="458"/>
    </row>
    <row r="907" spans="1:25">
      <c r="A907" s="460"/>
      <c r="B907" s="461"/>
      <c r="C907" s="458"/>
      <c r="D907" s="459"/>
      <c r="E907" s="459"/>
      <c r="F907" s="459"/>
      <c r="G907" s="459"/>
      <c r="H907" s="459"/>
      <c r="I907" s="459"/>
      <c r="J907" s="458"/>
      <c r="K907" s="458"/>
      <c r="L907" s="458"/>
      <c r="M907" s="458"/>
      <c r="N907" s="458"/>
      <c r="O907" s="458"/>
      <c r="P907" s="458"/>
      <c r="Q907" s="458"/>
      <c r="R907" s="458"/>
      <c r="S907" s="458"/>
      <c r="T907" s="458"/>
      <c r="U907" s="458"/>
      <c r="V907" s="458"/>
      <c r="W907" s="458"/>
      <c r="X907" s="458"/>
      <c r="Y907" s="458"/>
    </row>
    <row r="908" spans="1:25">
      <c r="A908" s="460"/>
      <c r="B908" s="461"/>
      <c r="C908" s="458"/>
      <c r="D908" s="459"/>
      <c r="E908" s="459"/>
      <c r="F908" s="459"/>
      <c r="G908" s="459"/>
      <c r="H908" s="459"/>
      <c r="I908" s="459"/>
      <c r="J908" s="458"/>
      <c r="K908" s="458"/>
      <c r="L908" s="458"/>
      <c r="M908" s="458"/>
      <c r="N908" s="458"/>
      <c r="O908" s="458"/>
      <c r="P908" s="458"/>
      <c r="Q908" s="458"/>
      <c r="R908" s="458"/>
      <c r="S908" s="458"/>
      <c r="T908" s="458"/>
      <c r="U908" s="458"/>
      <c r="V908" s="458"/>
      <c r="W908" s="458"/>
      <c r="X908" s="458"/>
      <c r="Y908" s="458"/>
    </row>
    <row r="909" spans="1:25">
      <c r="A909" s="460"/>
      <c r="B909" s="461"/>
      <c r="C909" s="458"/>
      <c r="D909" s="459"/>
      <c r="E909" s="459"/>
      <c r="F909" s="459"/>
      <c r="G909" s="459"/>
      <c r="H909" s="459"/>
      <c r="I909" s="459"/>
      <c r="J909" s="458"/>
      <c r="K909" s="458"/>
      <c r="L909" s="458"/>
      <c r="M909" s="458"/>
      <c r="N909" s="458"/>
      <c r="O909" s="458"/>
      <c r="P909" s="458"/>
      <c r="Q909" s="458"/>
      <c r="R909" s="458"/>
      <c r="S909" s="458"/>
      <c r="T909" s="458"/>
      <c r="U909" s="458"/>
      <c r="V909" s="458"/>
      <c r="W909" s="458"/>
      <c r="X909" s="458"/>
      <c r="Y909" s="458"/>
    </row>
    <row r="910" spans="1:25">
      <c r="A910" s="460"/>
      <c r="B910" s="461"/>
      <c r="C910" s="458"/>
      <c r="D910" s="459"/>
      <c r="E910" s="459"/>
      <c r="F910" s="459"/>
      <c r="G910" s="459"/>
      <c r="H910" s="459"/>
      <c r="I910" s="459"/>
      <c r="J910" s="458"/>
      <c r="K910" s="458"/>
      <c r="L910" s="458"/>
      <c r="M910" s="458"/>
      <c r="N910" s="458"/>
      <c r="O910" s="458"/>
      <c r="P910" s="458"/>
      <c r="Q910" s="458"/>
      <c r="R910" s="458"/>
      <c r="S910" s="458"/>
      <c r="T910" s="458"/>
      <c r="U910" s="458"/>
      <c r="V910" s="458"/>
      <c r="W910" s="458"/>
      <c r="X910" s="458"/>
      <c r="Y910" s="458"/>
    </row>
    <row r="911" spans="1:25">
      <c r="A911" s="460"/>
      <c r="B911" s="461"/>
      <c r="C911" s="458"/>
      <c r="D911" s="459"/>
      <c r="E911" s="459"/>
      <c r="F911" s="459"/>
      <c r="G911" s="459"/>
      <c r="H911" s="459"/>
      <c r="I911" s="459"/>
      <c r="J911" s="458"/>
      <c r="K911" s="458"/>
      <c r="L911" s="458"/>
      <c r="M911" s="458"/>
      <c r="N911" s="458"/>
      <c r="O911" s="458"/>
      <c r="P911" s="458"/>
      <c r="Q911" s="458"/>
      <c r="R911" s="458"/>
      <c r="S911" s="458"/>
      <c r="T911" s="458"/>
      <c r="U911" s="458"/>
      <c r="V911" s="458"/>
      <c r="W911" s="458"/>
      <c r="X911" s="458"/>
      <c r="Y911" s="458"/>
    </row>
    <row r="912" spans="1:25">
      <c r="A912" s="460"/>
      <c r="B912" s="461"/>
      <c r="C912" s="458"/>
      <c r="D912" s="459"/>
      <c r="E912" s="459"/>
      <c r="F912" s="459"/>
      <c r="G912" s="459"/>
      <c r="H912" s="459"/>
      <c r="I912" s="459"/>
      <c r="J912" s="458"/>
      <c r="K912" s="458"/>
      <c r="L912" s="458"/>
      <c r="M912" s="458"/>
      <c r="N912" s="458"/>
      <c r="O912" s="458"/>
      <c r="P912" s="458"/>
      <c r="Q912" s="458"/>
      <c r="R912" s="458"/>
      <c r="S912" s="458"/>
      <c r="T912" s="458"/>
      <c r="U912" s="458"/>
      <c r="V912" s="458"/>
      <c r="W912" s="458"/>
      <c r="X912" s="458"/>
      <c r="Y912" s="458"/>
    </row>
    <row r="913" spans="1:25">
      <c r="A913" s="460"/>
      <c r="B913" s="461"/>
      <c r="C913" s="458"/>
      <c r="D913" s="459"/>
      <c r="E913" s="459"/>
      <c r="F913" s="459"/>
      <c r="G913" s="459"/>
      <c r="H913" s="459"/>
      <c r="I913" s="459"/>
      <c r="J913" s="458"/>
      <c r="K913" s="458"/>
      <c r="L913" s="458"/>
      <c r="M913" s="458"/>
      <c r="N913" s="458"/>
      <c r="O913" s="458"/>
      <c r="P913" s="458"/>
      <c r="Q913" s="458"/>
      <c r="R913" s="458"/>
      <c r="S913" s="458"/>
      <c r="T913" s="458"/>
      <c r="U913" s="458"/>
      <c r="V913" s="458"/>
      <c r="W913" s="458"/>
      <c r="X913" s="458"/>
      <c r="Y913" s="458"/>
    </row>
    <row r="914" spans="1:25">
      <c r="A914" s="460"/>
      <c r="B914" s="461"/>
      <c r="C914" s="458"/>
      <c r="D914" s="459"/>
      <c r="E914" s="459"/>
      <c r="F914" s="459"/>
      <c r="G914" s="459"/>
      <c r="H914" s="459"/>
      <c r="I914" s="459"/>
      <c r="J914" s="458"/>
      <c r="K914" s="458"/>
      <c r="L914" s="458"/>
      <c r="M914" s="458"/>
      <c r="N914" s="458"/>
      <c r="O914" s="458"/>
      <c r="P914" s="458"/>
      <c r="Q914" s="458"/>
      <c r="R914" s="458"/>
      <c r="S914" s="458"/>
      <c r="T914" s="458"/>
      <c r="U914" s="458"/>
      <c r="V914" s="458"/>
      <c r="W914" s="458"/>
      <c r="X914" s="458"/>
      <c r="Y914" s="458"/>
    </row>
    <row r="915" spans="1:25">
      <c r="A915" s="460"/>
      <c r="B915" s="461"/>
      <c r="C915" s="458"/>
      <c r="D915" s="459"/>
      <c r="E915" s="459"/>
      <c r="F915" s="459"/>
      <c r="G915" s="459"/>
      <c r="H915" s="459"/>
      <c r="I915" s="459"/>
      <c r="J915" s="458"/>
      <c r="K915" s="458"/>
      <c r="L915" s="458"/>
      <c r="M915" s="458"/>
      <c r="N915" s="458"/>
      <c r="O915" s="458"/>
      <c r="P915" s="458"/>
      <c r="Q915" s="458"/>
      <c r="R915" s="458"/>
      <c r="S915" s="458"/>
      <c r="T915" s="458"/>
      <c r="U915" s="458"/>
      <c r="V915" s="458"/>
      <c r="W915" s="458"/>
      <c r="X915" s="458"/>
      <c r="Y915" s="458"/>
    </row>
    <row r="916" spans="1:25">
      <c r="A916" s="460"/>
      <c r="B916" s="461"/>
      <c r="C916" s="458"/>
      <c r="D916" s="459"/>
      <c r="E916" s="459"/>
      <c r="F916" s="459"/>
      <c r="G916" s="459"/>
      <c r="H916" s="459"/>
      <c r="I916" s="459"/>
      <c r="J916" s="458"/>
      <c r="K916" s="458"/>
      <c r="L916" s="458"/>
      <c r="M916" s="458"/>
      <c r="N916" s="458"/>
      <c r="O916" s="458"/>
      <c r="P916" s="458"/>
      <c r="Q916" s="458"/>
      <c r="R916" s="458"/>
      <c r="S916" s="458"/>
      <c r="T916" s="458"/>
      <c r="U916" s="458"/>
      <c r="V916" s="458"/>
      <c r="W916" s="458"/>
      <c r="X916" s="458"/>
      <c r="Y916" s="458"/>
    </row>
    <row r="917" spans="1:25">
      <c r="A917" s="460"/>
      <c r="B917" s="461"/>
      <c r="C917" s="458"/>
      <c r="D917" s="459"/>
      <c r="E917" s="459"/>
      <c r="F917" s="459"/>
      <c r="G917" s="459"/>
      <c r="H917" s="459"/>
      <c r="I917" s="459"/>
      <c r="J917" s="458"/>
      <c r="K917" s="458"/>
      <c r="L917" s="458"/>
      <c r="M917" s="458"/>
      <c r="N917" s="458"/>
      <c r="O917" s="458"/>
      <c r="P917" s="458"/>
      <c r="Q917" s="458"/>
      <c r="R917" s="458"/>
      <c r="S917" s="458"/>
      <c r="T917" s="458"/>
      <c r="U917" s="458"/>
      <c r="V917" s="458"/>
      <c r="W917" s="458"/>
      <c r="X917" s="458"/>
      <c r="Y917" s="458"/>
    </row>
    <row r="918" spans="1:25">
      <c r="A918" s="460"/>
      <c r="B918" s="461"/>
      <c r="C918" s="458"/>
      <c r="D918" s="459"/>
      <c r="E918" s="459"/>
      <c r="F918" s="459"/>
      <c r="G918" s="459"/>
      <c r="H918" s="459"/>
      <c r="I918" s="459"/>
      <c r="J918" s="458"/>
      <c r="K918" s="458"/>
      <c r="L918" s="458"/>
      <c r="M918" s="458"/>
      <c r="N918" s="458"/>
      <c r="O918" s="458"/>
      <c r="P918" s="458"/>
      <c r="Q918" s="458"/>
      <c r="R918" s="458"/>
      <c r="S918" s="458"/>
      <c r="T918" s="458"/>
      <c r="U918" s="458"/>
      <c r="V918" s="458"/>
      <c r="W918" s="458"/>
      <c r="X918" s="458"/>
      <c r="Y918" s="458"/>
    </row>
    <row r="919" spans="1:25">
      <c r="A919" s="460"/>
      <c r="B919" s="461"/>
      <c r="C919" s="458"/>
      <c r="D919" s="459"/>
      <c r="E919" s="459"/>
      <c r="F919" s="459"/>
      <c r="G919" s="459"/>
      <c r="H919" s="459"/>
      <c r="I919" s="459"/>
      <c r="J919" s="458"/>
      <c r="K919" s="458"/>
      <c r="L919" s="458"/>
      <c r="M919" s="458"/>
      <c r="N919" s="458"/>
      <c r="O919" s="458"/>
      <c r="P919" s="458"/>
      <c r="Q919" s="458"/>
      <c r="R919" s="458"/>
      <c r="S919" s="458"/>
      <c r="T919" s="458"/>
      <c r="U919" s="458"/>
      <c r="V919" s="458"/>
      <c r="W919" s="458"/>
      <c r="X919" s="458"/>
      <c r="Y919" s="458"/>
    </row>
    <row r="920" spans="1:25">
      <c r="A920" s="460"/>
      <c r="B920" s="461"/>
      <c r="C920" s="458"/>
      <c r="D920" s="459"/>
      <c r="E920" s="459"/>
      <c r="F920" s="459"/>
      <c r="G920" s="459"/>
      <c r="H920" s="459"/>
      <c r="I920" s="459"/>
      <c r="J920" s="458"/>
      <c r="K920" s="458"/>
      <c r="L920" s="458"/>
      <c r="M920" s="458"/>
      <c r="N920" s="458"/>
      <c r="O920" s="458"/>
      <c r="P920" s="458"/>
      <c r="Q920" s="458"/>
      <c r="R920" s="458"/>
      <c r="S920" s="458"/>
      <c r="T920" s="458"/>
      <c r="U920" s="458"/>
      <c r="V920" s="458"/>
      <c r="W920" s="458"/>
      <c r="X920" s="458"/>
      <c r="Y920" s="458"/>
    </row>
    <row r="921" spans="1:25">
      <c r="A921" s="460"/>
      <c r="B921" s="461"/>
      <c r="C921" s="458"/>
      <c r="D921" s="459"/>
      <c r="E921" s="459"/>
      <c r="F921" s="459"/>
      <c r="G921" s="459"/>
      <c r="H921" s="459"/>
      <c r="I921" s="459"/>
      <c r="J921" s="458"/>
      <c r="K921" s="458"/>
      <c r="L921" s="458"/>
      <c r="M921" s="458"/>
      <c r="N921" s="458"/>
      <c r="O921" s="458"/>
      <c r="P921" s="458"/>
      <c r="Q921" s="458"/>
      <c r="R921" s="458"/>
      <c r="S921" s="458"/>
      <c r="T921" s="458"/>
      <c r="U921" s="458"/>
      <c r="V921" s="458"/>
      <c r="W921" s="458"/>
      <c r="X921" s="458"/>
      <c r="Y921" s="458"/>
    </row>
    <row r="922" spans="1:25">
      <c r="A922" s="460"/>
      <c r="B922" s="461"/>
      <c r="C922" s="458"/>
      <c r="D922" s="459"/>
      <c r="E922" s="459"/>
      <c r="F922" s="459"/>
      <c r="G922" s="459"/>
      <c r="H922" s="459"/>
      <c r="I922" s="459"/>
      <c r="J922" s="458"/>
      <c r="K922" s="458"/>
      <c r="L922" s="458"/>
      <c r="M922" s="458"/>
      <c r="N922" s="458"/>
      <c r="O922" s="458"/>
      <c r="P922" s="458"/>
      <c r="Q922" s="458"/>
      <c r="R922" s="458"/>
      <c r="S922" s="458"/>
      <c r="T922" s="458"/>
      <c r="U922" s="458"/>
      <c r="V922" s="458"/>
      <c r="W922" s="458"/>
      <c r="X922" s="458"/>
      <c r="Y922" s="458"/>
    </row>
    <row r="923" spans="1:25">
      <c r="A923" s="460"/>
      <c r="B923" s="461"/>
      <c r="C923" s="458"/>
      <c r="D923" s="459"/>
      <c r="E923" s="459"/>
      <c r="F923" s="459"/>
      <c r="G923" s="459"/>
      <c r="H923" s="459"/>
      <c r="I923" s="459"/>
      <c r="J923" s="458"/>
      <c r="K923" s="458"/>
      <c r="L923" s="458"/>
      <c r="M923" s="458"/>
      <c r="N923" s="458"/>
      <c r="O923" s="458"/>
      <c r="P923" s="458"/>
      <c r="Q923" s="458"/>
      <c r="R923" s="458"/>
      <c r="S923" s="458"/>
      <c r="T923" s="458"/>
      <c r="U923" s="458"/>
      <c r="V923" s="458"/>
      <c r="W923" s="458"/>
      <c r="X923" s="458"/>
      <c r="Y923" s="458"/>
    </row>
    <row r="924" spans="1:25">
      <c r="A924" s="460"/>
      <c r="B924" s="461"/>
      <c r="C924" s="458"/>
      <c r="D924" s="459"/>
      <c r="E924" s="459"/>
      <c r="F924" s="459"/>
      <c r="G924" s="459"/>
      <c r="H924" s="459"/>
      <c r="I924" s="459"/>
      <c r="J924" s="458"/>
      <c r="K924" s="458"/>
      <c r="L924" s="458"/>
      <c r="M924" s="458"/>
      <c r="N924" s="458"/>
      <c r="O924" s="458"/>
      <c r="P924" s="458"/>
      <c r="Q924" s="458"/>
      <c r="R924" s="458"/>
      <c r="S924" s="458"/>
      <c r="T924" s="458"/>
      <c r="U924" s="458"/>
      <c r="V924" s="458"/>
      <c r="W924" s="458"/>
      <c r="X924" s="458"/>
      <c r="Y924" s="458"/>
    </row>
    <row r="925" spans="1:25">
      <c r="A925" s="460"/>
      <c r="B925" s="461"/>
      <c r="C925" s="458"/>
      <c r="D925" s="459"/>
      <c r="E925" s="459"/>
      <c r="F925" s="459"/>
      <c r="G925" s="459"/>
      <c r="H925" s="459"/>
      <c r="I925" s="459"/>
      <c r="J925" s="458"/>
      <c r="K925" s="458"/>
      <c r="L925" s="458"/>
      <c r="M925" s="458"/>
      <c r="N925" s="458"/>
      <c r="O925" s="458"/>
      <c r="P925" s="458"/>
      <c r="Q925" s="458"/>
      <c r="R925" s="458"/>
      <c r="S925" s="458"/>
      <c r="T925" s="458"/>
      <c r="U925" s="458"/>
      <c r="V925" s="458"/>
      <c r="W925" s="458"/>
      <c r="X925" s="458"/>
      <c r="Y925" s="458"/>
    </row>
    <row r="926" spans="1:25">
      <c r="A926" s="460"/>
      <c r="B926" s="461"/>
      <c r="C926" s="458"/>
      <c r="D926" s="459"/>
      <c r="E926" s="459"/>
      <c r="F926" s="459"/>
      <c r="G926" s="459"/>
      <c r="H926" s="459"/>
      <c r="I926" s="459"/>
      <c r="J926" s="458"/>
      <c r="K926" s="458"/>
      <c r="L926" s="458"/>
      <c r="M926" s="458"/>
      <c r="N926" s="458"/>
      <c r="O926" s="458"/>
      <c r="P926" s="458"/>
      <c r="Q926" s="458"/>
      <c r="R926" s="458"/>
      <c r="S926" s="458"/>
      <c r="T926" s="458"/>
      <c r="U926" s="458"/>
      <c r="V926" s="458"/>
      <c r="W926" s="458"/>
      <c r="X926" s="458"/>
      <c r="Y926" s="458"/>
    </row>
    <row r="927" spans="1:25">
      <c r="A927" s="460"/>
      <c r="B927" s="461"/>
      <c r="C927" s="458"/>
      <c r="D927" s="459"/>
      <c r="E927" s="459"/>
      <c r="F927" s="459"/>
      <c r="G927" s="459"/>
      <c r="H927" s="459"/>
      <c r="I927" s="459"/>
      <c r="J927" s="458"/>
      <c r="K927" s="458"/>
      <c r="L927" s="458"/>
      <c r="M927" s="458"/>
      <c r="N927" s="458"/>
      <c r="O927" s="458"/>
      <c r="P927" s="458"/>
      <c r="Q927" s="458"/>
      <c r="R927" s="458"/>
      <c r="S927" s="458"/>
      <c r="T927" s="458"/>
      <c r="U927" s="458"/>
      <c r="V927" s="458"/>
      <c r="W927" s="458"/>
      <c r="X927" s="458"/>
      <c r="Y927" s="458"/>
    </row>
    <row r="928" spans="1:25">
      <c r="A928" s="460"/>
      <c r="B928" s="461"/>
      <c r="C928" s="458"/>
      <c r="D928" s="459"/>
      <c r="E928" s="459"/>
      <c r="F928" s="459"/>
      <c r="G928" s="459"/>
      <c r="H928" s="459"/>
      <c r="I928" s="459"/>
      <c r="J928" s="458"/>
      <c r="K928" s="458"/>
      <c r="L928" s="458"/>
      <c r="M928" s="458"/>
      <c r="N928" s="458"/>
      <c r="O928" s="458"/>
      <c r="P928" s="458"/>
      <c r="Q928" s="458"/>
      <c r="R928" s="458"/>
      <c r="S928" s="458"/>
      <c r="T928" s="458"/>
      <c r="U928" s="458"/>
      <c r="V928" s="458"/>
      <c r="W928" s="458"/>
      <c r="X928" s="458"/>
      <c r="Y928" s="458"/>
    </row>
    <row r="929" spans="1:25">
      <c r="A929" s="460"/>
      <c r="B929" s="461"/>
      <c r="C929" s="458"/>
      <c r="D929" s="459"/>
      <c r="E929" s="459"/>
      <c r="F929" s="459"/>
      <c r="G929" s="459"/>
      <c r="H929" s="459"/>
      <c r="I929" s="459"/>
      <c r="J929" s="458"/>
      <c r="K929" s="458"/>
      <c r="L929" s="458"/>
      <c r="M929" s="458"/>
      <c r="N929" s="458"/>
      <c r="O929" s="458"/>
      <c r="P929" s="458"/>
      <c r="Q929" s="458"/>
      <c r="R929" s="458"/>
      <c r="S929" s="458"/>
      <c r="T929" s="458"/>
      <c r="U929" s="458"/>
      <c r="V929" s="458"/>
      <c r="W929" s="458"/>
      <c r="X929" s="458"/>
      <c r="Y929" s="458"/>
    </row>
    <row r="930" spans="1:25">
      <c r="A930" s="460"/>
      <c r="B930" s="461"/>
      <c r="C930" s="458"/>
      <c r="D930" s="459"/>
      <c r="E930" s="459"/>
      <c r="F930" s="459"/>
      <c r="G930" s="459"/>
      <c r="H930" s="459"/>
      <c r="I930" s="459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>
      <c r="A931" s="460"/>
      <c r="B931" s="461"/>
      <c r="C931" s="458"/>
      <c r="D931" s="459"/>
      <c r="E931" s="459"/>
      <c r="F931" s="459"/>
      <c r="G931" s="459"/>
      <c r="H931" s="459"/>
      <c r="I931" s="459"/>
      <c r="J931" s="458"/>
      <c r="K931" s="458"/>
      <c r="L931" s="458"/>
      <c r="M931" s="458"/>
      <c r="N931" s="458"/>
      <c r="O931" s="458"/>
      <c r="P931" s="458"/>
      <c r="Q931" s="458"/>
      <c r="R931" s="458"/>
      <c r="S931" s="458"/>
      <c r="T931" s="458"/>
      <c r="U931" s="458"/>
      <c r="V931" s="458"/>
      <c r="W931" s="458"/>
      <c r="X931" s="458"/>
      <c r="Y931" s="458"/>
    </row>
    <row r="932" spans="1:25">
      <c r="A932" s="460"/>
      <c r="B932" s="461"/>
      <c r="C932" s="458"/>
      <c r="D932" s="459"/>
      <c r="E932" s="459"/>
      <c r="F932" s="459"/>
      <c r="G932" s="459"/>
      <c r="H932" s="459"/>
      <c r="I932" s="459"/>
      <c r="J932" s="458"/>
      <c r="K932" s="458"/>
      <c r="L932" s="458"/>
      <c r="M932" s="458"/>
      <c r="N932" s="458"/>
      <c r="O932" s="458"/>
      <c r="P932" s="458"/>
      <c r="Q932" s="458"/>
      <c r="R932" s="458"/>
      <c r="S932" s="458"/>
      <c r="T932" s="458"/>
      <c r="U932" s="458"/>
      <c r="V932" s="458"/>
      <c r="W932" s="458"/>
      <c r="X932" s="458"/>
      <c r="Y932" s="458"/>
    </row>
    <row r="933" spans="1:25">
      <c r="A933" s="460"/>
      <c r="B933" s="461"/>
      <c r="C933" s="458"/>
      <c r="D933" s="459"/>
      <c r="E933" s="459"/>
      <c r="F933" s="459"/>
      <c r="G933" s="459"/>
      <c r="H933" s="459"/>
      <c r="I933" s="459"/>
      <c r="J933" s="458"/>
      <c r="K933" s="458"/>
      <c r="L933" s="458"/>
      <c r="M933" s="458"/>
      <c r="N933" s="458"/>
      <c r="O933" s="458"/>
      <c r="P933" s="458"/>
      <c r="Q933" s="458"/>
      <c r="R933" s="458"/>
      <c r="S933" s="458"/>
      <c r="T933" s="458"/>
      <c r="U933" s="458"/>
      <c r="V933" s="458"/>
      <c r="W933" s="458"/>
      <c r="X933" s="458"/>
      <c r="Y933" s="458"/>
    </row>
    <row r="934" spans="1:25">
      <c r="A934" s="460"/>
      <c r="B934" s="461"/>
      <c r="C934" s="458"/>
      <c r="D934" s="459"/>
      <c r="E934" s="459"/>
      <c r="F934" s="459"/>
      <c r="G934" s="459"/>
      <c r="H934" s="459"/>
      <c r="I934" s="459"/>
      <c r="J934" s="458"/>
      <c r="K934" s="458"/>
      <c r="L934" s="458"/>
      <c r="M934" s="458"/>
      <c r="N934" s="458"/>
      <c r="O934" s="458"/>
      <c r="P934" s="458"/>
      <c r="Q934" s="458"/>
      <c r="R934" s="458"/>
      <c r="S934" s="458"/>
      <c r="T934" s="458"/>
      <c r="U934" s="458"/>
      <c r="V934" s="458"/>
      <c r="W934" s="458"/>
      <c r="X934" s="458"/>
      <c r="Y934" s="458"/>
    </row>
    <row r="935" spans="1:25">
      <c r="A935" s="460"/>
      <c r="B935" s="461"/>
      <c r="C935" s="458"/>
      <c r="D935" s="459"/>
      <c r="E935" s="459"/>
      <c r="F935" s="459"/>
      <c r="G935" s="459"/>
      <c r="H935" s="459"/>
      <c r="I935" s="459"/>
      <c r="J935" s="458"/>
      <c r="K935" s="458"/>
      <c r="L935" s="458"/>
      <c r="M935" s="458"/>
      <c r="N935" s="458"/>
      <c r="O935" s="458"/>
      <c r="P935" s="458"/>
      <c r="Q935" s="458"/>
      <c r="R935" s="458"/>
      <c r="S935" s="458"/>
      <c r="T935" s="458"/>
      <c r="U935" s="458"/>
      <c r="V935" s="458"/>
      <c r="W935" s="458"/>
      <c r="X935" s="458"/>
      <c r="Y935" s="458"/>
    </row>
    <row r="936" spans="1:25">
      <c r="A936" s="460"/>
      <c r="B936" s="461"/>
      <c r="C936" s="458"/>
      <c r="D936" s="459"/>
      <c r="E936" s="459"/>
      <c r="F936" s="459"/>
      <c r="G936" s="459"/>
      <c r="H936" s="459"/>
      <c r="I936" s="459"/>
      <c r="J936" s="458"/>
      <c r="K936" s="458"/>
      <c r="L936" s="458"/>
      <c r="M936" s="458"/>
      <c r="N936" s="458"/>
      <c r="O936" s="458"/>
      <c r="P936" s="458"/>
      <c r="Q936" s="458"/>
      <c r="R936" s="458"/>
      <c r="S936" s="458"/>
      <c r="T936" s="458"/>
      <c r="U936" s="458"/>
      <c r="V936" s="458"/>
      <c r="W936" s="458"/>
      <c r="X936" s="458"/>
      <c r="Y936" s="458"/>
    </row>
    <row r="937" spans="1:25">
      <c r="A937" s="460"/>
      <c r="B937" s="461"/>
      <c r="C937" s="458"/>
      <c r="D937" s="459"/>
      <c r="E937" s="459"/>
      <c r="F937" s="459"/>
      <c r="G937" s="459"/>
      <c r="H937" s="459"/>
      <c r="I937" s="459"/>
      <c r="J937" s="458"/>
      <c r="K937" s="458"/>
      <c r="L937" s="458"/>
      <c r="M937" s="458"/>
      <c r="N937" s="458"/>
      <c r="O937" s="458"/>
      <c r="P937" s="458"/>
      <c r="Q937" s="458"/>
      <c r="R937" s="458"/>
      <c r="S937" s="458"/>
      <c r="T937" s="458"/>
      <c r="U937" s="458"/>
      <c r="V937" s="458"/>
      <c r="W937" s="458"/>
      <c r="X937" s="458"/>
      <c r="Y937" s="458"/>
    </row>
    <row r="938" spans="1:25">
      <c r="A938" s="460"/>
      <c r="B938" s="461"/>
      <c r="C938" s="458"/>
      <c r="D938" s="459"/>
      <c r="E938" s="459"/>
      <c r="F938" s="459"/>
      <c r="G938" s="459"/>
      <c r="H938" s="459"/>
      <c r="I938" s="459"/>
      <c r="J938" s="458"/>
      <c r="K938" s="458"/>
      <c r="L938" s="458"/>
      <c r="M938" s="458"/>
      <c r="N938" s="458"/>
      <c r="O938" s="458"/>
      <c r="P938" s="458"/>
      <c r="Q938" s="458"/>
      <c r="R938" s="458"/>
      <c r="S938" s="458"/>
      <c r="T938" s="458"/>
      <c r="U938" s="458"/>
      <c r="V938" s="458"/>
      <c r="W938" s="458"/>
      <c r="X938" s="458"/>
      <c r="Y938" s="458"/>
    </row>
    <row r="939" spans="1:25">
      <c r="A939" s="460"/>
      <c r="B939" s="461"/>
      <c r="C939" s="458"/>
      <c r="D939" s="459"/>
      <c r="E939" s="459"/>
      <c r="F939" s="459"/>
      <c r="G939" s="459"/>
      <c r="H939" s="459"/>
      <c r="I939" s="459"/>
      <c r="J939" s="458"/>
      <c r="K939" s="458"/>
      <c r="L939" s="458"/>
      <c r="M939" s="458"/>
      <c r="N939" s="458"/>
      <c r="O939" s="458"/>
      <c r="P939" s="458"/>
      <c r="Q939" s="458"/>
      <c r="R939" s="458"/>
      <c r="S939" s="458"/>
      <c r="T939" s="458"/>
      <c r="U939" s="458"/>
      <c r="V939" s="458"/>
      <c r="W939" s="458"/>
      <c r="X939" s="458"/>
      <c r="Y939" s="458"/>
    </row>
    <row r="940" spans="1:25">
      <c r="A940" s="460"/>
      <c r="B940" s="461"/>
      <c r="C940" s="458"/>
      <c r="D940" s="459"/>
      <c r="E940" s="459"/>
      <c r="F940" s="459"/>
      <c r="G940" s="459"/>
      <c r="H940" s="459"/>
      <c r="I940" s="459"/>
      <c r="J940" s="458"/>
      <c r="K940" s="458"/>
      <c r="L940" s="458"/>
      <c r="M940" s="458"/>
      <c r="N940" s="458"/>
      <c r="O940" s="458"/>
      <c r="P940" s="458"/>
      <c r="Q940" s="458"/>
      <c r="R940" s="458"/>
      <c r="S940" s="458"/>
      <c r="T940" s="458"/>
      <c r="U940" s="458"/>
      <c r="V940" s="458"/>
      <c r="W940" s="458"/>
      <c r="X940" s="458"/>
      <c r="Y940" s="458"/>
    </row>
    <row r="941" spans="1:25">
      <c r="A941" s="460"/>
      <c r="B941" s="461"/>
      <c r="C941" s="458"/>
      <c r="D941" s="459"/>
      <c r="E941" s="459"/>
      <c r="F941" s="459"/>
      <c r="G941" s="459"/>
      <c r="H941" s="459"/>
      <c r="I941" s="459"/>
      <c r="J941" s="458"/>
      <c r="K941" s="458"/>
      <c r="L941" s="458"/>
      <c r="M941" s="458"/>
      <c r="N941" s="458"/>
      <c r="O941" s="458"/>
      <c r="P941" s="458"/>
      <c r="Q941" s="458"/>
      <c r="R941" s="458"/>
      <c r="S941" s="458"/>
      <c r="T941" s="458"/>
      <c r="U941" s="458"/>
      <c r="V941" s="458"/>
      <c r="W941" s="458"/>
      <c r="X941" s="458"/>
      <c r="Y941" s="458"/>
    </row>
    <row r="942" spans="1:25">
      <c r="A942" s="460"/>
      <c r="B942" s="461"/>
      <c r="C942" s="458"/>
      <c r="D942" s="459"/>
      <c r="E942" s="459"/>
      <c r="F942" s="459"/>
      <c r="G942" s="459"/>
      <c r="H942" s="459"/>
      <c r="I942" s="459"/>
      <c r="J942" s="458"/>
      <c r="K942" s="458"/>
      <c r="L942" s="458"/>
      <c r="M942" s="458"/>
      <c r="N942" s="458"/>
      <c r="O942" s="458"/>
      <c r="P942" s="458"/>
      <c r="Q942" s="458"/>
      <c r="R942" s="458"/>
      <c r="S942" s="458"/>
      <c r="T942" s="458"/>
      <c r="U942" s="458"/>
      <c r="V942" s="458"/>
      <c r="W942" s="458"/>
      <c r="X942" s="458"/>
      <c r="Y942" s="458"/>
    </row>
    <row r="943" spans="1:25">
      <c r="A943" s="460"/>
      <c r="B943" s="461"/>
      <c r="C943" s="458"/>
      <c r="D943" s="459"/>
      <c r="E943" s="459"/>
      <c r="F943" s="459"/>
      <c r="G943" s="459"/>
      <c r="H943" s="459"/>
      <c r="I943" s="459"/>
      <c r="J943" s="458"/>
      <c r="K943" s="458"/>
      <c r="L943" s="458"/>
      <c r="M943" s="458"/>
      <c r="N943" s="458"/>
      <c r="O943" s="458"/>
      <c r="P943" s="458"/>
      <c r="Q943" s="458"/>
      <c r="R943" s="458"/>
      <c r="S943" s="458"/>
      <c r="T943" s="458"/>
      <c r="U943" s="458"/>
      <c r="V943" s="458"/>
      <c r="W943" s="458"/>
      <c r="X943" s="458"/>
      <c r="Y943" s="458"/>
    </row>
    <row r="944" spans="1:25">
      <c r="A944" s="460"/>
      <c r="B944" s="461"/>
      <c r="C944" s="458"/>
      <c r="D944" s="459"/>
      <c r="E944" s="459"/>
      <c r="F944" s="459"/>
      <c r="G944" s="459"/>
      <c r="H944" s="459"/>
      <c r="I944" s="459"/>
      <c r="J944" s="458"/>
      <c r="K944" s="458"/>
      <c r="L944" s="458"/>
      <c r="M944" s="458"/>
      <c r="N944" s="458"/>
      <c r="O944" s="458"/>
      <c r="P944" s="458"/>
      <c r="Q944" s="458"/>
      <c r="R944" s="458"/>
      <c r="S944" s="458"/>
      <c r="T944" s="458"/>
      <c r="U944" s="458"/>
      <c r="V944" s="458"/>
      <c r="W944" s="458"/>
      <c r="X944" s="458"/>
      <c r="Y944" s="458"/>
    </row>
    <row r="945" spans="1:25">
      <c r="A945" s="460"/>
      <c r="B945" s="461"/>
      <c r="C945" s="458"/>
      <c r="D945" s="459"/>
      <c r="E945" s="459"/>
      <c r="F945" s="459"/>
      <c r="G945" s="459"/>
      <c r="H945" s="459"/>
      <c r="I945" s="459"/>
      <c r="J945" s="458"/>
      <c r="K945" s="458"/>
      <c r="L945" s="458"/>
      <c r="M945" s="458"/>
      <c r="N945" s="458"/>
      <c r="O945" s="458"/>
      <c r="P945" s="458"/>
      <c r="Q945" s="458"/>
      <c r="R945" s="458"/>
      <c r="S945" s="458"/>
      <c r="T945" s="458"/>
      <c r="U945" s="458"/>
      <c r="V945" s="458"/>
      <c r="W945" s="458"/>
      <c r="X945" s="458"/>
      <c r="Y945" s="458"/>
    </row>
    <row r="946" spans="1:25">
      <c r="A946" s="460"/>
      <c r="B946" s="461"/>
      <c r="C946" s="458"/>
      <c r="D946" s="459"/>
      <c r="E946" s="459"/>
      <c r="F946" s="459"/>
      <c r="G946" s="459"/>
      <c r="H946" s="459"/>
      <c r="I946" s="459"/>
      <c r="J946" s="458"/>
      <c r="K946" s="458"/>
      <c r="L946" s="458"/>
      <c r="M946" s="458"/>
      <c r="N946" s="458"/>
      <c r="O946" s="458"/>
      <c r="P946" s="458"/>
      <c r="Q946" s="458"/>
      <c r="R946" s="458"/>
      <c r="S946" s="458"/>
      <c r="T946" s="458"/>
      <c r="U946" s="458"/>
      <c r="V946" s="458"/>
      <c r="W946" s="458"/>
      <c r="X946" s="458"/>
      <c r="Y946" s="458"/>
    </row>
    <row r="947" spans="1:25">
      <c r="A947" s="460"/>
      <c r="B947" s="461"/>
      <c r="C947" s="458"/>
      <c r="D947" s="459"/>
      <c r="E947" s="459"/>
      <c r="F947" s="459"/>
      <c r="G947" s="459"/>
      <c r="H947" s="459"/>
      <c r="I947" s="459"/>
      <c r="J947" s="458"/>
      <c r="K947" s="458"/>
      <c r="L947" s="458"/>
      <c r="M947" s="458"/>
      <c r="N947" s="458"/>
      <c r="O947" s="458"/>
      <c r="P947" s="458"/>
      <c r="Q947" s="458"/>
      <c r="R947" s="458"/>
      <c r="S947" s="458"/>
      <c r="T947" s="458"/>
      <c r="U947" s="458"/>
      <c r="V947" s="458"/>
      <c r="W947" s="458"/>
      <c r="X947" s="458"/>
      <c r="Y947" s="458"/>
    </row>
    <row r="948" spans="1:25">
      <c r="A948" s="460"/>
      <c r="B948" s="461"/>
      <c r="C948" s="458"/>
      <c r="D948" s="459"/>
      <c r="E948" s="459"/>
      <c r="F948" s="459"/>
      <c r="G948" s="459"/>
      <c r="H948" s="459"/>
      <c r="I948" s="459"/>
      <c r="J948" s="458"/>
      <c r="K948" s="458"/>
      <c r="L948" s="458"/>
      <c r="M948" s="458"/>
      <c r="N948" s="458"/>
      <c r="O948" s="458"/>
      <c r="P948" s="458"/>
      <c r="Q948" s="458"/>
      <c r="R948" s="458"/>
      <c r="S948" s="458"/>
      <c r="T948" s="458"/>
      <c r="U948" s="458"/>
      <c r="V948" s="458"/>
      <c r="W948" s="458"/>
      <c r="X948" s="458"/>
      <c r="Y948" s="458"/>
    </row>
    <row r="949" spans="1:25">
      <c r="A949" s="460"/>
      <c r="B949" s="461"/>
      <c r="C949" s="458"/>
      <c r="D949" s="459"/>
      <c r="E949" s="459"/>
      <c r="F949" s="459"/>
      <c r="G949" s="459"/>
      <c r="H949" s="459"/>
      <c r="I949" s="459"/>
      <c r="J949" s="458"/>
      <c r="K949" s="458"/>
      <c r="L949" s="458"/>
      <c r="M949" s="458"/>
      <c r="N949" s="458"/>
      <c r="O949" s="458"/>
      <c r="P949" s="458"/>
      <c r="Q949" s="458"/>
      <c r="R949" s="458"/>
      <c r="S949" s="458"/>
      <c r="T949" s="458"/>
      <c r="U949" s="458"/>
      <c r="V949" s="458"/>
      <c r="W949" s="458"/>
      <c r="X949" s="458"/>
      <c r="Y949" s="458"/>
    </row>
    <row r="950" spans="1:25">
      <c r="A950" s="460"/>
      <c r="B950" s="461"/>
      <c r="C950" s="458"/>
      <c r="D950" s="459"/>
      <c r="E950" s="459"/>
      <c r="F950" s="459"/>
      <c r="G950" s="459"/>
      <c r="H950" s="459"/>
      <c r="I950" s="459"/>
      <c r="J950" s="458"/>
      <c r="K950" s="458"/>
      <c r="L950" s="458"/>
      <c r="M950" s="458"/>
      <c r="N950" s="458"/>
      <c r="O950" s="458"/>
      <c r="P950" s="458"/>
      <c r="Q950" s="458"/>
      <c r="R950" s="458"/>
      <c r="S950" s="458"/>
      <c r="T950" s="458"/>
      <c r="U950" s="458"/>
      <c r="V950" s="458"/>
      <c r="W950" s="458"/>
      <c r="X950" s="458"/>
      <c r="Y950" s="458"/>
    </row>
    <row r="951" spans="1:25">
      <c r="A951" s="460"/>
      <c r="B951" s="461"/>
      <c r="C951" s="458"/>
      <c r="D951" s="459"/>
      <c r="E951" s="459"/>
      <c r="F951" s="459"/>
      <c r="G951" s="459"/>
      <c r="H951" s="459"/>
      <c r="I951" s="459"/>
      <c r="J951" s="458"/>
      <c r="K951" s="458"/>
      <c r="L951" s="458"/>
      <c r="M951" s="458"/>
      <c r="N951" s="458"/>
      <c r="O951" s="458"/>
      <c r="P951" s="458"/>
      <c r="Q951" s="458"/>
      <c r="R951" s="458"/>
      <c r="S951" s="458"/>
      <c r="T951" s="458"/>
      <c r="U951" s="458"/>
      <c r="V951" s="458"/>
      <c r="W951" s="458"/>
      <c r="X951" s="458"/>
      <c r="Y951" s="458"/>
    </row>
    <row r="952" spans="1:25">
      <c r="A952" s="460"/>
      <c r="B952" s="461"/>
      <c r="C952" s="458"/>
      <c r="D952" s="459"/>
      <c r="E952" s="459"/>
      <c r="F952" s="459"/>
      <c r="G952" s="459"/>
      <c r="H952" s="459"/>
      <c r="I952" s="459"/>
      <c r="J952" s="458"/>
      <c r="K952" s="458"/>
      <c r="L952" s="458"/>
      <c r="M952" s="458"/>
      <c r="N952" s="458"/>
      <c r="O952" s="458"/>
      <c r="P952" s="458"/>
      <c r="Q952" s="458"/>
      <c r="R952" s="458"/>
      <c r="S952" s="458"/>
      <c r="T952" s="458"/>
      <c r="U952" s="458"/>
      <c r="V952" s="458"/>
      <c r="W952" s="458"/>
      <c r="X952" s="458"/>
      <c r="Y952" s="458"/>
    </row>
    <row r="953" spans="1:25">
      <c r="A953" s="460"/>
      <c r="B953" s="461"/>
      <c r="C953" s="458"/>
      <c r="D953" s="459"/>
      <c r="E953" s="459"/>
      <c r="F953" s="459"/>
      <c r="G953" s="459"/>
      <c r="H953" s="459"/>
      <c r="I953" s="459"/>
      <c r="J953" s="458"/>
      <c r="K953" s="458"/>
      <c r="L953" s="458"/>
      <c r="M953" s="458"/>
      <c r="N953" s="458"/>
      <c r="O953" s="458"/>
      <c r="P953" s="458"/>
      <c r="Q953" s="458"/>
      <c r="R953" s="458"/>
      <c r="S953" s="458"/>
      <c r="T953" s="458"/>
      <c r="U953" s="458"/>
      <c r="V953" s="458"/>
      <c r="W953" s="458"/>
      <c r="X953" s="458"/>
      <c r="Y953" s="458"/>
    </row>
    <row r="954" spans="1:25">
      <c r="A954" s="460"/>
      <c r="B954" s="461"/>
      <c r="C954" s="458"/>
      <c r="D954" s="459"/>
      <c r="E954" s="459"/>
      <c r="F954" s="459"/>
      <c r="G954" s="459"/>
      <c r="H954" s="459"/>
      <c r="I954" s="459"/>
      <c r="J954" s="458"/>
      <c r="K954" s="458"/>
      <c r="L954" s="458"/>
      <c r="M954" s="458"/>
      <c r="N954" s="458"/>
      <c r="O954" s="458"/>
      <c r="P954" s="458"/>
      <c r="Q954" s="458"/>
      <c r="R954" s="458"/>
      <c r="S954" s="458"/>
      <c r="T954" s="458"/>
      <c r="U954" s="458"/>
      <c r="V954" s="458"/>
      <c r="W954" s="458"/>
      <c r="X954" s="458"/>
      <c r="Y954" s="458"/>
    </row>
    <row r="955" spans="1:25">
      <c r="A955" s="460"/>
      <c r="B955" s="461"/>
      <c r="C955" s="458"/>
      <c r="D955" s="459"/>
      <c r="E955" s="459"/>
      <c r="F955" s="459"/>
      <c r="G955" s="459"/>
      <c r="H955" s="459"/>
      <c r="I955" s="459"/>
      <c r="J955" s="458"/>
      <c r="K955" s="458"/>
      <c r="L955" s="458"/>
      <c r="M955" s="458"/>
      <c r="N955" s="458"/>
      <c r="O955" s="458"/>
      <c r="P955" s="458"/>
      <c r="Q955" s="458"/>
      <c r="R955" s="458"/>
      <c r="S955" s="458"/>
      <c r="T955" s="458"/>
      <c r="U955" s="458"/>
      <c r="V955" s="458"/>
      <c r="W955" s="458"/>
      <c r="X955" s="458"/>
      <c r="Y955" s="458"/>
    </row>
    <row r="956" spans="1:25">
      <c r="A956" s="460"/>
      <c r="B956" s="461"/>
      <c r="C956" s="458"/>
      <c r="D956" s="459"/>
      <c r="E956" s="459"/>
      <c r="F956" s="459"/>
      <c r="G956" s="459"/>
      <c r="H956" s="459"/>
      <c r="I956" s="459"/>
      <c r="J956" s="458"/>
      <c r="K956" s="458"/>
      <c r="L956" s="458"/>
      <c r="M956" s="458"/>
      <c r="N956" s="458"/>
      <c r="O956" s="458"/>
      <c r="P956" s="458"/>
      <c r="Q956" s="458"/>
      <c r="R956" s="458"/>
      <c r="S956" s="458"/>
      <c r="T956" s="458"/>
      <c r="U956" s="458"/>
      <c r="V956" s="458"/>
      <c r="W956" s="458"/>
      <c r="X956" s="458"/>
      <c r="Y956" s="458"/>
    </row>
    <row r="957" spans="1:25">
      <c r="A957" s="460"/>
      <c r="B957" s="461"/>
      <c r="C957" s="458"/>
      <c r="D957" s="459"/>
      <c r="E957" s="459"/>
      <c r="F957" s="459"/>
      <c r="G957" s="459"/>
      <c r="H957" s="459"/>
      <c r="I957" s="459"/>
      <c r="J957" s="458"/>
      <c r="K957" s="458"/>
      <c r="L957" s="458"/>
      <c r="M957" s="458"/>
      <c r="N957" s="458"/>
      <c r="O957" s="458"/>
      <c r="P957" s="458"/>
      <c r="Q957" s="458"/>
      <c r="R957" s="458"/>
      <c r="S957" s="458"/>
      <c r="T957" s="458"/>
      <c r="U957" s="458"/>
      <c r="V957" s="458"/>
      <c r="W957" s="458"/>
      <c r="X957" s="458"/>
      <c r="Y957" s="458"/>
    </row>
    <row r="958" spans="1:25">
      <c r="A958" s="460"/>
      <c r="B958" s="461"/>
      <c r="C958" s="458"/>
      <c r="D958" s="459"/>
      <c r="E958" s="459"/>
      <c r="F958" s="459"/>
      <c r="G958" s="459"/>
      <c r="H958" s="459"/>
      <c r="I958" s="459"/>
      <c r="J958" s="458"/>
      <c r="K958" s="458"/>
      <c r="L958" s="458"/>
      <c r="M958" s="458"/>
      <c r="N958" s="458"/>
      <c r="O958" s="458"/>
      <c r="P958" s="458"/>
      <c r="Q958" s="458"/>
      <c r="R958" s="458"/>
      <c r="S958" s="458"/>
      <c r="T958" s="458"/>
      <c r="U958" s="458"/>
      <c r="V958" s="458"/>
      <c r="W958" s="458"/>
      <c r="X958" s="458"/>
      <c r="Y958" s="458"/>
    </row>
    <row r="959" spans="1:25">
      <c r="A959" s="460"/>
      <c r="B959" s="461"/>
      <c r="C959" s="458"/>
      <c r="D959" s="459"/>
      <c r="E959" s="459"/>
      <c r="F959" s="459"/>
      <c r="G959" s="459"/>
      <c r="H959" s="459"/>
      <c r="I959" s="459"/>
      <c r="J959" s="458"/>
      <c r="K959" s="458"/>
      <c r="L959" s="458"/>
      <c r="M959" s="458"/>
      <c r="N959" s="458"/>
      <c r="O959" s="458"/>
      <c r="P959" s="458"/>
      <c r="Q959" s="458"/>
      <c r="R959" s="458"/>
      <c r="S959" s="458"/>
      <c r="T959" s="458"/>
      <c r="U959" s="458"/>
      <c r="V959" s="458"/>
      <c r="W959" s="458"/>
      <c r="X959" s="458"/>
      <c r="Y959" s="458"/>
    </row>
    <row r="960" spans="1:25">
      <c r="A960" s="460"/>
      <c r="B960" s="461"/>
      <c r="C960" s="458"/>
      <c r="D960" s="459"/>
      <c r="E960" s="459"/>
      <c r="F960" s="459"/>
      <c r="G960" s="459"/>
      <c r="H960" s="459"/>
      <c r="I960" s="459"/>
      <c r="J960" s="458"/>
      <c r="K960" s="458"/>
      <c r="L960" s="458"/>
      <c r="M960" s="458"/>
      <c r="N960" s="458"/>
      <c r="O960" s="458"/>
      <c r="P960" s="458"/>
      <c r="Q960" s="458"/>
      <c r="R960" s="458"/>
      <c r="S960" s="458"/>
      <c r="T960" s="458"/>
      <c r="U960" s="458"/>
      <c r="V960" s="458"/>
      <c r="W960" s="458"/>
      <c r="X960" s="458"/>
      <c r="Y960" s="458"/>
    </row>
    <row r="961" spans="1:25">
      <c r="A961" s="460"/>
      <c r="B961" s="461"/>
      <c r="C961" s="458"/>
      <c r="D961" s="459"/>
      <c r="E961" s="459"/>
      <c r="F961" s="459"/>
      <c r="G961" s="459"/>
      <c r="H961" s="459"/>
      <c r="I961" s="459"/>
      <c r="J961" s="458"/>
      <c r="K961" s="458"/>
      <c r="L961" s="458"/>
      <c r="M961" s="458"/>
      <c r="N961" s="458"/>
      <c r="O961" s="458"/>
      <c r="P961" s="458"/>
      <c r="Q961" s="458"/>
      <c r="R961" s="458"/>
      <c r="S961" s="458"/>
      <c r="T961" s="458"/>
      <c r="U961" s="458"/>
      <c r="V961" s="458"/>
      <c r="W961" s="458"/>
      <c r="X961" s="458"/>
      <c r="Y961" s="458"/>
    </row>
    <row r="962" spans="1:25">
      <c r="A962" s="460"/>
      <c r="B962" s="461"/>
      <c r="C962" s="458"/>
      <c r="D962" s="459"/>
      <c r="E962" s="459"/>
      <c r="F962" s="459"/>
      <c r="G962" s="459"/>
      <c r="H962" s="459"/>
      <c r="I962" s="459"/>
      <c r="J962" s="458"/>
      <c r="K962" s="458"/>
      <c r="L962" s="458"/>
      <c r="M962" s="458"/>
      <c r="N962" s="458"/>
      <c r="O962" s="458"/>
      <c r="P962" s="458"/>
      <c r="Q962" s="458"/>
      <c r="R962" s="458"/>
      <c r="S962" s="458"/>
      <c r="T962" s="458"/>
      <c r="U962" s="458"/>
      <c r="V962" s="458"/>
      <c r="W962" s="458"/>
      <c r="X962" s="458"/>
      <c r="Y962" s="458"/>
    </row>
    <row r="963" spans="1:25">
      <c r="A963" s="460"/>
      <c r="B963" s="461"/>
      <c r="C963" s="458"/>
      <c r="D963" s="459"/>
      <c r="E963" s="459"/>
      <c r="F963" s="459"/>
      <c r="G963" s="459"/>
      <c r="H963" s="459"/>
      <c r="I963" s="459"/>
      <c r="J963" s="458"/>
      <c r="K963" s="458"/>
      <c r="L963" s="458"/>
      <c r="M963" s="458"/>
      <c r="N963" s="458"/>
      <c r="O963" s="458"/>
      <c r="P963" s="458"/>
      <c r="Q963" s="458"/>
      <c r="R963" s="458"/>
      <c r="S963" s="458"/>
      <c r="T963" s="458"/>
      <c r="U963" s="458"/>
      <c r="V963" s="458"/>
      <c r="W963" s="458"/>
      <c r="X963" s="458"/>
      <c r="Y963" s="458"/>
    </row>
    <row r="964" spans="1:25">
      <c r="A964" s="460"/>
      <c r="B964" s="461"/>
      <c r="C964" s="458"/>
      <c r="D964" s="459"/>
      <c r="E964" s="459"/>
      <c r="F964" s="459"/>
      <c r="G964" s="459"/>
      <c r="H964" s="459"/>
      <c r="I964" s="459"/>
      <c r="J964" s="458"/>
      <c r="K964" s="458"/>
      <c r="L964" s="458"/>
      <c r="M964" s="458"/>
      <c r="N964" s="458"/>
      <c r="O964" s="458"/>
      <c r="P964" s="458"/>
      <c r="Q964" s="458"/>
      <c r="R964" s="458"/>
      <c r="S964" s="458"/>
      <c r="T964" s="458"/>
      <c r="U964" s="458"/>
      <c r="V964" s="458"/>
      <c r="W964" s="458"/>
      <c r="X964" s="458"/>
      <c r="Y964" s="458"/>
    </row>
    <row r="965" spans="1:25">
      <c r="A965" s="460"/>
      <c r="B965" s="461"/>
      <c r="C965" s="458"/>
      <c r="D965" s="459"/>
      <c r="E965" s="459"/>
      <c r="F965" s="459"/>
      <c r="G965" s="459"/>
      <c r="H965" s="459"/>
      <c r="I965" s="459"/>
      <c r="J965" s="458"/>
      <c r="K965" s="458"/>
      <c r="L965" s="458"/>
      <c r="M965" s="458"/>
      <c r="N965" s="458"/>
      <c r="O965" s="458"/>
      <c r="P965" s="458"/>
      <c r="Q965" s="458"/>
      <c r="R965" s="458"/>
      <c r="S965" s="458"/>
      <c r="T965" s="458"/>
      <c r="U965" s="458"/>
      <c r="V965" s="458"/>
      <c r="W965" s="458"/>
      <c r="X965" s="458"/>
      <c r="Y965" s="458"/>
    </row>
    <row r="966" spans="1:25">
      <c r="A966" s="460"/>
      <c r="B966" s="461"/>
      <c r="C966" s="458"/>
      <c r="D966" s="459"/>
      <c r="E966" s="459"/>
      <c r="F966" s="459"/>
      <c r="G966" s="459"/>
      <c r="H966" s="459"/>
      <c r="I966" s="459"/>
      <c r="J966" s="458"/>
      <c r="K966" s="458"/>
      <c r="L966" s="458"/>
      <c r="M966" s="458"/>
      <c r="N966" s="458"/>
      <c r="O966" s="458"/>
      <c r="P966" s="458"/>
      <c r="Q966" s="458"/>
      <c r="R966" s="458"/>
      <c r="S966" s="458"/>
      <c r="T966" s="458"/>
      <c r="U966" s="458"/>
      <c r="V966" s="458"/>
      <c r="W966" s="458"/>
      <c r="X966" s="458"/>
      <c r="Y966" s="458"/>
    </row>
  </sheetData>
  <sheetProtection password="CA9F" sheet="1"/>
  <mergeCells count="11">
    <mergeCell ref="E1:I2"/>
    <mergeCell ref="A41:I41"/>
    <mergeCell ref="A1:B1"/>
    <mergeCell ref="A3:I3"/>
    <mergeCell ref="G5:I5"/>
    <mergeCell ref="D45:I45"/>
    <mergeCell ref="D52:I52"/>
    <mergeCell ref="G6:H6"/>
    <mergeCell ref="A5:D5"/>
    <mergeCell ref="A7:I7"/>
    <mergeCell ref="A21:I21"/>
  </mergeCells>
  <dataValidations count="3">
    <dataValidation type="decimal" allowBlank="1" showInputMessage="1" showErrorMessage="1" sqref="D11:I19">
      <formula1>0</formula1>
      <formula2>10000000000000000000</formula2>
    </dataValidation>
    <dataValidation type="decimal" allowBlank="1" showInputMessage="1" showErrorMessage="1" sqref="D25:I38">
      <formula1>0</formula1>
      <formula2>1E+25</formula2>
    </dataValidation>
    <dataValidation type="decimal" allowBlank="1" showInputMessage="1" showErrorMessage="1" sqref="D46:I65">
      <formula1>0</formula1>
      <formula2>1E+28</formula2>
    </dataValidation>
  </dataValidations>
  <pageMargins left="0.35" right="0.35" top="0.75" bottom="0.75" header="0.3" footer="0.3"/>
  <pageSetup scale="7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Y988"/>
  <sheetViews>
    <sheetView workbookViewId="0">
      <selection activeCell="G19" sqref="G19"/>
    </sheetView>
  </sheetViews>
  <sheetFormatPr defaultColWidth="15.1796875" defaultRowHeight="12"/>
  <cols>
    <col min="1" max="1" width="7" style="171" customWidth="1"/>
    <col min="2" max="2" width="21.81640625" style="171" customWidth="1"/>
    <col min="3" max="3" width="6.453125" style="179" customWidth="1"/>
    <col min="4" max="11" width="15.26953125" style="171" customWidth="1"/>
    <col min="12" max="16" width="7.453125" style="171" customWidth="1"/>
    <col min="17" max="17" width="12" style="800" bestFit="1" customWidth="1"/>
    <col min="18" max="25" width="7.453125" style="171" customWidth="1"/>
    <col min="26" max="16384" width="15.1796875" style="171"/>
  </cols>
  <sheetData>
    <row r="1" spans="1:25">
      <c r="A1" s="168"/>
      <c r="B1" s="169"/>
      <c r="C1" s="170"/>
      <c r="D1" s="169"/>
      <c r="E1" s="169"/>
      <c r="F1" s="1087" t="s">
        <v>1006</v>
      </c>
      <c r="G1" s="1088"/>
      <c r="H1" s="1088"/>
      <c r="I1" s="1088"/>
      <c r="J1" s="1088"/>
      <c r="K1" s="1088"/>
      <c r="L1" s="169"/>
      <c r="M1" s="169"/>
      <c r="N1" s="169"/>
      <c r="O1" s="169"/>
      <c r="P1" s="169"/>
      <c r="Q1" s="796"/>
      <c r="R1" s="169"/>
      <c r="S1" s="169"/>
      <c r="T1" s="169"/>
      <c r="U1" s="169"/>
      <c r="V1" s="169"/>
      <c r="W1" s="169"/>
      <c r="X1" s="169"/>
      <c r="Y1" s="169"/>
    </row>
    <row r="2" spans="1:25">
      <c r="A2" s="168"/>
      <c r="B2" s="169"/>
      <c r="C2" s="170"/>
      <c r="D2" s="169"/>
      <c r="E2" s="169"/>
      <c r="F2" s="1088"/>
      <c r="G2" s="1088"/>
      <c r="H2" s="1088"/>
      <c r="I2" s="1088"/>
      <c r="J2" s="1088"/>
      <c r="K2" s="1088"/>
      <c r="L2" s="169"/>
      <c r="M2" s="169"/>
      <c r="N2" s="169"/>
      <c r="O2" s="169"/>
      <c r="P2" s="169"/>
      <c r="Q2" s="796"/>
      <c r="R2" s="169"/>
      <c r="S2" s="169"/>
      <c r="T2" s="169"/>
      <c r="U2" s="169"/>
      <c r="V2" s="169"/>
      <c r="W2" s="169"/>
      <c r="X2" s="169"/>
      <c r="Y2" s="169"/>
    </row>
    <row r="3" spans="1:25">
      <c r="A3" s="168"/>
      <c r="B3" s="169"/>
      <c r="C3" s="170"/>
      <c r="D3" s="169"/>
      <c r="E3" s="169"/>
      <c r="F3" s="1088"/>
      <c r="G3" s="1088"/>
      <c r="H3" s="1088"/>
      <c r="I3" s="1088"/>
      <c r="J3" s="1088"/>
      <c r="K3" s="1088"/>
      <c r="L3" s="169"/>
      <c r="M3" s="169"/>
      <c r="N3" s="169"/>
      <c r="O3" s="169"/>
      <c r="P3" s="169"/>
      <c r="Q3" s="796"/>
      <c r="R3" s="169"/>
      <c r="S3" s="169"/>
      <c r="T3" s="169"/>
      <c r="U3" s="169"/>
      <c r="V3" s="169"/>
      <c r="W3" s="169"/>
      <c r="X3" s="169"/>
      <c r="Y3" s="169"/>
    </row>
    <row r="4" spans="1:25">
      <c r="A4" s="168"/>
      <c r="B4" s="169"/>
      <c r="C4" s="170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796"/>
      <c r="R4" s="169"/>
      <c r="S4" s="169"/>
      <c r="T4" s="169"/>
      <c r="U4" s="169"/>
      <c r="V4" s="169"/>
      <c r="W4" s="169"/>
      <c r="X4" s="169"/>
      <c r="Y4" s="169"/>
    </row>
    <row r="5" spans="1:25">
      <c r="A5" s="1089" t="s">
        <v>628</v>
      </c>
      <c r="B5" s="1089"/>
      <c r="C5" s="1089"/>
      <c r="D5" s="1089"/>
      <c r="E5" s="1089"/>
      <c r="F5" s="1089"/>
      <c r="G5" s="1089"/>
      <c r="H5" s="1089"/>
      <c r="I5" s="1089"/>
      <c r="J5" s="1089"/>
      <c r="K5" s="1089"/>
      <c r="L5" s="169"/>
      <c r="M5" s="169"/>
      <c r="N5" s="169"/>
      <c r="O5" s="169"/>
      <c r="P5" s="169"/>
      <c r="Q5" s="796"/>
      <c r="R5" s="169"/>
      <c r="S5" s="169"/>
      <c r="T5" s="169"/>
      <c r="U5" s="169"/>
      <c r="V5" s="169"/>
      <c r="W5" s="169"/>
      <c r="X5" s="169"/>
      <c r="Y5" s="169"/>
    </row>
    <row r="6" spans="1:25" ht="9.75" customHeight="1">
      <c r="A6" s="169"/>
      <c r="B6" s="169"/>
      <c r="C6" s="170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796"/>
      <c r="R6" s="169"/>
      <c r="S6" s="169"/>
      <c r="T6" s="169"/>
      <c r="U6" s="169"/>
      <c r="V6" s="169"/>
      <c r="W6" s="169"/>
      <c r="X6" s="169"/>
      <c r="Y6" s="169"/>
    </row>
    <row r="7" spans="1:25" ht="15" customHeight="1">
      <c r="A7" s="1086" t="str">
        <f>+i.04108!A7</f>
        <v>Даатгагчийн нэр:</v>
      </c>
      <c r="B7" s="1086"/>
      <c r="C7" s="1086"/>
      <c r="D7" s="1086"/>
      <c r="E7" s="258"/>
      <c r="F7" s="258"/>
      <c r="G7" s="1090" t="str">
        <f>+i.04108!F7</f>
        <v>..... оны .... сарын ...-ны өдөр</v>
      </c>
      <c r="H7" s="1090"/>
      <c r="I7" s="1090"/>
      <c r="J7" s="1090"/>
      <c r="K7" s="1090"/>
      <c r="L7" s="172"/>
      <c r="M7" s="172"/>
      <c r="N7" s="172"/>
      <c r="O7" s="172"/>
      <c r="P7" s="172"/>
      <c r="Q7" s="797"/>
      <c r="R7" s="172"/>
      <c r="S7" s="172"/>
      <c r="T7" s="172"/>
      <c r="U7" s="172"/>
      <c r="V7" s="172"/>
      <c r="W7" s="172"/>
      <c r="X7" s="172"/>
      <c r="Y7" s="172"/>
    </row>
    <row r="8" spans="1:25">
      <c r="A8" s="259"/>
      <c r="B8" s="260"/>
      <c r="C8" s="261"/>
      <c r="D8" s="260"/>
      <c r="E8" s="261"/>
      <c r="F8" s="260"/>
      <c r="G8" s="258"/>
      <c r="H8" s="262"/>
      <c r="I8" s="258"/>
      <c r="J8" s="1091" t="s">
        <v>1</v>
      </c>
      <c r="K8" s="1091"/>
      <c r="L8" s="172"/>
      <c r="M8" s="172"/>
      <c r="N8" s="172"/>
      <c r="O8" s="172"/>
      <c r="P8" s="172"/>
      <c r="Q8" s="797"/>
      <c r="R8" s="172"/>
      <c r="S8" s="172"/>
      <c r="T8" s="172"/>
      <c r="U8" s="172"/>
      <c r="V8" s="172"/>
      <c r="W8" s="172"/>
      <c r="X8" s="172"/>
      <c r="Y8" s="172"/>
    </row>
    <row r="9" spans="1:25" ht="25.5" customHeight="1">
      <c r="A9" s="1092" t="s">
        <v>2</v>
      </c>
      <c r="B9" s="1092" t="s">
        <v>629</v>
      </c>
      <c r="C9" s="1092" t="s">
        <v>4</v>
      </c>
      <c r="D9" s="1076" t="s">
        <v>147</v>
      </c>
      <c r="E9" s="1077"/>
      <c r="F9" s="1077"/>
      <c r="G9" s="1078"/>
      <c r="H9" s="1076" t="s">
        <v>630</v>
      </c>
      <c r="I9" s="1077"/>
      <c r="J9" s="1077"/>
      <c r="K9" s="1078"/>
      <c r="L9" s="173"/>
      <c r="M9" s="173"/>
      <c r="N9" s="173"/>
      <c r="O9" s="173"/>
      <c r="P9" s="173"/>
      <c r="Q9" s="798"/>
      <c r="R9" s="173"/>
      <c r="S9" s="173"/>
      <c r="T9" s="173"/>
      <c r="U9" s="173"/>
      <c r="V9" s="173"/>
      <c r="W9" s="173"/>
      <c r="X9" s="173"/>
      <c r="Y9" s="173"/>
    </row>
    <row r="10" spans="1:25">
      <c r="A10" s="1093"/>
      <c r="B10" s="1093"/>
      <c r="C10" s="1093"/>
      <c r="D10" s="131" t="s">
        <v>631</v>
      </c>
      <c r="E10" s="131" t="s">
        <v>632</v>
      </c>
      <c r="F10" s="131" t="s">
        <v>633</v>
      </c>
      <c r="G10" s="131" t="s">
        <v>634</v>
      </c>
      <c r="H10" s="131" t="s">
        <v>631</v>
      </c>
      <c r="I10" s="131" t="s">
        <v>632</v>
      </c>
      <c r="J10" s="131" t="s">
        <v>633</v>
      </c>
      <c r="K10" s="131" t="s">
        <v>634</v>
      </c>
      <c r="L10" s="173"/>
      <c r="M10" s="173"/>
      <c r="N10" s="173"/>
      <c r="O10" s="173"/>
      <c r="P10" s="173"/>
      <c r="Q10" s="798"/>
      <c r="R10" s="173"/>
      <c r="S10" s="173"/>
      <c r="T10" s="173"/>
      <c r="U10" s="173"/>
      <c r="V10" s="173"/>
      <c r="W10" s="173"/>
      <c r="X10" s="173"/>
      <c r="Y10" s="173"/>
    </row>
    <row r="11" spans="1:25">
      <c r="A11" s="180" t="s">
        <v>6</v>
      </c>
      <c r="B11" s="181" t="s">
        <v>7</v>
      </c>
      <c r="C11" s="181" t="s">
        <v>8</v>
      </c>
      <c r="D11" s="131">
        <v>1</v>
      </c>
      <c r="E11" s="131">
        <v>2</v>
      </c>
      <c r="F11" s="131">
        <v>3</v>
      </c>
      <c r="G11" s="131">
        <v>4</v>
      </c>
      <c r="H11" s="131">
        <v>5</v>
      </c>
      <c r="I11" s="131">
        <v>6</v>
      </c>
      <c r="J11" s="131">
        <v>7</v>
      </c>
      <c r="K11" s="131">
        <v>8</v>
      </c>
      <c r="L11" s="173"/>
      <c r="M11" s="173"/>
      <c r="N11" s="173"/>
      <c r="O11" s="173"/>
      <c r="P11" s="173"/>
      <c r="Q11" s="798"/>
      <c r="R11" s="173"/>
      <c r="S11" s="173"/>
      <c r="T11" s="173"/>
      <c r="U11" s="173"/>
      <c r="V11" s="173"/>
      <c r="W11" s="173"/>
      <c r="X11" s="173"/>
      <c r="Y11" s="173"/>
    </row>
    <row r="12" spans="1:25" ht="29.25" customHeight="1">
      <c r="A12" s="1079" t="s">
        <v>635</v>
      </c>
      <c r="B12" s="174" t="s">
        <v>636</v>
      </c>
      <c r="C12" s="175">
        <v>1</v>
      </c>
      <c r="D12" s="827">
        <f>i.04108!E30-i.04108!E29</f>
        <v>0</v>
      </c>
      <c r="E12" s="827">
        <f>i.04108!F30-i.04108!F29</f>
        <v>0</v>
      </c>
      <c r="F12" s="827">
        <f>i.04108!G30-i.04108!G29</f>
        <v>0</v>
      </c>
      <c r="G12" s="827">
        <f>D12+E12-F12</f>
        <v>0</v>
      </c>
      <c r="H12" s="218"/>
      <c r="I12" s="218"/>
      <c r="J12" s="218"/>
      <c r="K12" s="827">
        <f>H12+I12-J12</f>
        <v>0</v>
      </c>
      <c r="L12" s="172"/>
      <c r="M12" s="172"/>
      <c r="N12" s="172"/>
      <c r="O12" s="172"/>
      <c r="P12" s="172"/>
      <c r="Q12" s="797"/>
      <c r="R12" s="172"/>
      <c r="S12" s="172"/>
      <c r="T12" s="172"/>
      <c r="U12" s="172"/>
      <c r="V12" s="172"/>
      <c r="W12" s="172"/>
      <c r="X12" s="172"/>
      <c r="Y12" s="172"/>
    </row>
    <row r="13" spans="1:25" ht="23">
      <c r="A13" s="1080"/>
      <c r="B13" s="174" t="s">
        <v>637</v>
      </c>
      <c r="C13" s="175">
        <f>+C12+1</f>
        <v>2</v>
      </c>
      <c r="D13" s="827">
        <f>i.04109!E30-i.04109!E29</f>
        <v>0</v>
      </c>
      <c r="E13" s="827">
        <f>i.04109!F30-i.04109!F29</f>
        <v>0</v>
      </c>
      <c r="F13" s="827">
        <f>i.04109!G30-i.04109!G29</f>
        <v>0</v>
      </c>
      <c r="G13" s="827">
        <f t="shared" ref="G13:G18" si="0">D13+E13-F13</f>
        <v>0</v>
      </c>
      <c r="H13" s="218"/>
      <c r="I13" s="218"/>
      <c r="J13" s="218"/>
      <c r="K13" s="827">
        <f t="shared" ref="K13:K18" si="1">H13+I13-J13</f>
        <v>0</v>
      </c>
      <c r="L13" s="172"/>
      <c r="M13" s="172"/>
      <c r="N13" s="172"/>
      <c r="O13" s="172"/>
      <c r="P13" s="172"/>
      <c r="Q13" s="797"/>
      <c r="R13" s="172"/>
      <c r="S13" s="172"/>
      <c r="T13" s="172"/>
      <c r="U13" s="172"/>
      <c r="V13" s="172"/>
      <c r="W13" s="172"/>
      <c r="X13" s="172"/>
      <c r="Y13" s="172"/>
    </row>
    <row r="14" spans="1:25" ht="23">
      <c r="A14" s="1081"/>
      <c r="B14" s="174" t="s">
        <v>638</v>
      </c>
      <c r="C14" s="175">
        <f t="shared" ref="C14:C19" si="2">+C13+1</f>
        <v>3</v>
      </c>
      <c r="D14" s="827">
        <f>i.04110!E30-i.04110!E29</f>
        <v>0</v>
      </c>
      <c r="E14" s="827">
        <f>i.04110!F30-i.04110!F29</f>
        <v>0</v>
      </c>
      <c r="F14" s="827">
        <f>i.04110!G30-i.04110!G29</f>
        <v>0</v>
      </c>
      <c r="G14" s="827">
        <f t="shared" si="0"/>
        <v>0</v>
      </c>
      <c r="H14" s="218"/>
      <c r="I14" s="218"/>
      <c r="J14" s="218"/>
      <c r="K14" s="827">
        <f t="shared" si="1"/>
        <v>0</v>
      </c>
      <c r="L14" s="172"/>
      <c r="M14" s="172"/>
      <c r="N14" s="172"/>
      <c r="O14" s="172"/>
      <c r="P14" s="172"/>
      <c r="Q14" s="797"/>
      <c r="R14" s="172"/>
      <c r="S14" s="172"/>
      <c r="T14" s="172"/>
      <c r="U14" s="172"/>
      <c r="V14" s="172"/>
      <c r="W14" s="172"/>
      <c r="X14" s="172"/>
      <c r="Y14" s="172"/>
    </row>
    <row r="15" spans="1:25" ht="23">
      <c r="A15" s="1079" t="s">
        <v>639</v>
      </c>
      <c r="B15" s="174" t="s">
        <v>636</v>
      </c>
      <c r="C15" s="175">
        <f t="shared" si="2"/>
        <v>4</v>
      </c>
      <c r="D15" s="827">
        <f>i.04108!E29</f>
        <v>0</v>
      </c>
      <c r="E15" s="827">
        <f>i.04108!F29</f>
        <v>0</v>
      </c>
      <c r="F15" s="827">
        <f>i.04108!G29</f>
        <v>0</v>
      </c>
      <c r="G15" s="827">
        <f t="shared" si="0"/>
        <v>0</v>
      </c>
      <c r="H15" s="218"/>
      <c r="I15" s="218"/>
      <c r="J15" s="218"/>
      <c r="K15" s="827">
        <f t="shared" si="1"/>
        <v>0</v>
      </c>
      <c r="L15" s="172"/>
      <c r="M15" s="172"/>
      <c r="N15" s="172"/>
      <c r="O15" s="172"/>
      <c r="P15" s="172"/>
      <c r="Q15" s="797"/>
      <c r="R15" s="172"/>
      <c r="S15" s="172"/>
      <c r="T15" s="172"/>
      <c r="U15" s="172"/>
      <c r="V15" s="172"/>
      <c r="W15" s="172"/>
      <c r="X15" s="172"/>
      <c r="Y15" s="172"/>
    </row>
    <row r="16" spans="1:25" ht="23">
      <c r="A16" s="1080"/>
      <c r="B16" s="174" t="s">
        <v>637</v>
      </c>
      <c r="C16" s="175">
        <f t="shared" si="2"/>
        <v>5</v>
      </c>
      <c r="D16" s="827">
        <f>i.04109!E29</f>
        <v>0</v>
      </c>
      <c r="E16" s="827">
        <f>i.04109!F29</f>
        <v>0</v>
      </c>
      <c r="F16" s="827">
        <f>i.04109!G29</f>
        <v>0</v>
      </c>
      <c r="G16" s="827">
        <f t="shared" si="0"/>
        <v>0</v>
      </c>
      <c r="H16" s="218"/>
      <c r="I16" s="218"/>
      <c r="J16" s="218"/>
      <c r="K16" s="827">
        <f t="shared" si="1"/>
        <v>0</v>
      </c>
      <c r="L16" s="172"/>
      <c r="M16" s="172"/>
      <c r="N16" s="172"/>
      <c r="O16" s="172"/>
      <c r="P16" s="172"/>
      <c r="Q16" s="797"/>
      <c r="R16" s="172"/>
      <c r="S16" s="172"/>
      <c r="T16" s="172"/>
      <c r="U16" s="172"/>
      <c r="V16" s="172"/>
      <c r="W16" s="172"/>
      <c r="X16" s="172"/>
      <c r="Y16" s="172"/>
    </row>
    <row r="17" spans="1:25" ht="23">
      <c r="A17" s="1081"/>
      <c r="B17" s="174" t="s">
        <v>638</v>
      </c>
      <c r="C17" s="175">
        <f t="shared" si="2"/>
        <v>6</v>
      </c>
      <c r="D17" s="827">
        <f>i.04110!E29</f>
        <v>0</v>
      </c>
      <c r="E17" s="827">
        <f>i.04110!F29</f>
        <v>0</v>
      </c>
      <c r="F17" s="827">
        <f>i.04110!G29</f>
        <v>0</v>
      </c>
      <c r="G17" s="827">
        <f t="shared" si="0"/>
        <v>0</v>
      </c>
      <c r="H17" s="218"/>
      <c r="I17" s="218"/>
      <c r="J17" s="218"/>
      <c r="K17" s="827">
        <f t="shared" si="1"/>
        <v>0</v>
      </c>
      <c r="L17" s="172"/>
      <c r="M17" s="172"/>
      <c r="N17" s="172"/>
      <c r="O17" s="172"/>
      <c r="P17" s="172"/>
      <c r="Q17" s="797"/>
      <c r="R17" s="172"/>
      <c r="S17" s="172"/>
      <c r="T17" s="172"/>
      <c r="U17" s="172"/>
      <c r="V17" s="172"/>
      <c r="W17" s="172"/>
      <c r="X17" s="172"/>
      <c r="Y17" s="172"/>
    </row>
    <row r="18" spans="1:25">
      <c r="A18" s="1082" t="s">
        <v>156</v>
      </c>
      <c r="B18" s="1083"/>
      <c r="C18" s="175">
        <f t="shared" si="2"/>
        <v>7</v>
      </c>
      <c r="D18" s="828"/>
      <c r="E18" s="828"/>
      <c r="F18" s="828"/>
      <c r="G18" s="827">
        <f t="shared" si="0"/>
        <v>0</v>
      </c>
      <c r="H18" s="218"/>
      <c r="I18" s="218"/>
      <c r="J18" s="218"/>
      <c r="K18" s="827">
        <f t="shared" si="1"/>
        <v>0</v>
      </c>
      <c r="L18" s="172"/>
      <c r="M18" s="172"/>
      <c r="N18" s="172"/>
      <c r="O18" s="172"/>
      <c r="P18" s="172"/>
      <c r="Q18" s="797"/>
      <c r="R18" s="172"/>
      <c r="S18" s="172"/>
      <c r="T18" s="172"/>
      <c r="U18" s="172"/>
      <c r="V18" s="172"/>
      <c r="W18" s="172"/>
      <c r="X18" s="172"/>
      <c r="Y18" s="172"/>
    </row>
    <row r="19" spans="1:25">
      <c r="A19" s="1084" t="s">
        <v>626</v>
      </c>
      <c r="B19" s="1085"/>
      <c r="C19" s="167">
        <f t="shared" si="2"/>
        <v>8</v>
      </c>
      <c r="D19" s="219">
        <f>SUM(D12:D18)</f>
        <v>0</v>
      </c>
      <c r="E19" s="219">
        <f t="shared" ref="E19:K19" si="3">SUM(E12:E18)</f>
        <v>0</v>
      </c>
      <c r="F19" s="219">
        <f t="shared" si="3"/>
        <v>0</v>
      </c>
      <c r="G19" s="219">
        <f t="shared" si="3"/>
        <v>0</v>
      </c>
      <c r="H19" s="219">
        <f t="shared" si="3"/>
        <v>0</v>
      </c>
      <c r="I19" s="219">
        <f t="shared" si="3"/>
        <v>0</v>
      </c>
      <c r="J19" s="219">
        <f>SUM(J12:J18)</f>
        <v>0</v>
      </c>
      <c r="K19" s="219">
        <f t="shared" si="3"/>
        <v>0</v>
      </c>
      <c r="L19" s="176"/>
      <c r="M19" s="176"/>
      <c r="N19" s="176"/>
      <c r="O19" s="176"/>
      <c r="P19" s="176"/>
      <c r="Q19" s="799"/>
      <c r="R19" s="176"/>
      <c r="S19" s="176"/>
      <c r="T19" s="176"/>
      <c r="U19" s="176"/>
      <c r="V19" s="176"/>
      <c r="W19" s="176"/>
      <c r="X19" s="176"/>
      <c r="Y19" s="176"/>
    </row>
    <row r="20" spans="1:25">
      <c r="A20" s="169"/>
      <c r="B20" s="169"/>
      <c r="C20" s="170"/>
      <c r="D20" s="1011"/>
      <c r="E20" s="1011"/>
      <c r="F20" s="1011"/>
      <c r="G20" s="1011"/>
      <c r="H20" s="1011"/>
      <c r="I20" s="1011"/>
      <c r="J20" s="1011"/>
      <c r="K20" s="1011"/>
      <c r="L20" s="169"/>
      <c r="M20" s="169"/>
      <c r="N20" s="169"/>
      <c r="O20" s="169"/>
      <c r="P20" s="169"/>
      <c r="Q20" s="796"/>
      <c r="R20" s="169"/>
      <c r="S20" s="169"/>
      <c r="T20" s="169"/>
      <c r="U20" s="169"/>
      <c r="V20" s="169"/>
      <c r="W20" s="169"/>
      <c r="X20" s="169"/>
      <c r="Y20" s="169"/>
    </row>
    <row r="21" spans="1:25">
      <c r="A21" s="177" t="s">
        <v>640</v>
      </c>
      <c r="B21" s="169"/>
      <c r="C21" s="170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796"/>
      <c r="R21" s="169"/>
      <c r="S21" s="169"/>
      <c r="T21" s="169"/>
      <c r="U21" s="169"/>
      <c r="V21" s="169"/>
      <c r="W21" s="169"/>
      <c r="X21" s="169"/>
      <c r="Y21" s="169"/>
    </row>
    <row r="22" spans="1:25">
      <c r="A22" s="178"/>
      <c r="B22" s="169"/>
      <c r="C22" s="170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796"/>
      <c r="R22" s="169"/>
      <c r="S22" s="169"/>
      <c r="T22" s="169"/>
      <c r="U22" s="169"/>
      <c r="V22" s="169"/>
      <c r="W22" s="169"/>
      <c r="X22" s="169"/>
      <c r="Y22" s="169"/>
    </row>
    <row r="23" spans="1:25" ht="13">
      <c r="A23" s="240"/>
      <c r="B23" s="210" t="s">
        <v>910</v>
      </c>
      <c r="C23" s="209"/>
      <c r="D23" s="9"/>
      <c r="E23" s="9"/>
      <c r="F23" s="9"/>
      <c r="G23" s="9"/>
      <c r="H23" s="169"/>
      <c r="I23" s="169"/>
      <c r="J23" s="169"/>
      <c r="K23" s="169"/>
      <c r="L23" s="169"/>
      <c r="M23" s="169"/>
      <c r="N23" s="169"/>
      <c r="O23" s="169"/>
      <c r="P23" s="169"/>
      <c r="Q23" s="796"/>
      <c r="R23" s="169"/>
      <c r="S23" s="169"/>
      <c r="T23" s="169"/>
      <c r="U23" s="169"/>
      <c r="V23" s="169"/>
      <c r="W23" s="169"/>
      <c r="X23" s="169"/>
      <c r="Y23" s="169"/>
    </row>
    <row r="24" spans="1:25">
      <c r="A24" s="240"/>
      <c r="B24" s="169"/>
      <c r="C24" s="170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796"/>
      <c r="R24" s="169"/>
      <c r="S24" s="169"/>
      <c r="T24" s="169"/>
      <c r="U24" s="169"/>
      <c r="V24" s="169"/>
      <c r="W24" s="169"/>
      <c r="X24" s="169"/>
      <c r="Y24" s="169"/>
    </row>
    <row r="25" spans="1:25">
      <c r="A25" s="169"/>
      <c r="B25" s="169" t="str">
        <f>+i.04108!C34</f>
        <v xml:space="preserve">ТАЙЛАН ГАРГАСАН:    </v>
      </c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796"/>
      <c r="R25" s="169"/>
      <c r="S25" s="169"/>
      <c r="T25" s="169"/>
      <c r="U25" s="169"/>
      <c r="V25" s="169"/>
      <c r="W25" s="169"/>
      <c r="X25" s="169"/>
      <c r="Y25" s="169"/>
    </row>
    <row r="26" spans="1:25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796"/>
      <c r="R26" s="169"/>
      <c r="S26" s="169"/>
      <c r="T26" s="169"/>
      <c r="U26" s="169"/>
      <c r="V26" s="169"/>
      <c r="W26" s="169"/>
      <c r="X26" s="169"/>
      <c r="Y26" s="169"/>
    </row>
    <row r="27" spans="1:25">
      <c r="A27" s="169"/>
      <c r="B27" s="169" t="str">
        <f>+i.04108!C36</f>
        <v xml:space="preserve"> Гүйцэтгэх захирал</v>
      </c>
      <c r="C27" s="169" t="str">
        <f>+i.04108!D36</f>
        <v xml:space="preserve">/................................../   </v>
      </c>
      <c r="D27" s="169"/>
      <c r="E27" s="169" t="str">
        <f>+i.04108!F36</f>
        <v>/................................./</v>
      </c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796"/>
      <c r="R27" s="169"/>
      <c r="S27" s="169"/>
      <c r="T27" s="169"/>
      <c r="U27" s="169"/>
      <c r="V27" s="169"/>
      <c r="W27" s="169"/>
      <c r="X27" s="169"/>
      <c r="Y27" s="169"/>
    </row>
    <row r="28" spans="1:25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796"/>
      <c r="R28" s="169"/>
      <c r="S28" s="169"/>
      <c r="T28" s="169"/>
      <c r="U28" s="169"/>
      <c r="V28" s="169"/>
      <c r="W28" s="169"/>
      <c r="X28" s="169"/>
      <c r="Y28" s="169"/>
    </row>
    <row r="29" spans="1:25">
      <c r="A29" s="169"/>
      <c r="B29" s="169" t="str">
        <f>+i.04108!C38</f>
        <v xml:space="preserve"> Ерөнхий нягтлан бодогч  </v>
      </c>
      <c r="C29" s="169" t="str">
        <f>+i.04108!D38</f>
        <v xml:space="preserve">/.................................../   </v>
      </c>
      <c r="D29" s="169"/>
      <c r="E29" s="169" t="str">
        <f>+i.04108!F38</f>
        <v>/................................/</v>
      </c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796"/>
      <c r="R29" s="169"/>
      <c r="S29" s="169"/>
      <c r="T29" s="169"/>
      <c r="U29" s="169"/>
      <c r="V29" s="169"/>
      <c r="W29" s="169"/>
      <c r="X29" s="169"/>
      <c r="Y29" s="169"/>
    </row>
    <row r="30" spans="1:25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796"/>
      <c r="R30" s="169"/>
      <c r="S30" s="169"/>
      <c r="T30" s="169"/>
      <c r="U30" s="169"/>
      <c r="V30" s="169"/>
      <c r="W30" s="169"/>
      <c r="X30" s="169"/>
      <c r="Y30" s="169"/>
    </row>
    <row r="31" spans="1:25" ht="23.5">
      <c r="A31" s="169"/>
      <c r="B31" s="232" t="str">
        <f>+i.04108!C40</f>
        <v>...................................................</v>
      </c>
      <c r="C31" s="170" t="str">
        <f>+i.04108!D40</f>
        <v xml:space="preserve">/................................../   </v>
      </c>
      <c r="D31" s="169"/>
      <c r="E31" s="169" t="str">
        <f>+i.04108!F40</f>
        <v>/................................/</v>
      </c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796"/>
      <c r="R31" s="169"/>
      <c r="S31" s="169"/>
      <c r="T31" s="169"/>
      <c r="U31" s="169"/>
      <c r="V31" s="169"/>
      <c r="W31" s="169"/>
      <c r="X31" s="169"/>
      <c r="Y31" s="169"/>
    </row>
    <row r="32" spans="1:25">
      <c r="A32" s="169"/>
      <c r="B32" s="169"/>
      <c r="C32" s="170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796"/>
      <c r="R32" s="169"/>
      <c r="S32" s="169"/>
      <c r="T32" s="169"/>
      <c r="U32" s="169"/>
      <c r="V32" s="169"/>
      <c r="W32" s="169"/>
      <c r="X32" s="169"/>
      <c r="Y32" s="169"/>
    </row>
    <row r="33" spans="1:25">
      <c r="A33" s="169"/>
      <c r="B33" s="169"/>
      <c r="C33" s="170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796"/>
      <c r="R33" s="169"/>
      <c r="S33" s="169"/>
      <c r="T33" s="169"/>
      <c r="U33" s="169"/>
      <c r="V33" s="169"/>
      <c r="W33" s="169"/>
      <c r="X33" s="169"/>
      <c r="Y33" s="169"/>
    </row>
    <row r="34" spans="1:25">
      <c r="A34" s="169"/>
      <c r="B34" s="169"/>
      <c r="C34" s="170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796"/>
      <c r="R34" s="169"/>
      <c r="S34" s="169"/>
      <c r="T34" s="169"/>
      <c r="U34" s="169"/>
      <c r="V34" s="169"/>
      <c r="W34" s="169"/>
      <c r="X34" s="169"/>
      <c r="Y34" s="169"/>
    </row>
    <row r="35" spans="1:25">
      <c r="A35" s="169"/>
      <c r="B35" s="169"/>
      <c r="C35" s="170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796"/>
      <c r="R35" s="169"/>
      <c r="S35" s="169"/>
      <c r="T35" s="169"/>
      <c r="U35" s="169"/>
      <c r="V35" s="169"/>
      <c r="W35" s="169"/>
      <c r="X35" s="169"/>
      <c r="Y35" s="169"/>
    </row>
    <row r="36" spans="1:25">
      <c r="A36" s="169"/>
      <c r="B36" s="169"/>
      <c r="C36" s="170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796"/>
      <c r="R36" s="169"/>
      <c r="S36" s="169"/>
      <c r="T36" s="169"/>
      <c r="U36" s="169"/>
      <c r="V36" s="169"/>
      <c r="W36" s="169"/>
      <c r="X36" s="169"/>
      <c r="Y36" s="169"/>
    </row>
    <row r="37" spans="1:25">
      <c r="A37" s="169"/>
      <c r="B37" s="169"/>
      <c r="C37" s="170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796"/>
      <c r="R37" s="169"/>
      <c r="S37" s="169"/>
      <c r="T37" s="169"/>
      <c r="U37" s="169"/>
      <c r="V37" s="169"/>
      <c r="W37" s="169"/>
      <c r="X37" s="169"/>
      <c r="Y37" s="169"/>
    </row>
    <row r="38" spans="1:25">
      <c r="A38" s="169"/>
      <c r="B38" s="169"/>
      <c r="C38" s="170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796"/>
      <c r="R38" s="169"/>
      <c r="S38" s="169"/>
      <c r="T38" s="169"/>
      <c r="U38" s="169"/>
      <c r="V38" s="169"/>
      <c r="W38" s="169"/>
      <c r="X38" s="169"/>
      <c r="Y38" s="169"/>
    </row>
    <row r="39" spans="1:25">
      <c r="A39" s="169"/>
      <c r="B39" s="169"/>
      <c r="C39" s="170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796"/>
      <c r="R39" s="169"/>
      <c r="S39" s="169"/>
      <c r="T39" s="169"/>
      <c r="U39" s="169"/>
      <c r="V39" s="169"/>
      <c r="W39" s="169"/>
      <c r="X39" s="169"/>
      <c r="Y39" s="169"/>
    </row>
    <row r="40" spans="1:25">
      <c r="A40" s="169"/>
      <c r="B40" s="169"/>
      <c r="C40" s="170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796"/>
      <c r="R40" s="169"/>
      <c r="S40" s="169"/>
      <c r="T40" s="169"/>
      <c r="U40" s="169"/>
      <c r="V40" s="169"/>
      <c r="W40" s="169"/>
      <c r="X40" s="169"/>
      <c r="Y40" s="169"/>
    </row>
    <row r="41" spans="1:25">
      <c r="A41" s="169"/>
      <c r="B41" s="169"/>
      <c r="C41" s="170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796"/>
      <c r="R41" s="169"/>
      <c r="S41" s="169"/>
      <c r="T41" s="169"/>
      <c r="U41" s="169"/>
      <c r="V41" s="169"/>
      <c r="W41" s="169"/>
      <c r="X41" s="169"/>
      <c r="Y41" s="169"/>
    </row>
    <row r="42" spans="1:25">
      <c r="A42" s="169"/>
      <c r="B42" s="169"/>
      <c r="C42" s="170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796"/>
      <c r="R42" s="169"/>
      <c r="S42" s="169"/>
      <c r="T42" s="169"/>
      <c r="U42" s="169"/>
      <c r="V42" s="169"/>
      <c r="W42" s="169"/>
      <c r="X42" s="169"/>
      <c r="Y42" s="169"/>
    </row>
    <row r="43" spans="1:25">
      <c r="A43" s="169"/>
      <c r="B43" s="169"/>
      <c r="C43" s="170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796"/>
      <c r="R43" s="169"/>
      <c r="S43" s="169"/>
      <c r="T43" s="169"/>
      <c r="U43" s="169"/>
      <c r="V43" s="169"/>
      <c r="W43" s="169"/>
      <c r="X43" s="169"/>
      <c r="Y43" s="169"/>
    </row>
    <row r="44" spans="1:25">
      <c r="A44" s="169"/>
      <c r="B44" s="169"/>
      <c r="C44" s="170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796"/>
      <c r="R44" s="169"/>
      <c r="S44" s="169"/>
      <c r="T44" s="169"/>
      <c r="U44" s="169"/>
      <c r="V44" s="169"/>
      <c r="W44" s="169"/>
      <c r="X44" s="169"/>
      <c r="Y44" s="169"/>
    </row>
    <row r="45" spans="1:25">
      <c r="A45" s="169"/>
      <c r="B45" s="169"/>
      <c r="C45" s="170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796"/>
      <c r="R45" s="169"/>
      <c r="S45" s="169"/>
      <c r="T45" s="169"/>
      <c r="U45" s="169"/>
      <c r="V45" s="169"/>
      <c r="W45" s="169"/>
      <c r="X45" s="169"/>
      <c r="Y45" s="169"/>
    </row>
    <row r="46" spans="1:25">
      <c r="A46" s="169"/>
      <c r="B46" s="169"/>
      <c r="C46" s="170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796"/>
      <c r="R46" s="169"/>
      <c r="S46" s="169"/>
      <c r="T46" s="169"/>
      <c r="U46" s="169"/>
      <c r="V46" s="169"/>
      <c r="W46" s="169"/>
      <c r="X46" s="169"/>
      <c r="Y46" s="169"/>
    </row>
    <row r="47" spans="1:25">
      <c r="A47" s="169"/>
      <c r="B47" s="169"/>
      <c r="C47" s="170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796"/>
      <c r="R47" s="169"/>
      <c r="S47" s="169"/>
      <c r="T47" s="169"/>
      <c r="U47" s="169"/>
      <c r="V47" s="169"/>
      <c r="W47" s="169"/>
      <c r="X47" s="169"/>
      <c r="Y47" s="169"/>
    </row>
    <row r="48" spans="1:25">
      <c r="A48" s="169"/>
      <c r="B48" s="169"/>
      <c r="C48" s="170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796"/>
      <c r="R48" s="169"/>
      <c r="S48" s="169"/>
      <c r="T48" s="169"/>
      <c r="U48" s="169"/>
      <c r="V48" s="169"/>
      <c r="W48" s="169"/>
      <c r="X48" s="169"/>
      <c r="Y48" s="169"/>
    </row>
    <row r="49" spans="1:25">
      <c r="A49" s="169"/>
      <c r="B49" s="169"/>
      <c r="C49" s="170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796"/>
      <c r="R49" s="169"/>
      <c r="S49" s="169"/>
      <c r="T49" s="169"/>
      <c r="U49" s="169"/>
      <c r="V49" s="169"/>
      <c r="W49" s="169"/>
      <c r="X49" s="169"/>
      <c r="Y49" s="169"/>
    </row>
    <row r="50" spans="1:25">
      <c r="A50" s="169"/>
      <c r="B50" s="169"/>
      <c r="C50" s="170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796"/>
      <c r="R50" s="169"/>
      <c r="S50" s="169"/>
      <c r="T50" s="169"/>
      <c r="U50" s="169"/>
      <c r="V50" s="169"/>
      <c r="W50" s="169"/>
      <c r="X50" s="169"/>
      <c r="Y50" s="169"/>
    </row>
    <row r="51" spans="1:25">
      <c r="A51" s="169"/>
      <c r="B51" s="169"/>
      <c r="C51" s="170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796"/>
      <c r="R51" s="169"/>
      <c r="S51" s="169"/>
      <c r="T51" s="169"/>
      <c r="U51" s="169"/>
      <c r="V51" s="169"/>
      <c r="W51" s="169"/>
      <c r="X51" s="169"/>
      <c r="Y51" s="169"/>
    </row>
    <row r="52" spans="1:25">
      <c r="A52" s="169"/>
      <c r="B52" s="169"/>
      <c r="C52" s="170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796"/>
      <c r="R52" s="169"/>
      <c r="S52" s="169"/>
      <c r="T52" s="169"/>
      <c r="U52" s="169"/>
      <c r="V52" s="169"/>
      <c r="W52" s="169"/>
      <c r="X52" s="169"/>
      <c r="Y52" s="169"/>
    </row>
    <row r="53" spans="1:25">
      <c r="A53" s="169"/>
      <c r="B53" s="169"/>
      <c r="C53" s="170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796"/>
      <c r="R53" s="169"/>
      <c r="S53" s="169"/>
      <c r="T53" s="169"/>
      <c r="U53" s="169"/>
      <c r="V53" s="169"/>
      <c r="W53" s="169"/>
      <c r="X53" s="169"/>
      <c r="Y53" s="169"/>
    </row>
    <row r="54" spans="1:25">
      <c r="A54" s="169"/>
      <c r="B54" s="169"/>
      <c r="C54" s="170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796"/>
      <c r="R54" s="169"/>
      <c r="S54" s="169"/>
      <c r="T54" s="169"/>
      <c r="U54" s="169"/>
      <c r="V54" s="169"/>
      <c r="W54" s="169"/>
      <c r="X54" s="169"/>
      <c r="Y54" s="169"/>
    </row>
    <row r="55" spans="1:25">
      <c r="A55" s="169"/>
      <c r="B55" s="169"/>
      <c r="C55" s="170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796"/>
      <c r="R55" s="169"/>
      <c r="S55" s="169"/>
      <c r="T55" s="169"/>
      <c r="U55" s="169"/>
      <c r="V55" s="169"/>
      <c r="W55" s="169"/>
      <c r="X55" s="169"/>
      <c r="Y55" s="169"/>
    </row>
    <row r="56" spans="1:25">
      <c r="A56" s="169"/>
      <c r="B56" s="169"/>
      <c r="C56" s="170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796"/>
      <c r="R56" s="169"/>
      <c r="S56" s="169"/>
      <c r="T56" s="169"/>
      <c r="U56" s="169"/>
      <c r="V56" s="169"/>
      <c r="W56" s="169"/>
      <c r="X56" s="169"/>
      <c r="Y56" s="169"/>
    </row>
    <row r="57" spans="1:25">
      <c r="A57" s="169"/>
      <c r="B57" s="169"/>
      <c r="C57" s="170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796"/>
      <c r="R57" s="169"/>
      <c r="S57" s="169"/>
      <c r="T57" s="169"/>
      <c r="U57" s="169"/>
      <c r="V57" s="169"/>
      <c r="W57" s="169"/>
      <c r="X57" s="169"/>
      <c r="Y57" s="169"/>
    </row>
    <row r="58" spans="1:25">
      <c r="A58" s="169"/>
      <c r="B58" s="169"/>
      <c r="C58" s="170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796"/>
      <c r="R58" s="169"/>
      <c r="S58" s="169"/>
      <c r="T58" s="169"/>
      <c r="U58" s="169"/>
      <c r="V58" s="169"/>
      <c r="W58" s="169"/>
      <c r="X58" s="169"/>
      <c r="Y58" s="169"/>
    </row>
    <row r="59" spans="1:25">
      <c r="A59" s="169"/>
      <c r="B59" s="169"/>
      <c r="C59" s="170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796"/>
      <c r="R59" s="169"/>
      <c r="S59" s="169"/>
      <c r="T59" s="169"/>
      <c r="U59" s="169"/>
      <c r="V59" s="169"/>
      <c r="W59" s="169"/>
      <c r="X59" s="169"/>
      <c r="Y59" s="169"/>
    </row>
    <row r="60" spans="1:25">
      <c r="A60" s="169"/>
      <c r="B60" s="169"/>
      <c r="C60" s="170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796"/>
      <c r="R60" s="169"/>
      <c r="S60" s="169"/>
      <c r="T60" s="169"/>
      <c r="U60" s="169"/>
      <c r="V60" s="169"/>
      <c r="W60" s="169"/>
      <c r="X60" s="169"/>
      <c r="Y60" s="169"/>
    </row>
    <row r="61" spans="1:25">
      <c r="A61" s="169"/>
      <c r="B61" s="169"/>
      <c r="C61" s="170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796"/>
      <c r="R61" s="169"/>
      <c r="S61" s="169"/>
      <c r="T61" s="169"/>
      <c r="U61" s="169"/>
      <c r="V61" s="169"/>
      <c r="W61" s="169"/>
      <c r="X61" s="169"/>
      <c r="Y61" s="169"/>
    </row>
    <row r="62" spans="1:25">
      <c r="A62" s="169"/>
      <c r="B62" s="169"/>
      <c r="C62" s="170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796"/>
      <c r="R62" s="169"/>
      <c r="S62" s="169"/>
      <c r="T62" s="169"/>
      <c r="U62" s="169"/>
      <c r="V62" s="169"/>
      <c r="W62" s="169"/>
      <c r="X62" s="169"/>
      <c r="Y62" s="169"/>
    </row>
    <row r="63" spans="1:25">
      <c r="A63" s="169"/>
      <c r="B63" s="169"/>
      <c r="C63" s="170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796"/>
      <c r="R63" s="169"/>
      <c r="S63" s="169"/>
      <c r="T63" s="169"/>
      <c r="U63" s="169"/>
      <c r="V63" s="169"/>
      <c r="W63" s="169"/>
      <c r="X63" s="169"/>
      <c r="Y63" s="169"/>
    </row>
    <row r="64" spans="1:25">
      <c r="A64" s="169"/>
      <c r="B64" s="169"/>
      <c r="C64" s="170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796"/>
      <c r="R64" s="169"/>
      <c r="S64" s="169"/>
      <c r="T64" s="169"/>
      <c r="U64" s="169"/>
      <c r="V64" s="169"/>
      <c r="W64" s="169"/>
      <c r="X64" s="169"/>
      <c r="Y64" s="169"/>
    </row>
    <row r="65" spans="1:25">
      <c r="A65" s="169"/>
      <c r="B65" s="169"/>
      <c r="C65" s="170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796"/>
      <c r="R65" s="169"/>
      <c r="S65" s="169"/>
      <c r="T65" s="169"/>
      <c r="U65" s="169"/>
      <c r="V65" s="169"/>
      <c r="W65" s="169"/>
      <c r="X65" s="169"/>
      <c r="Y65" s="169"/>
    </row>
    <row r="66" spans="1:25">
      <c r="A66" s="169"/>
      <c r="B66" s="169"/>
      <c r="C66" s="170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796"/>
      <c r="R66" s="169"/>
      <c r="S66" s="169"/>
      <c r="T66" s="169"/>
      <c r="U66" s="169"/>
      <c r="V66" s="169"/>
      <c r="W66" s="169"/>
      <c r="X66" s="169"/>
      <c r="Y66" s="169"/>
    </row>
    <row r="67" spans="1:25">
      <c r="A67" s="169"/>
      <c r="B67" s="169"/>
      <c r="C67" s="170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796"/>
      <c r="R67" s="169"/>
      <c r="S67" s="169"/>
      <c r="T67" s="169"/>
      <c r="U67" s="169"/>
      <c r="V67" s="169"/>
      <c r="W67" s="169"/>
      <c r="X67" s="169"/>
      <c r="Y67" s="169"/>
    </row>
    <row r="68" spans="1:25">
      <c r="A68" s="169"/>
      <c r="B68" s="169"/>
      <c r="C68" s="170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796"/>
      <c r="R68" s="169"/>
      <c r="S68" s="169"/>
      <c r="T68" s="169"/>
      <c r="U68" s="169"/>
      <c r="V68" s="169"/>
      <c r="W68" s="169"/>
      <c r="X68" s="169"/>
      <c r="Y68" s="169"/>
    </row>
    <row r="69" spans="1:25">
      <c r="A69" s="169"/>
      <c r="B69" s="169"/>
      <c r="C69" s="170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796"/>
      <c r="R69" s="169"/>
      <c r="S69" s="169"/>
      <c r="T69" s="169"/>
      <c r="U69" s="169"/>
      <c r="V69" s="169"/>
      <c r="W69" s="169"/>
      <c r="X69" s="169"/>
      <c r="Y69" s="169"/>
    </row>
    <row r="70" spans="1:25">
      <c r="A70" s="169"/>
      <c r="B70" s="169"/>
      <c r="C70" s="170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796"/>
      <c r="R70" s="169"/>
      <c r="S70" s="169"/>
      <c r="T70" s="169"/>
      <c r="U70" s="169"/>
      <c r="V70" s="169"/>
      <c r="W70" s="169"/>
      <c r="X70" s="169"/>
      <c r="Y70" s="169"/>
    </row>
    <row r="71" spans="1:25">
      <c r="A71" s="169"/>
      <c r="B71" s="169"/>
      <c r="C71" s="170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796"/>
      <c r="R71" s="169"/>
      <c r="S71" s="169"/>
      <c r="T71" s="169"/>
      <c r="U71" s="169"/>
      <c r="V71" s="169"/>
      <c r="W71" s="169"/>
      <c r="X71" s="169"/>
      <c r="Y71" s="169"/>
    </row>
    <row r="72" spans="1:25">
      <c r="A72" s="169"/>
      <c r="B72" s="169"/>
      <c r="C72" s="170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796"/>
      <c r="R72" s="169"/>
      <c r="S72" s="169"/>
      <c r="T72" s="169"/>
      <c r="U72" s="169"/>
      <c r="V72" s="169"/>
      <c r="W72" s="169"/>
      <c r="X72" s="169"/>
      <c r="Y72" s="169"/>
    </row>
    <row r="73" spans="1:25">
      <c r="A73" s="169"/>
      <c r="B73" s="169"/>
      <c r="C73" s="170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796"/>
      <c r="R73" s="169"/>
      <c r="S73" s="169"/>
      <c r="T73" s="169"/>
      <c r="U73" s="169"/>
      <c r="V73" s="169"/>
      <c r="W73" s="169"/>
      <c r="X73" s="169"/>
      <c r="Y73" s="169"/>
    </row>
    <row r="74" spans="1:25">
      <c r="A74" s="169"/>
      <c r="B74" s="169"/>
      <c r="C74" s="170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796"/>
      <c r="R74" s="169"/>
      <c r="S74" s="169"/>
      <c r="T74" s="169"/>
      <c r="U74" s="169"/>
      <c r="V74" s="169"/>
      <c r="W74" s="169"/>
      <c r="X74" s="169"/>
      <c r="Y74" s="169"/>
    </row>
    <row r="75" spans="1:25">
      <c r="A75" s="169"/>
      <c r="B75" s="169"/>
      <c r="C75" s="170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796"/>
      <c r="R75" s="169"/>
      <c r="S75" s="169"/>
      <c r="T75" s="169"/>
      <c r="U75" s="169"/>
      <c r="V75" s="169"/>
      <c r="W75" s="169"/>
      <c r="X75" s="169"/>
      <c r="Y75" s="169"/>
    </row>
    <row r="76" spans="1:25">
      <c r="A76" s="169"/>
      <c r="B76" s="169"/>
      <c r="C76" s="170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796"/>
      <c r="R76" s="169"/>
      <c r="S76" s="169"/>
      <c r="T76" s="169"/>
      <c r="U76" s="169"/>
      <c r="V76" s="169"/>
      <c r="W76" s="169"/>
      <c r="X76" s="169"/>
      <c r="Y76" s="169"/>
    </row>
    <row r="77" spans="1:25">
      <c r="A77" s="169"/>
      <c r="B77" s="169"/>
      <c r="C77" s="170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796"/>
      <c r="R77" s="169"/>
      <c r="S77" s="169"/>
      <c r="T77" s="169"/>
      <c r="U77" s="169"/>
      <c r="V77" s="169"/>
      <c r="W77" s="169"/>
      <c r="X77" s="169"/>
      <c r="Y77" s="169"/>
    </row>
    <row r="78" spans="1:25">
      <c r="A78" s="169"/>
      <c r="B78" s="169"/>
      <c r="C78" s="170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796"/>
      <c r="R78" s="169"/>
      <c r="S78" s="169"/>
      <c r="T78" s="169"/>
      <c r="U78" s="169"/>
      <c r="V78" s="169"/>
      <c r="W78" s="169"/>
      <c r="X78" s="169"/>
      <c r="Y78" s="169"/>
    </row>
    <row r="79" spans="1:25">
      <c r="A79" s="169"/>
      <c r="B79" s="169"/>
      <c r="C79" s="170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796"/>
      <c r="R79" s="169"/>
      <c r="S79" s="169"/>
      <c r="T79" s="169"/>
      <c r="U79" s="169"/>
      <c r="V79" s="169"/>
      <c r="W79" s="169"/>
      <c r="X79" s="169"/>
      <c r="Y79" s="169"/>
    </row>
    <row r="80" spans="1:25">
      <c r="A80" s="169"/>
      <c r="B80" s="169"/>
      <c r="C80" s="170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796"/>
      <c r="R80" s="169"/>
      <c r="S80" s="169"/>
      <c r="T80" s="169"/>
      <c r="U80" s="169"/>
      <c r="V80" s="169"/>
      <c r="W80" s="169"/>
      <c r="X80" s="169"/>
      <c r="Y80" s="169"/>
    </row>
    <row r="81" spans="1:25">
      <c r="A81" s="169"/>
      <c r="B81" s="169"/>
      <c r="C81" s="170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796"/>
      <c r="R81" s="169"/>
      <c r="S81" s="169"/>
      <c r="T81" s="169"/>
      <c r="U81" s="169"/>
      <c r="V81" s="169"/>
      <c r="W81" s="169"/>
      <c r="X81" s="169"/>
      <c r="Y81" s="169"/>
    </row>
    <row r="82" spans="1:25">
      <c r="A82" s="169"/>
      <c r="B82" s="169"/>
      <c r="C82" s="170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796"/>
      <c r="R82" s="169"/>
      <c r="S82" s="169"/>
      <c r="T82" s="169"/>
      <c r="U82" s="169"/>
      <c r="V82" s="169"/>
      <c r="W82" s="169"/>
      <c r="X82" s="169"/>
      <c r="Y82" s="169"/>
    </row>
    <row r="83" spans="1:25">
      <c r="A83" s="169"/>
      <c r="B83" s="169"/>
      <c r="C83" s="170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796"/>
      <c r="R83" s="169"/>
      <c r="S83" s="169"/>
      <c r="T83" s="169"/>
      <c r="U83" s="169"/>
      <c r="V83" s="169"/>
      <c r="W83" s="169"/>
      <c r="X83" s="169"/>
      <c r="Y83" s="169"/>
    </row>
    <row r="84" spans="1:25">
      <c r="A84" s="169"/>
      <c r="B84" s="169"/>
      <c r="C84" s="170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796"/>
      <c r="R84" s="169"/>
      <c r="S84" s="169"/>
      <c r="T84" s="169"/>
      <c r="U84" s="169"/>
      <c r="V84" s="169"/>
      <c r="W84" s="169"/>
      <c r="X84" s="169"/>
      <c r="Y84" s="169"/>
    </row>
    <row r="85" spans="1:25">
      <c r="A85" s="169"/>
      <c r="B85" s="169"/>
      <c r="C85" s="170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796"/>
      <c r="R85" s="169"/>
      <c r="S85" s="169"/>
      <c r="T85" s="169"/>
      <c r="U85" s="169"/>
      <c r="V85" s="169"/>
      <c r="W85" s="169"/>
      <c r="X85" s="169"/>
      <c r="Y85" s="169"/>
    </row>
    <row r="86" spans="1:25">
      <c r="A86" s="169"/>
      <c r="B86" s="169"/>
      <c r="C86" s="170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796"/>
      <c r="R86" s="169"/>
      <c r="S86" s="169"/>
      <c r="T86" s="169"/>
      <c r="U86" s="169"/>
      <c r="V86" s="169"/>
      <c r="W86" s="169"/>
      <c r="X86" s="169"/>
      <c r="Y86" s="169"/>
    </row>
    <row r="87" spans="1:25">
      <c r="A87" s="169"/>
      <c r="B87" s="169"/>
      <c r="C87" s="170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796"/>
      <c r="R87" s="169"/>
      <c r="S87" s="169"/>
      <c r="T87" s="169"/>
      <c r="U87" s="169"/>
      <c r="V87" s="169"/>
      <c r="W87" s="169"/>
      <c r="X87" s="169"/>
      <c r="Y87" s="169"/>
    </row>
    <row r="88" spans="1:25">
      <c r="A88" s="169"/>
      <c r="B88" s="169"/>
      <c r="C88" s="170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796"/>
      <c r="R88" s="169"/>
      <c r="S88" s="169"/>
      <c r="T88" s="169"/>
      <c r="U88" s="169"/>
      <c r="V88" s="169"/>
      <c r="W88" s="169"/>
      <c r="X88" s="169"/>
      <c r="Y88" s="169"/>
    </row>
    <row r="89" spans="1:25">
      <c r="A89" s="169"/>
      <c r="B89" s="169"/>
      <c r="C89" s="170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796"/>
      <c r="R89" s="169"/>
      <c r="S89" s="169"/>
      <c r="T89" s="169"/>
      <c r="U89" s="169"/>
      <c r="V89" s="169"/>
      <c r="W89" s="169"/>
      <c r="X89" s="169"/>
      <c r="Y89" s="169"/>
    </row>
    <row r="90" spans="1:25">
      <c r="A90" s="169"/>
      <c r="B90" s="169"/>
      <c r="C90" s="170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796"/>
      <c r="R90" s="169"/>
      <c r="S90" s="169"/>
      <c r="T90" s="169"/>
      <c r="U90" s="169"/>
      <c r="V90" s="169"/>
      <c r="W90" s="169"/>
      <c r="X90" s="169"/>
      <c r="Y90" s="169"/>
    </row>
    <row r="91" spans="1:25">
      <c r="A91" s="169"/>
      <c r="B91" s="169"/>
      <c r="C91" s="170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796"/>
      <c r="R91" s="169"/>
      <c r="S91" s="169"/>
      <c r="T91" s="169"/>
      <c r="U91" s="169"/>
      <c r="V91" s="169"/>
      <c r="W91" s="169"/>
      <c r="X91" s="169"/>
      <c r="Y91" s="169"/>
    </row>
    <row r="92" spans="1:25">
      <c r="A92" s="169"/>
      <c r="B92" s="169"/>
      <c r="C92" s="170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796"/>
      <c r="R92" s="169"/>
      <c r="S92" s="169"/>
      <c r="T92" s="169"/>
      <c r="U92" s="169"/>
      <c r="V92" s="169"/>
      <c r="W92" s="169"/>
      <c r="X92" s="169"/>
      <c r="Y92" s="169"/>
    </row>
    <row r="93" spans="1:25">
      <c r="A93" s="169"/>
      <c r="B93" s="169"/>
      <c r="C93" s="170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796"/>
      <c r="R93" s="169"/>
      <c r="S93" s="169"/>
      <c r="T93" s="169"/>
      <c r="U93" s="169"/>
      <c r="V93" s="169"/>
      <c r="W93" s="169"/>
      <c r="X93" s="169"/>
      <c r="Y93" s="169"/>
    </row>
    <row r="94" spans="1:25">
      <c r="A94" s="169"/>
      <c r="B94" s="169"/>
      <c r="C94" s="170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796"/>
      <c r="R94" s="169"/>
      <c r="S94" s="169"/>
      <c r="T94" s="169"/>
      <c r="U94" s="169"/>
      <c r="V94" s="169"/>
      <c r="W94" s="169"/>
      <c r="X94" s="169"/>
      <c r="Y94" s="169"/>
    </row>
    <row r="95" spans="1:25">
      <c r="A95" s="169"/>
      <c r="B95" s="169"/>
      <c r="C95" s="170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796"/>
      <c r="R95" s="169"/>
      <c r="S95" s="169"/>
      <c r="T95" s="169"/>
      <c r="U95" s="169"/>
      <c r="V95" s="169"/>
      <c r="W95" s="169"/>
      <c r="X95" s="169"/>
      <c r="Y95" s="169"/>
    </row>
    <row r="96" spans="1:25">
      <c r="A96" s="169"/>
      <c r="B96" s="169"/>
      <c r="C96" s="170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796"/>
      <c r="R96" s="169"/>
      <c r="S96" s="169"/>
      <c r="T96" s="169"/>
      <c r="U96" s="169"/>
      <c r="V96" s="169"/>
      <c r="W96" s="169"/>
      <c r="X96" s="169"/>
      <c r="Y96" s="169"/>
    </row>
    <row r="97" spans="1:25">
      <c r="A97" s="169"/>
      <c r="B97" s="169"/>
      <c r="C97" s="170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796"/>
      <c r="R97" s="169"/>
      <c r="S97" s="169"/>
      <c r="T97" s="169"/>
      <c r="U97" s="169"/>
      <c r="V97" s="169"/>
      <c r="W97" s="169"/>
      <c r="X97" s="169"/>
      <c r="Y97" s="169"/>
    </row>
    <row r="98" spans="1:25">
      <c r="A98" s="169"/>
      <c r="B98" s="169"/>
      <c r="C98" s="170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796"/>
      <c r="R98" s="169"/>
      <c r="S98" s="169"/>
      <c r="T98" s="169"/>
      <c r="U98" s="169"/>
      <c r="V98" s="169"/>
      <c r="W98" s="169"/>
      <c r="X98" s="169"/>
      <c r="Y98" s="169"/>
    </row>
    <row r="99" spans="1:25">
      <c r="A99" s="169"/>
      <c r="B99" s="169"/>
      <c r="C99" s="170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796"/>
      <c r="R99" s="169"/>
      <c r="S99" s="169"/>
      <c r="T99" s="169"/>
      <c r="U99" s="169"/>
      <c r="V99" s="169"/>
      <c r="W99" s="169"/>
      <c r="X99" s="169"/>
      <c r="Y99" s="169"/>
    </row>
    <row r="100" spans="1:25">
      <c r="A100" s="169"/>
      <c r="B100" s="169"/>
      <c r="C100" s="170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796"/>
      <c r="R100" s="169"/>
      <c r="S100" s="169"/>
      <c r="T100" s="169"/>
      <c r="U100" s="169"/>
      <c r="V100" s="169"/>
      <c r="W100" s="169"/>
      <c r="X100" s="169"/>
      <c r="Y100" s="169"/>
    </row>
    <row r="101" spans="1:25">
      <c r="A101" s="169"/>
      <c r="B101" s="169"/>
      <c r="C101" s="170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796"/>
      <c r="R101" s="169"/>
      <c r="S101" s="169"/>
      <c r="T101" s="169"/>
      <c r="U101" s="169"/>
      <c r="V101" s="169"/>
      <c r="W101" s="169"/>
      <c r="X101" s="169"/>
      <c r="Y101" s="169"/>
    </row>
    <row r="102" spans="1:25">
      <c r="A102" s="169"/>
      <c r="B102" s="169"/>
      <c r="C102" s="170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796"/>
      <c r="R102" s="169"/>
      <c r="S102" s="169"/>
      <c r="T102" s="169"/>
      <c r="U102" s="169"/>
      <c r="V102" s="169"/>
      <c r="W102" s="169"/>
      <c r="X102" s="169"/>
      <c r="Y102" s="169"/>
    </row>
    <row r="103" spans="1:25">
      <c r="A103" s="169"/>
      <c r="B103" s="169"/>
      <c r="C103" s="170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796"/>
      <c r="R103" s="169"/>
      <c r="S103" s="169"/>
      <c r="T103" s="169"/>
      <c r="U103" s="169"/>
      <c r="V103" s="169"/>
      <c r="W103" s="169"/>
      <c r="X103" s="169"/>
      <c r="Y103" s="169"/>
    </row>
    <row r="104" spans="1:25">
      <c r="A104" s="169"/>
      <c r="B104" s="169"/>
      <c r="C104" s="170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796"/>
      <c r="R104" s="169"/>
      <c r="S104" s="169"/>
      <c r="T104" s="169"/>
      <c r="U104" s="169"/>
      <c r="V104" s="169"/>
      <c r="W104" s="169"/>
      <c r="X104" s="169"/>
      <c r="Y104" s="169"/>
    </row>
    <row r="105" spans="1:25">
      <c r="A105" s="169"/>
      <c r="B105" s="169"/>
      <c r="C105" s="170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796"/>
      <c r="R105" s="169"/>
      <c r="S105" s="169"/>
      <c r="T105" s="169"/>
      <c r="U105" s="169"/>
      <c r="V105" s="169"/>
      <c r="W105" s="169"/>
      <c r="X105" s="169"/>
      <c r="Y105" s="169"/>
    </row>
    <row r="106" spans="1:25">
      <c r="A106" s="169"/>
      <c r="B106" s="169"/>
      <c r="C106" s="170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796"/>
      <c r="R106" s="169"/>
      <c r="S106" s="169"/>
      <c r="T106" s="169"/>
      <c r="U106" s="169"/>
      <c r="V106" s="169"/>
      <c r="W106" s="169"/>
      <c r="X106" s="169"/>
      <c r="Y106" s="169"/>
    </row>
    <row r="107" spans="1:25">
      <c r="A107" s="169"/>
      <c r="B107" s="169"/>
      <c r="C107" s="170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796"/>
      <c r="R107" s="169"/>
      <c r="S107" s="169"/>
      <c r="T107" s="169"/>
      <c r="U107" s="169"/>
      <c r="V107" s="169"/>
      <c r="W107" s="169"/>
      <c r="X107" s="169"/>
      <c r="Y107" s="169"/>
    </row>
    <row r="108" spans="1:25">
      <c r="A108" s="169"/>
      <c r="B108" s="169"/>
      <c r="C108" s="170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796"/>
      <c r="R108" s="169"/>
      <c r="S108" s="169"/>
      <c r="T108" s="169"/>
      <c r="U108" s="169"/>
      <c r="V108" s="169"/>
      <c r="W108" s="169"/>
      <c r="X108" s="169"/>
      <c r="Y108" s="169"/>
    </row>
    <row r="109" spans="1:25">
      <c r="A109" s="169"/>
      <c r="B109" s="169"/>
      <c r="C109" s="170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796"/>
      <c r="R109" s="169"/>
      <c r="S109" s="169"/>
      <c r="T109" s="169"/>
      <c r="U109" s="169"/>
      <c r="V109" s="169"/>
      <c r="W109" s="169"/>
      <c r="X109" s="169"/>
      <c r="Y109" s="169"/>
    </row>
    <row r="110" spans="1:25">
      <c r="A110" s="169"/>
      <c r="B110" s="169"/>
      <c r="C110" s="170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796"/>
      <c r="R110" s="169"/>
      <c r="S110" s="169"/>
      <c r="T110" s="169"/>
      <c r="U110" s="169"/>
      <c r="V110" s="169"/>
      <c r="W110" s="169"/>
      <c r="X110" s="169"/>
      <c r="Y110" s="169"/>
    </row>
    <row r="111" spans="1:25">
      <c r="A111" s="169"/>
      <c r="B111" s="169"/>
      <c r="C111" s="170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796"/>
      <c r="R111" s="169"/>
      <c r="S111" s="169"/>
      <c r="T111" s="169"/>
      <c r="U111" s="169"/>
      <c r="V111" s="169"/>
      <c r="W111" s="169"/>
      <c r="X111" s="169"/>
      <c r="Y111" s="169"/>
    </row>
    <row r="112" spans="1:25">
      <c r="A112" s="169"/>
      <c r="B112" s="169"/>
      <c r="C112" s="170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796"/>
      <c r="R112" s="169"/>
      <c r="S112" s="169"/>
      <c r="T112" s="169"/>
      <c r="U112" s="169"/>
      <c r="V112" s="169"/>
      <c r="W112" s="169"/>
      <c r="X112" s="169"/>
      <c r="Y112" s="169"/>
    </row>
    <row r="113" spans="1:25">
      <c r="A113" s="169"/>
      <c r="B113" s="169"/>
      <c r="C113" s="170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796"/>
      <c r="R113" s="169"/>
      <c r="S113" s="169"/>
      <c r="T113" s="169"/>
      <c r="U113" s="169"/>
      <c r="V113" s="169"/>
      <c r="W113" s="169"/>
      <c r="X113" s="169"/>
      <c r="Y113" s="169"/>
    </row>
    <row r="114" spans="1:25">
      <c r="A114" s="169"/>
      <c r="B114" s="169"/>
      <c r="C114" s="170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796"/>
      <c r="R114" s="169"/>
      <c r="S114" s="169"/>
      <c r="T114" s="169"/>
      <c r="U114" s="169"/>
      <c r="V114" s="169"/>
      <c r="W114" s="169"/>
      <c r="X114" s="169"/>
      <c r="Y114" s="169"/>
    </row>
    <row r="115" spans="1:25">
      <c r="A115" s="169"/>
      <c r="B115" s="169"/>
      <c r="C115" s="170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796"/>
      <c r="R115" s="169"/>
      <c r="S115" s="169"/>
      <c r="T115" s="169"/>
      <c r="U115" s="169"/>
      <c r="V115" s="169"/>
      <c r="W115" s="169"/>
      <c r="X115" s="169"/>
      <c r="Y115" s="169"/>
    </row>
    <row r="116" spans="1:25">
      <c r="A116" s="169"/>
      <c r="B116" s="169"/>
      <c r="C116" s="170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796"/>
      <c r="R116" s="169"/>
      <c r="S116" s="169"/>
      <c r="T116" s="169"/>
      <c r="U116" s="169"/>
      <c r="V116" s="169"/>
      <c r="W116" s="169"/>
      <c r="X116" s="169"/>
      <c r="Y116" s="169"/>
    </row>
    <row r="117" spans="1:25">
      <c r="A117" s="169"/>
      <c r="B117" s="169"/>
      <c r="C117" s="170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796"/>
      <c r="R117" s="169"/>
      <c r="S117" s="169"/>
      <c r="T117" s="169"/>
      <c r="U117" s="169"/>
      <c r="V117" s="169"/>
      <c r="W117" s="169"/>
      <c r="X117" s="169"/>
      <c r="Y117" s="169"/>
    </row>
    <row r="118" spans="1:25">
      <c r="A118" s="169"/>
      <c r="B118" s="169"/>
      <c r="C118" s="170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796"/>
      <c r="R118" s="169"/>
      <c r="S118" s="169"/>
      <c r="T118" s="169"/>
      <c r="U118" s="169"/>
      <c r="V118" s="169"/>
      <c r="W118" s="169"/>
      <c r="X118" s="169"/>
      <c r="Y118" s="169"/>
    </row>
    <row r="119" spans="1:25">
      <c r="A119" s="169"/>
      <c r="B119" s="169"/>
      <c r="C119" s="170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796"/>
      <c r="R119" s="169"/>
      <c r="S119" s="169"/>
      <c r="T119" s="169"/>
      <c r="U119" s="169"/>
      <c r="V119" s="169"/>
      <c r="W119" s="169"/>
      <c r="X119" s="169"/>
      <c r="Y119" s="169"/>
    </row>
    <row r="120" spans="1:25">
      <c r="A120" s="169"/>
      <c r="B120" s="169"/>
      <c r="C120" s="170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796"/>
      <c r="R120" s="169"/>
      <c r="S120" s="169"/>
      <c r="T120" s="169"/>
      <c r="U120" s="169"/>
      <c r="V120" s="169"/>
      <c r="W120" s="169"/>
      <c r="X120" s="169"/>
      <c r="Y120" s="169"/>
    </row>
    <row r="121" spans="1:25">
      <c r="A121" s="169"/>
      <c r="B121" s="169"/>
      <c r="C121" s="170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796"/>
      <c r="R121" s="169"/>
      <c r="S121" s="169"/>
      <c r="T121" s="169"/>
      <c r="U121" s="169"/>
      <c r="V121" s="169"/>
      <c r="W121" s="169"/>
      <c r="X121" s="169"/>
      <c r="Y121" s="169"/>
    </row>
    <row r="122" spans="1:25">
      <c r="A122" s="169"/>
      <c r="B122" s="169"/>
      <c r="C122" s="170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796"/>
      <c r="R122" s="169"/>
      <c r="S122" s="169"/>
      <c r="T122" s="169"/>
      <c r="U122" s="169"/>
      <c r="V122" s="169"/>
      <c r="W122" s="169"/>
      <c r="X122" s="169"/>
      <c r="Y122" s="169"/>
    </row>
    <row r="123" spans="1:25">
      <c r="A123" s="169"/>
      <c r="B123" s="169"/>
      <c r="C123" s="170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796"/>
      <c r="R123" s="169"/>
      <c r="S123" s="169"/>
      <c r="T123" s="169"/>
      <c r="U123" s="169"/>
      <c r="V123" s="169"/>
      <c r="W123" s="169"/>
      <c r="X123" s="169"/>
      <c r="Y123" s="169"/>
    </row>
    <row r="124" spans="1:25">
      <c r="A124" s="169"/>
      <c r="B124" s="169"/>
      <c r="C124" s="170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796"/>
      <c r="R124" s="169"/>
      <c r="S124" s="169"/>
      <c r="T124" s="169"/>
      <c r="U124" s="169"/>
      <c r="V124" s="169"/>
      <c r="W124" s="169"/>
      <c r="X124" s="169"/>
      <c r="Y124" s="169"/>
    </row>
    <row r="125" spans="1:25">
      <c r="A125" s="169"/>
      <c r="B125" s="169"/>
      <c r="C125" s="170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796"/>
      <c r="R125" s="169"/>
      <c r="S125" s="169"/>
      <c r="T125" s="169"/>
      <c r="U125" s="169"/>
      <c r="V125" s="169"/>
      <c r="W125" s="169"/>
      <c r="X125" s="169"/>
      <c r="Y125" s="169"/>
    </row>
    <row r="126" spans="1:25">
      <c r="A126" s="169"/>
      <c r="B126" s="169"/>
      <c r="C126" s="170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796"/>
      <c r="R126" s="169"/>
      <c r="S126" s="169"/>
      <c r="T126" s="169"/>
      <c r="U126" s="169"/>
      <c r="V126" s="169"/>
      <c r="W126" s="169"/>
      <c r="X126" s="169"/>
      <c r="Y126" s="169"/>
    </row>
    <row r="127" spans="1:25">
      <c r="A127" s="169"/>
      <c r="B127" s="169"/>
      <c r="C127" s="170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796"/>
      <c r="R127" s="169"/>
      <c r="S127" s="169"/>
      <c r="T127" s="169"/>
      <c r="U127" s="169"/>
      <c r="V127" s="169"/>
      <c r="W127" s="169"/>
      <c r="X127" s="169"/>
      <c r="Y127" s="169"/>
    </row>
    <row r="128" spans="1:25">
      <c r="A128" s="169"/>
      <c r="B128" s="169"/>
      <c r="C128" s="170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796"/>
      <c r="R128" s="169"/>
      <c r="S128" s="169"/>
      <c r="T128" s="169"/>
      <c r="U128" s="169"/>
      <c r="V128" s="169"/>
      <c r="W128" s="169"/>
      <c r="X128" s="169"/>
      <c r="Y128" s="169"/>
    </row>
    <row r="129" spans="1:25">
      <c r="A129" s="169"/>
      <c r="B129" s="169"/>
      <c r="C129" s="170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796"/>
      <c r="R129" s="169"/>
      <c r="S129" s="169"/>
      <c r="T129" s="169"/>
      <c r="U129" s="169"/>
      <c r="V129" s="169"/>
      <c r="W129" s="169"/>
      <c r="X129" s="169"/>
      <c r="Y129" s="169"/>
    </row>
    <row r="130" spans="1:25">
      <c r="A130" s="169"/>
      <c r="B130" s="169"/>
      <c r="C130" s="170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796"/>
      <c r="R130" s="169"/>
      <c r="S130" s="169"/>
      <c r="T130" s="169"/>
      <c r="U130" s="169"/>
      <c r="V130" s="169"/>
      <c r="W130" s="169"/>
      <c r="X130" s="169"/>
      <c r="Y130" s="169"/>
    </row>
    <row r="131" spans="1:25">
      <c r="A131" s="169"/>
      <c r="B131" s="169"/>
      <c r="C131" s="170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796"/>
      <c r="R131" s="169"/>
      <c r="S131" s="169"/>
      <c r="T131" s="169"/>
      <c r="U131" s="169"/>
      <c r="V131" s="169"/>
      <c r="W131" s="169"/>
      <c r="X131" s="169"/>
      <c r="Y131" s="169"/>
    </row>
    <row r="132" spans="1:25">
      <c r="A132" s="169"/>
      <c r="B132" s="169"/>
      <c r="C132" s="170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796"/>
      <c r="R132" s="169"/>
      <c r="S132" s="169"/>
      <c r="T132" s="169"/>
      <c r="U132" s="169"/>
      <c r="V132" s="169"/>
      <c r="W132" s="169"/>
      <c r="X132" s="169"/>
      <c r="Y132" s="169"/>
    </row>
    <row r="133" spans="1:25">
      <c r="A133" s="169"/>
      <c r="B133" s="169"/>
      <c r="C133" s="170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796"/>
      <c r="R133" s="169"/>
      <c r="S133" s="169"/>
      <c r="T133" s="169"/>
      <c r="U133" s="169"/>
      <c r="V133" s="169"/>
      <c r="W133" s="169"/>
      <c r="X133" s="169"/>
      <c r="Y133" s="169"/>
    </row>
    <row r="134" spans="1:25">
      <c r="A134" s="169"/>
      <c r="B134" s="169"/>
      <c r="C134" s="170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796"/>
      <c r="R134" s="169"/>
      <c r="S134" s="169"/>
      <c r="T134" s="169"/>
      <c r="U134" s="169"/>
      <c r="V134" s="169"/>
      <c r="W134" s="169"/>
      <c r="X134" s="169"/>
      <c r="Y134" s="169"/>
    </row>
    <row r="135" spans="1:25">
      <c r="A135" s="169"/>
      <c r="B135" s="169"/>
      <c r="C135" s="170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796"/>
      <c r="R135" s="169"/>
      <c r="S135" s="169"/>
      <c r="T135" s="169"/>
      <c r="U135" s="169"/>
      <c r="V135" s="169"/>
      <c r="W135" s="169"/>
      <c r="X135" s="169"/>
      <c r="Y135" s="169"/>
    </row>
    <row r="136" spans="1:25">
      <c r="A136" s="169"/>
      <c r="B136" s="169"/>
      <c r="C136" s="170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796"/>
      <c r="R136" s="169"/>
      <c r="S136" s="169"/>
      <c r="T136" s="169"/>
      <c r="U136" s="169"/>
      <c r="V136" s="169"/>
      <c r="W136" s="169"/>
      <c r="X136" s="169"/>
      <c r="Y136" s="169"/>
    </row>
    <row r="137" spans="1:25">
      <c r="A137" s="169"/>
      <c r="B137" s="169"/>
      <c r="C137" s="170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796"/>
      <c r="R137" s="169"/>
      <c r="S137" s="169"/>
      <c r="T137" s="169"/>
      <c r="U137" s="169"/>
      <c r="V137" s="169"/>
      <c r="W137" s="169"/>
      <c r="X137" s="169"/>
      <c r="Y137" s="169"/>
    </row>
    <row r="138" spans="1:25">
      <c r="A138" s="169"/>
      <c r="B138" s="169"/>
      <c r="C138" s="170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796"/>
      <c r="R138" s="169"/>
      <c r="S138" s="169"/>
      <c r="T138" s="169"/>
      <c r="U138" s="169"/>
      <c r="V138" s="169"/>
      <c r="W138" s="169"/>
      <c r="X138" s="169"/>
      <c r="Y138" s="169"/>
    </row>
    <row r="139" spans="1:25">
      <c r="A139" s="169"/>
      <c r="B139" s="169"/>
      <c r="C139" s="170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796"/>
      <c r="R139" s="169"/>
      <c r="S139" s="169"/>
      <c r="T139" s="169"/>
      <c r="U139" s="169"/>
      <c r="V139" s="169"/>
      <c r="W139" s="169"/>
      <c r="X139" s="169"/>
      <c r="Y139" s="169"/>
    </row>
    <row r="140" spans="1:25">
      <c r="A140" s="169"/>
      <c r="B140" s="169"/>
      <c r="C140" s="170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796"/>
      <c r="R140" s="169"/>
      <c r="S140" s="169"/>
      <c r="T140" s="169"/>
      <c r="U140" s="169"/>
      <c r="V140" s="169"/>
      <c r="W140" s="169"/>
      <c r="X140" s="169"/>
      <c r="Y140" s="169"/>
    </row>
    <row r="141" spans="1:25">
      <c r="A141" s="169"/>
      <c r="B141" s="169"/>
      <c r="C141" s="170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796"/>
      <c r="R141" s="169"/>
      <c r="S141" s="169"/>
      <c r="T141" s="169"/>
      <c r="U141" s="169"/>
      <c r="V141" s="169"/>
      <c r="W141" s="169"/>
      <c r="X141" s="169"/>
      <c r="Y141" s="169"/>
    </row>
    <row r="142" spans="1:25">
      <c r="A142" s="169"/>
      <c r="B142" s="169"/>
      <c r="C142" s="170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796"/>
      <c r="R142" s="169"/>
      <c r="S142" s="169"/>
      <c r="T142" s="169"/>
      <c r="U142" s="169"/>
      <c r="V142" s="169"/>
      <c r="W142" s="169"/>
      <c r="X142" s="169"/>
      <c r="Y142" s="169"/>
    </row>
    <row r="143" spans="1:25">
      <c r="A143" s="169"/>
      <c r="B143" s="169"/>
      <c r="C143" s="170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796"/>
      <c r="R143" s="169"/>
      <c r="S143" s="169"/>
      <c r="T143" s="169"/>
      <c r="U143" s="169"/>
      <c r="V143" s="169"/>
      <c r="W143" s="169"/>
      <c r="X143" s="169"/>
      <c r="Y143" s="169"/>
    </row>
    <row r="144" spans="1:25">
      <c r="A144" s="169"/>
      <c r="B144" s="169"/>
      <c r="C144" s="170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796"/>
      <c r="R144" s="169"/>
      <c r="S144" s="169"/>
      <c r="T144" s="169"/>
      <c r="U144" s="169"/>
      <c r="V144" s="169"/>
      <c r="W144" s="169"/>
      <c r="X144" s="169"/>
      <c r="Y144" s="169"/>
    </row>
    <row r="145" spans="1:25">
      <c r="A145" s="169"/>
      <c r="B145" s="169"/>
      <c r="C145" s="170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796"/>
      <c r="R145" s="169"/>
      <c r="S145" s="169"/>
      <c r="T145" s="169"/>
      <c r="U145" s="169"/>
      <c r="V145" s="169"/>
      <c r="W145" s="169"/>
      <c r="X145" s="169"/>
      <c r="Y145" s="169"/>
    </row>
    <row r="146" spans="1:25">
      <c r="A146" s="169"/>
      <c r="B146" s="169"/>
      <c r="C146" s="170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796"/>
      <c r="R146" s="169"/>
      <c r="S146" s="169"/>
      <c r="T146" s="169"/>
      <c r="U146" s="169"/>
      <c r="V146" s="169"/>
      <c r="W146" s="169"/>
      <c r="X146" s="169"/>
      <c r="Y146" s="169"/>
    </row>
    <row r="147" spans="1:25">
      <c r="A147" s="169"/>
      <c r="B147" s="169"/>
      <c r="C147" s="170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796"/>
      <c r="R147" s="169"/>
      <c r="S147" s="169"/>
      <c r="T147" s="169"/>
      <c r="U147" s="169"/>
      <c r="V147" s="169"/>
      <c r="W147" s="169"/>
      <c r="X147" s="169"/>
      <c r="Y147" s="169"/>
    </row>
    <row r="148" spans="1:25">
      <c r="A148" s="169"/>
      <c r="B148" s="169"/>
      <c r="C148" s="170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796"/>
      <c r="R148" s="169"/>
      <c r="S148" s="169"/>
      <c r="T148" s="169"/>
      <c r="U148" s="169"/>
      <c r="V148" s="169"/>
      <c r="W148" s="169"/>
      <c r="X148" s="169"/>
      <c r="Y148" s="169"/>
    </row>
    <row r="149" spans="1:25">
      <c r="A149" s="169"/>
      <c r="B149" s="169"/>
      <c r="C149" s="170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796"/>
      <c r="R149" s="169"/>
      <c r="S149" s="169"/>
      <c r="T149" s="169"/>
      <c r="U149" s="169"/>
      <c r="V149" s="169"/>
      <c r="W149" s="169"/>
      <c r="X149" s="169"/>
      <c r="Y149" s="169"/>
    </row>
    <row r="150" spans="1:25">
      <c r="A150" s="169"/>
      <c r="B150" s="169"/>
      <c r="C150" s="170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796"/>
      <c r="R150" s="169"/>
      <c r="S150" s="169"/>
      <c r="T150" s="169"/>
      <c r="U150" s="169"/>
      <c r="V150" s="169"/>
      <c r="W150" s="169"/>
      <c r="X150" s="169"/>
      <c r="Y150" s="169"/>
    </row>
    <row r="151" spans="1:25">
      <c r="A151" s="169"/>
      <c r="B151" s="169"/>
      <c r="C151" s="170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796"/>
      <c r="R151" s="169"/>
      <c r="S151" s="169"/>
      <c r="T151" s="169"/>
      <c r="U151" s="169"/>
      <c r="V151" s="169"/>
      <c r="W151" s="169"/>
      <c r="X151" s="169"/>
      <c r="Y151" s="169"/>
    </row>
    <row r="152" spans="1:25">
      <c r="A152" s="169"/>
      <c r="B152" s="169"/>
      <c r="C152" s="170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796"/>
      <c r="R152" s="169"/>
      <c r="S152" s="169"/>
      <c r="T152" s="169"/>
      <c r="U152" s="169"/>
      <c r="V152" s="169"/>
      <c r="W152" s="169"/>
      <c r="X152" s="169"/>
      <c r="Y152" s="169"/>
    </row>
    <row r="153" spans="1:25">
      <c r="A153" s="169"/>
      <c r="B153" s="169"/>
      <c r="C153" s="170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796"/>
      <c r="R153" s="169"/>
      <c r="S153" s="169"/>
      <c r="T153" s="169"/>
      <c r="U153" s="169"/>
      <c r="V153" s="169"/>
      <c r="W153" s="169"/>
      <c r="X153" s="169"/>
      <c r="Y153" s="169"/>
    </row>
    <row r="154" spans="1:25">
      <c r="A154" s="169"/>
      <c r="B154" s="169"/>
      <c r="C154" s="170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796"/>
      <c r="R154" s="169"/>
      <c r="S154" s="169"/>
      <c r="T154" s="169"/>
      <c r="U154" s="169"/>
      <c r="V154" s="169"/>
      <c r="W154" s="169"/>
      <c r="X154" s="169"/>
      <c r="Y154" s="169"/>
    </row>
    <row r="155" spans="1:25">
      <c r="A155" s="169"/>
      <c r="B155" s="169"/>
      <c r="C155" s="170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796"/>
      <c r="R155" s="169"/>
      <c r="S155" s="169"/>
      <c r="T155" s="169"/>
      <c r="U155" s="169"/>
      <c r="V155" s="169"/>
      <c r="W155" s="169"/>
      <c r="X155" s="169"/>
      <c r="Y155" s="169"/>
    </row>
    <row r="156" spans="1:25">
      <c r="A156" s="169"/>
      <c r="B156" s="169"/>
      <c r="C156" s="170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796"/>
      <c r="R156" s="169"/>
      <c r="S156" s="169"/>
      <c r="T156" s="169"/>
      <c r="U156" s="169"/>
      <c r="V156" s="169"/>
      <c r="W156" s="169"/>
      <c r="X156" s="169"/>
      <c r="Y156" s="169"/>
    </row>
    <row r="157" spans="1:25">
      <c r="A157" s="169"/>
      <c r="B157" s="169"/>
      <c r="C157" s="170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796"/>
      <c r="R157" s="169"/>
      <c r="S157" s="169"/>
      <c r="T157" s="169"/>
      <c r="U157" s="169"/>
      <c r="V157" s="169"/>
      <c r="W157" s="169"/>
      <c r="X157" s="169"/>
      <c r="Y157" s="169"/>
    </row>
    <row r="158" spans="1:25">
      <c r="A158" s="169"/>
      <c r="B158" s="169"/>
      <c r="C158" s="170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796"/>
      <c r="R158" s="169"/>
      <c r="S158" s="169"/>
      <c r="T158" s="169"/>
      <c r="U158" s="169"/>
      <c r="V158" s="169"/>
      <c r="W158" s="169"/>
      <c r="X158" s="169"/>
      <c r="Y158" s="169"/>
    </row>
    <row r="159" spans="1:25">
      <c r="A159" s="169"/>
      <c r="B159" s="169"/>
      <c r="C159" s="170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796"/>
      <c r="R159" s="169"/>
      <c r="S159" s="169"/>
      <c r="T159" s="169"/>
      <c r="U159" s="169"/>
      <c r="V159" s="169"/>
      <c r="W159" s="169"/>
      <c r="X159" s="169"/>
      <c r="Y159" s="169"/>
    </row>
    <row r="160" spans="1:25">
      <c r="A160" s="169"/>
      <c r="B160" s="169"/>
      <c r="C160" s="170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796"/>
      <c r="R160" s="169"/>
      <c r="S160" s="169"/>
      <c r="T160" s="169"/>
      <c r="U160" s="169"/>
      <c r="V160" s="169"/>
      <c r="W160" s="169"/>
      <c r="X160" s="169"/>
      <c r="Y160" s="169"/>
    </row>
    <row r="161" spans="1:25">
      <c r="A161" s="169"/>
      <c r="B161" s="169"/>
      <c r="C161" s="170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796"/>
      <c r="R161" s="169"/>
      <c r="S161" s="169"/>
      <c r="T161" s="169"/>
      <c r="U161" s="169"/>
      <c r="V161" s="169"/>
      <c r="W161" s="169"/>
      <c r="X161" s="169"/>
      <c r="Y161" s="169"/>
    </row>
    <row r="162" spans="1:25">
      <c r="A162" s="169"/>
      <c r="B162" s="169"/>
      <c r="C162" s="170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796"/>
      <c r="R162" s="169"/>
      <c r="S162" s="169"/>
      <c r="T162" s="169"/>
      <c r="U162" s="169"/>
      <c r="V162" s="169"/>
      <c r="W162" s="169"/>
      <c r="X162" s="169"/>
      <c r="Y162" s="169"/>
    </row>
    <row r="163" spans="1:25">
      <c r="A163" s="169"/>
      <c r="B163" s="169"/>
      <c r="C163" s="170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796"/>
      <c r="R163" s="169"/>
      <c r="S163" s="169"/>
      <c r="T163" s="169"/>
      <c r="U163" s="169"/>
      <c r="V163" s="169"/>
      <c r="W163" s="169"/>
      <c r="X163" s="169"/>
      <c r="Y163" s="169"/>
    </row>
    <row r="164" spans="1:25">
      <c r="A164" s="169"/>
      <c r="B164" s="169"/>
      <c r="C164" s="170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796"/>
      <c r="R164" s="169"/>
      <c r="S164" s="169"/>
      <c r="T164" s="169"/>
      <c r="U164" s="169"/>
      <c r="V164" s="169"/>
      <c r="W164" s="169"/>
      <c r="X164" s="169"/>
      <c r="Y164" s="169"/>
    </row>
    <row r="165" spans="1:25">
      <c r="A165" s="169"/>
      <c r="B165" s="169"/>
      <c r="C165" s="170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796"/>
      <c r="R165" s="169"/>
      <c r="S165" s="169"/>
      <c r="T165" s="169"/>
      <c r="U165" s="169"/>
      <c r="V165" s="169"/>
      <c r="W165" s="169"/>
      <c r="X165" s="169"/>
      <c r="Y165" s="169"/>
    </row>
    <row r="166" spans="1:25">
      <c r="A166" s="169"/>
      <c r="B166" s="169"/>
      <c r="C166" s="170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796"/>
      <c r="R166" s="169"/>
      <c r="S166" s="169"/>
      <c r="T166" s="169"/>
      <c r="U166" s="169"/>
      <c r="V166" s="169"/>
      <c r="W166" s="169"/>
      <c r="X166" s="169"/>
      <c r="Y166" s="169"/>
    </row>
    <row r="167" spans="1:25">
      <c r="A167" s="169"/>
      <c r="B167" s="169"/>
      <c r="C167" s="170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796"/>
      <c r="R167" s="169"/>
      <c r="S167" s="169"/>
      <c r="T167" s="169"/>
      <c r="U167" s="169"/>
      <c r="V167" s="169"/>
      <c r="W167" s="169"/>
      <c r="X167" s="169"/>
      <c r="Y167" s="169"/>
    </row>
    <row r="168" spans="1:25">
      <c r="A168" s="169"/>
      <c r="B168" s="169"/>
      <c r="C168" s="170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796"/>
      <c r="R168" s="169"/>
      <c r="S168" s="169"/>
      <c r="T168" s="169"/>
      <c r="U168" s="169"/>
      <c r="V168" s="169"/>
      <c r="W168" s="169"/>
      <c r="X168" s="169"/>
      <c r="Y168" s="169"/>
    </row>
    <row r="169" spans="1:25">
      <c r="A169" s="169"/>
      <c r="B169" s="169"/>
      <c r="C169" s="170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796"/>
      <c r="R169" s="169"/>
      <c r="S169" s="169"/>
      <c r="T169" s="169"/>
      <c r="U169" s="169"/>
      <c r="V169" s="169"/>
      <c r="W169" s="169"/>
      <c r="X169" s="169"/>
      <c r="Y169" s="169"/>
    </row>
    <row r="170" spans="1:25">
      <c r="A170" s="169"/>
      <c r="B170" s="169"/>
      <c r="C170" s="170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796"/>
      <c r="R170" s="169"/>
      <c r="S170" s="169"/>
      <c r="T170" s="169"/>
      <c r="U170" s="169"/>
      <c r="V170" s="169"/>
      <c r="W170" s="169"/>
      <c r="X170" s="169"/>
      <c r="Y170" s="169"/>
    </row>
    <row r="171" spans="1:25">
      <c r="A171" s="169"/>
      <c r="B171" s="169"/>
      <c r="C171" s="170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796"/>
      <c r="R171" s="169"/>
      <c r="S171" s="169"/>
      <c r="T171" s="169"/>
      <c r="U171" s="169"/>
      <c r="V171" s="169"/>
      <c r="W171" s="169"/>
      <c r="X171" s="169"/>
      <c r="Y171" s="169"/>
    </row>
    <row r="172" spans="1:25">
      <c r="A172" s="169"/>
      <c r="B172" s="169"/>
      <c r="C172" s="170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796"/>
      <c r="R172" s="169"/>
      <c r="S172" s="169"/>
      <c r="T172" s="169"/>
      <c r="U172" s="169"/>
      <c r="V172" s="169"/>
      <c r="W172" s="169"/>
      <c r="X172" s="169"/>
      <c r="Y172" s="169"/>
    </row>
    <row r="173" spans="1:25">
      <c r="A173" s="169"/>
      <c r="B173" s="169"/>
      <c r="C173" s="170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796"/>
      <c r="R173" s="169"/>
      <c r="S173" s="169"/>
      <c r="T173" s="169"/>
      <c r="U173" s="169"/>
      <c r="V173" s="169"/>
      <c r="W173" s="169"/>
      <c r="X173" s="169"/>
      <c r="Y173" s="169"/>
    </row>
    <row r="174" spans="1:25">
      <c r="A174" s="169"/>
      <c r="B174" s="169"/>
      <c r="C174" s="170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796"/>
      <c r="R174" s="169"/>
      <c r="S174" s="169"/>
      <c r="T174" s="169"/>
      <c r="U174" s="169"/>
      <c r="V174" s="169"/>
      <c r="W174" s="169"/>
      <c r="X174" s="169"/>
      <c r="Y174" s="169"/>
    </row>
    <row r="175" spans="1:25">
      <c r="A175" s="169"/>
      <c r="B175" s="169"/>
      <c r="C175" s="170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796"/>
      <c r="R175" s="169"/>
      <c r="S175" s="169"/>
      <c r="T175" s="169"/>
      <c r="U175" s="169"/>
      <c r="V175" s="169"/>
      <c r="W175" s="169"/>
      <c r="X175" s="169"/>
      <c r="Y175" s="169"/>
    </row>
    <row r="176" spans="1:25">
      <c r="A176" s="169"/>
      <c r="B176" s="169"/>
      <c r="C176" s="170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796"/>
      <c r="R176" s="169"/>
      <c r="S176" s="169"/>
      <c r="T176" s="169"/>
      <c r="U176" s="169"/>
      <c r="V176" s="169"/>
      <c r="W176" s="169"/>
      <c r="X176" s="169"/>
      <c r="Y176" s="169"/>
    </row>
    <row r="177" spans="1:25">
      <c r="A177" s="169"/>
      <c r="B177" s="169"/>
      <c r="C177" s="170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796"/>
      <c r="R177" s="169"/>
      <c r="S177" s="169"/>
      <c r="T177" s="169"/>
      <c r="U177" s="169"/>
      <c r="V177" s="169"/>
      <c r="W177" s="169"/>
      <c r="X177" s="169"/>
      <c r="Y177" s="169"/>
    </row>
    <row r="178" spans="1:25">
      <c r="A178" s="169"/>
      <c r="B178" s="169"/>
      <c r="C178" s="170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796"/>
      <c r="R178" s="169"/>
      <c r="S178" s="169"/>
      <c r="T178" s="169"/>
      <c r="U178" s="169"/>
      <c r="V178" s="169"/>
      <c r="W178" s="169"/>
      <c r="X178" s="169"/>
      <c r="Y178" s="169"/>
    </row>
    <row r="179" spans="1:25">
      <c r="A179" s="169"/>
      <c r="B179" s="169"/>
      <c r="C179" s="170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796"/>
      <c r="R179" s="169"/>
      <c r="S179" s="169"/>
      <c r="T179" s="169"/>
      <c r="U179" s="169"/>
      <c r="V179" s="169"/>
      <c r="W179" s="169"/>
      <c r="X179" s="169"/>
      <c r="Y179" s="169"/>
    </row>
    <row r="180" spans="1:25">
      <c r="A180" s="169"/>
      <c r="B180" s="169"/>
      <c r="C180" s="170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796"/>
      <c r="R180" s="169"/>
      <c r="S180" s="169"/>
      <c r="T180" s="169"/>
      <c r="U180" s="169"/>
      <c r="V180" s="169"/>
      <c r="W180" s="169"/>
      <c r="X180" s="169"/>
      <c r="Y180" s="169"/>
    </row>
    <row r="181" spans="1:25">
      <c r="A181" s="169"/>
      <c r="B181" s="169"/>
      <c r="C181" s="170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796"/>
      <c r="R181" s="169"/>
      <c r="S181" s="169"/>
      <c r="T181" s="169"/>
      <c r="U181" s="169"/>
      <c r="V181" s="169"/>
      <c r="W181" s="169"/>
      <c r="X181" s="169"/>
      <c r="Y181" s="169"/>
    </row>
    <row r="182" spans="1:25">
      <c r="A182" s="169"/>
      <c r="B182" s="169"/>
      <c r="C182" s="170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796"/>
      <c r="R182" s="169"/>
      <c r="S182" s="169"/>
      <c r="T182" s="169"/>
      <c r="U182" s="169"/>
      <c r="V182" s="169"/>
      <c r="W182" s="169"/>
      <c r="X182" s="169"/>
      <c r="Y182" s="169"/>
    </row>
    <row r="183" spans="1:25">
      <c r="A183" s="169"/>
      <c r="B183" s="169"/>
      <c r="C183" s="170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796"/>
      <c r="R183" s="169"/>
      <c r="S183" s="169"/>
      <c r="T183" s="169"/>
      <c r="U183" s="169"/>
      <c r="V183" s="169"/>
      <c r="W183" s="169"/>
      <c r="X183" s="169"/>
      <c r="Y183" s="169"/>
    </row>
    <row r="184" spans="1:25">
      <c r="A184" s="169"/>
      <c r="B184" s="169"/>
      <c r="C184" s="170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796"/>
      <c r="R184" s="169"/>
      <c r="S184" s="169"/>
      <c r="T184" s="169"/>
      <c r="U184" s="169"/>
      <c r="V184" s="169"/>
      <c r="W184" s="169"/>
      <c r="X184" s="169"/>
      <c r="Y184" s="169"/>
    </row>
    <row r="185" spans="1:25">
      <c r="A185" s="169"/>
      <c r="B185" s="169"/>
      <c r="C185" s="170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796"/>
      <c r="R185" s="169"/>
      <c r="S185" s="169"/>
      <c r="T185" s="169"/>
      <c r="U185" s="169"/>
      <c r="V185" s="169"/>
      <c r="W185" s="169"/>
      <c r="X185" s="169"/>
      <c r="Y185" s="169"/>
    </row>
    <row r="186" spans="1:25">
      <c r="A186" s="169"/>
      <c r="B186" s="169"/>
      <c r="C186" s="170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796"/>
      <c r="R186" s="169"/>
      <c r="S186" s="169"/>
      <c r="T186" s="169"/>
      <c r="U186" s="169"/>
      <c r="V186" s="169"/>
      <c r="W186" s="169"/>
      <c r="X186" s="169"/>
      <c r="Y186" s="169"/>
    </row>
    <row r="187" spans="1:25">
      <c r="A187" s="169"/>
      <c r="B187" s="169"/>
      <c r="C187" s="170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796"/>
      <c r="R187" s="169"/>
      <c r="S187" s="169"/>
      <c r="T187" s="169"/>
      <c r="U187" s="169"/>
      <c r="V187" s="169"/>
      <c r="W187" s="169"/>
      <c r="X187" s="169"/>
      <c r="Y187" s="169"/>
    </row>
    <row r="188" spans="1:25">
      <c r="A188" s="169"/>
      <c r="B188" s="169"/>
      <c r="C188" s="170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796"/>
      <c r="R188" s="169"/>
      <c r="S188" s="169"/>
      <c r="T188" s="169"/>
      <c r="U188" s="169"/>
      <c r="V188" s="169"/>
      <c r="W188" s="169"/>
      <c r="X188" s="169"/>
      <c r="Y188" s="169"/>
    </row>
    <row r="189" spans="1:25">
      <c r="A189" s="169"/>
      <c r="B189" s="169"/>
      <c r="C189" s="170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796"/>
      <c r="R189" s="169"/>
      <c r="S189" s="169"/>
      <c r="T189" s="169"/>
      <c r="U189" s="169"/>
      <c r="V189" s="169"/>
      <c r="W189" s="169"/>
      <c r="X189" s="169"/>
      <c r="Y189" s="169"/>
    </row>
    <row r="190" spans="1:25">
      <c r="A190" s="169"/>
      <c r="B190" s="169"/>
      <c r="C190" s="170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796"/>
      <c r="R190" s="169"/>
      <c r="S190" s="169"/>
      <c r="T190" s="169"/>
      <c r="U190" s="169"/>
      <c r="V190" s="169"/>
      <c r="W190" s="169"/>
      <c r="X190" s="169"/>
      <c r="Y190" s="169"/>
    </row>
    <row r="191" spans="1:25">
      <c r="A191" s="169"/>
      <c r="B191" s="169"/>
      <c r="C191" s="170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796"/>
      <c r="R191" s="169"/>
      <c r="S191" s="169"/>
      <c r="T191" s="169"/>
      <c r="U191" s="169"/>
      <c r="V191" s="169"/>
      <c r="W191" s="169"/>
      <c r="X191" s="169"/>
      <c r="Y191" s="169"/>
    </row>
    <row r="192" spans="1:25">
      <c r="A192" s="169"/>
      <c r="B192" s="169"/>
      <c r="C192" s="170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796"/>
      <c r="R192" s="169"/>
      <c r="S192" s="169"/>
      <c r="T192" s="169"/>
      <c r="U192" s="169"/>
      <c r="V192" s="169"/>
      <c r="W192" s="169"/>
      <c r="X192" s="169"/>
      <c r="Y192" s="169"/>
    </row>
    <row r="193" spans="1:25">
      <c r="A193" s="169"/>
      <c r="B193" s="169"/>
      <c r="C193" s="170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796"/>
      <c r="R193" s="169"/>
      <c r="S193" s="169"/>
      <c r="T193" s="169"/>
      <c r="U193" s="169"/>
      <c r="V193" s="169"/>
      <c r="W193" s="169"/>
      <c r="X193" s="169"/>
      <c r="Y193" s="169"/>
    </row>
    <row r="194" spans="1:25">
      <c r="A194" s="169"/>
      <c r="B194" s="169"/>
      <c r="C194" s="170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796"/>
      <c r="R194" s="169"/>
      <c r="S194" s="169"/>
      <c r="T194" s="169"/>
      <c r="U194" s="169"/>
      <c r="V194" s="169"/>
      <c r="W194" s="169"/>
      <c r="X194" s="169"/>
      <c r="Y194" s="169"/>
    </row>
    <row r="195" spans="1:25">
      <c r="A195" s="169"/>
      <c r="B195" s="169"/>
      <c r="C195" s="170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796"/>
      <c r="R195" s="169"/>
      <c r="S195" s="169"/>
      <c r="T195" s="169"/>
      <c r="U195" s="169"/>
      <c r="V195" s="169"/>
      <c r="W195" s="169"/>
      <c r="X195" s="169"/>
      <c r="Y195" s="169"/>
    </row>
    <row r="196" spans="1:25">
      <c r="A196" s="169"/>
      <c r="B196" s="169"/>
      <c r="C196" s="170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796"/>
      <c r="R196" s="169"/>
      <c r="S196" s="169"/>
      <c r="T196" s="169"/>
      <c r="U196" s="169"/>
      <c r="V196" s="169"/>
      <c r="W196" s="169"/>
      <c r="X196" s="169"/>
      <c r="Y196" s="169"/>
    </row>
    <row r="197" spans="1:25">
      <c r="A197" s="169"/>
      <c r="B197" s="169"/>
      <c r="C197" s="170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796"/>
      <c r="R197" s="169"/>
      <c r="S197" s="169"/>
      <c r="T197" s="169"/>
      <c r="U197" s="169"/>
      <c r="V197" s="169"/>
      <c r="W197" s="169"/>
      <c r="X197" s="169"/>
      <c r="Y197" s="169"/>
    </row>
    <row r="198" spans="1:25">
      <c r="A198" s="169"/>
      <c r="B198" s="169"/>
      <c r="C198" s="170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796"/>
      <c r="R198" s="169"/>
      <c r="S198" s="169"/>
      <c r="T198" s="169"/>
      <c r="U198" s="169"/>
      <c r="V198" s="169"/>
      <c r="W198" s="169"/>
      <c r="X198" s="169"/>
      <c r="Y198" s="169"/>
    </row>
    <row r="199" spans="1:25">
      <c r="A199" s="169"/>
      <c r="B199" s="169"/>
      <c r="C199" s="170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796"/>
      <c r="R199" s="169"/>
      <c r="S199" s="169"/>
      <c r="T199" s="169"/>
      <c r="U199" s="169"/>
      <c r="V199" s="169"/>
      <c r="W199" s="169"/>
      <c r="X199" s="169"/>
      <c r="Y199" s="169"/>
    </row>
    <row r="200" spans="1:25">
      <c r="A200" s="169"/>
      <c r="B200" s="169"/>
      <c r="C200" s="170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796"/>
      <c r="R200" s="169"/>
      <c r="S200" s="169"/>
      <c r="T200" s="169"/>
      <c r="U200" s="169"/>
      <c r="V200" s="169"/>
      <c r="W200" s="169"/>
      <c r="X200" s="169"/>
      <c r="Y200" s="169"/>
    </row>
    <row r="201" spans="1:25">
      <c r="A201" s="169"/>
      <c r="B201" s="169"/>
      <c r="C201" s="170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796"/>
      <c r="R201" s="169"/>
      <c r="S201" s="169"/>
      <c r="T201" s="169"/>
      <c r="U201" s="169"/>
      <c r="V201" s="169"/>
      <c r="W201" s="169"/>
      <c r="X201" s="169"/>
      <c r="Y201" s="169"/>
    </row>
    <row r="202" spans="1:25">
      <c r="A202" s="169"/>
      <c r="B202" s="169"/>
      <c r="C202" s="170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796"/>
      <c r="R202" s="169"/>
      <c r="S202" s="169"/>
      <c r="T202" s="169"/>
      <c r="U202" s="169"/>
      <c r="V202" s="169"/>
      <c r="W202" s="169"/>
      <c r="X202" s="169"/>
      <c r="Y202" s="169"/>
    </row>
    <row r="203" spans="1:25">
      <c r="A203" s="169"/>
      <c r="B203" s="169"/>
      <c r="C203" s="170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796"/>
      <c r="R203" s="169"/>
      <c r="S203" s="169"/>
      <c r="T203" s="169"/>
      <c r="U203" s="169"/>
      <c r="V203" s="169"/>
      <c r="W203" s="169"/>
      <c r="X203" s="169"/>
      <c r="Y203" s="169"/>
    </row>
    <row r="204" spans="1:25">
      <c r="A204" s="169"/>
      <c r="B204" s="169"/>
      <c r="C204" s="170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796"/>
      <c r="R204" s="169"/>
      <c r="S204" s="169"/>
      <c r="T204" s="169"/>
      <c r="U204" s="169"/>
      <c r="V204" s="169"/>
      <c r="W204" s="169"/>
      <c r="X204" s="169"/>
      <c r="Y204" s="169"/>
    </row>
    <row r="205" spans="1:25">
      <c r="A205" s="169"/>
      <c r="B205" s="169"/>
      <c r="C205" s="170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796"/>
      <c r="R205" s="169"/>
      <c r="S205" s="169"/>
      <c r="T205" s="169"/>
      <c r="U205" s="169"/>
      <c r="V205" s="169"/>
      <c r="W205" s="169"/>
      <c r="X205" s="169"/>
      <c r="Y205" s="169"/>
    </row>
    <row r="206" spans="1:25">
      <c r="A206" s="169"/>
      <c r="B206" s="169"/>
      <c r="C206" s="170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796"/>
      <c r="R206" s="169"/>
      <c r="S206" s="169"/>
      <c r="T206" s="169"/>
      <c r="U206" s="169"/>
      <c r="V206" s="169"/>
      <c r="W206" s="169"/>
      <c r="X206" s="169"/>
      <c r="Y206" s="169"/>
    </row>
    <row r="207" spans="1:25">
      <c r="A207" s="169"/>
      <c r="B207" s="169"/>
      <c r="C207" s="170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796"/>
      <c r="R207" s="169"/>
      <c r="S207" s="169"/>
      <c r="T207" s="169"/>
      <c r="U207" s="169"/>
      <c r="V207" s="169"/>
      <c r="W207" s="169"/>
      <c r="X207" s="169"/>
      <c r="Y207" s="169"/>
    </row>
    <row r="208" spans="1:25">
      <c r="A208" s="169"/>
      <c r="B208" s="169"/>
      <c r="C208" s="170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796"/>
      <c r="R208" s="169"/>
      <c r="S208" s="169"/>
      <c r="T208" s="169"/>
      <c r="U208" s="169"/>
      <c r="V208" s="169"/>
      <c r="W208" s="169"/>
      <c r="X208" s="169"/>
      <c r="Y208" s="169"/>
    </row>
    <row r="209" spans="1:25">
      <c r="A209" s="169"/>
      <c r="B209" s="169"/>
      <c r="C209" s="170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796"/>
      <c r="R209" s="169"/>
      <c r="S209" s="169"/>
      <c r="T209" s="169"/>
      <c r="U209" s="169"/>
      <c r="V209" s="169"/>
      <c r="W209" s="169"/>
      <c r="X209" s="169"/>
      <c r="Y209" s="169"/>
    </row>
    <row r="210" spans="1:25">
      <c r="A210" s="169"/>
      <c r="B210" s="169"/>
      <c r="C210" s="170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796"/>
      <c r="R210" s="169"/>
      <c r="S210" s="169"/>
      <c r="T210" s="169"/>
      <c r="U210" s="169"/>
      <c r="V210" s="169"/>
      <c r="W210" s="169"/>
      <c r="X210" s="169"/>
      <c r="Y210" s="169"/>
    </row>
    <row r="211" spans="1:25">
      <c r="A211" s="169"/>
      <c r="B211" s="169"/>
      <c r="C211" s="170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796"/>
      <c r="R211" s="169"/>
      <c r="S211" s="169"/>
      <c r="T211" s="169"/>
      <c r="U211" s="169"/>
      <c r="V211" s="169"/>
      <c r="W211" s="169"/>
      <c r="X211" s="169"/>
      <c r="Y211" s="169"/>
    </row>
    <row r="212" spans="1:25">
      <c r="A212" s="169"/>
      <c r="B212" s="169"/>
      <c r="C212" s="170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796"/>
      <c r="R212" s="169"/>
      <c r="S212" s="169"/>
      <c r="T212" s="169"/>
      <c r="U212" s="169"/>
      <c r="V212" s="169"/>
      <c r="W212" s="169"/>
      <c r="X212" s="169"/>
      <c r="Y212" s="169"/>
    </row>
    <row r="213" spans="1:25">
      <c r="A213" s="169"/>
      <c r="B213" s="169"/>
      <c r="C213" s="170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796"/>
      <c r="R213" s="169"/>
      <c r="S213" s="169"/>
      <c r="T213" s="169"/>
      <c r="U213" s="169"/>
      <c r="V213" s="169"/>
      <c r="W213" s="169"/>
      <c r="X213" s="169"/>
      <c r="Y213" s="169"/>
    </row>
    <row r="214" spans="1:25">
      <c r="A214" s="169"/>
      <c r="B214" s="169"/>
      <c r="C214" s="170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796"/>
      <c r="R214" s="169"/>
      <c r="S214" s="169"/>
      <c r="T214" s="169"/>
      <c r="U214" s="169"/>
      <c r="V214" s="169"/>
      <c r="W214" s="169"/>
      <c r="X214" s="169"/>
      <c r="Y214" s="169"/>
    </row>
    <row r="215" spans="1:25">
      <c r="A215" s="169"/>
      <c r="B215" s="169"/>
      <c r="C215" s="170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796"/>
      <c r="R215" s="169"/>
      <c r="S215" s="169"/>
      <c r="T215" s="169"/>
      <c r="U215" s="169"/>
      <c r="V215" s="169"/>
      <c r="W215" s="169"/>
      <c r="X215" s="169"/>
      <c r="Y215" s="169"/>
    </row>
    <row r="216" spans="1:25">
      <c r="A216" s="169"/>
      <c r="B216" s="169"/>
      <c r="C216" s="170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796"/>
      <c r="R216" s="169"/>
      <c r="S216" s="169"/>
      <c r="T216" s="169"/>
      <c r="U216" s="169"/>
      <c r="V216" s="169"/>
      <c r="W216" s="169"/>
      <c r="X216" s="169"/>
      <c r="Y216" s="169"/>
    </row>
    <row r="217" spans="1:25">
      <c r="A217" s="169"/>
      <c r="B217" s="169"/>
      <c r="C217" s="170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796"/>
      <c r="R217" s="169"/>
      <c r="S217" s="169"/>
      <c r="T217" s="169"/>
      <c r="U217" s="169"/>
      <c r="V217" s="169"/>
      <c r="W217" s="169"/>
      <c r="X217" s="169"/>
      <c r="Y217" s="169"/>
    </row>
    <row r="218" spans="1:25">
      <c r="A218" s="169"/>
      <c r="B218" s="169"/>
      <c r="C218" s="170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796"/>
      <c r="R218" s="169"/>
      <c r="S218" s="169"/>
      <c r="T218" s="169"/>
      <c r="U218" s="169"/>
      <c r="V218" s="169"/>
      <c r="W218" s="169"/>
      <c r="X218" s="169"/>
      <c r="Y218" s="169"/>
    </row>
    <row r="219" spans="1:25">
      <c r="A219" s="169"/>
      <c r="B219" s="169"/>
      <c r="C219" s="170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796"/>
      <c r="R219" s="169"/>
      <c r="S219" s="169"/>
      <c r="T219" s="169"/>
      <c r="U219" s="169"/>
      <c r="V219" s="169"/>
      <c r="W219" s="169"/>
      <c r="X219" s="169"/>
      <c r="Y219" s="169"/>
    </row>
    <row r="220" spans="1:25">
      <c r="A220" s="169"/>
      <c r="B220" s="169"/>
      <c r="C220" s="170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796"/>
      <c r="R220" s="169"/>
      <c r="S220" s="169"/>
      <c r="T220" s="169"/>
      <c r="U220" s="169"/>
      <c r="V220" s="169"/>
      <c r="W220" s="169"/>
      <c r="X220" s="169"/>
      <c r="Y220" s="169"/>
    </row>
    <row r="221" spans="1:25">
      <c r="A221" s="169"/>
      <c r="B221" s="169"/>
      <c r="C221" s="170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796"/>
      <c r="R221" s="169"/>
      <c r="S221" s="169"/>
      <c r="T221" s="169"/>
      <c r="U221" s="169"/>
      <c r="V221" s="169"/>
      <c r="W221" s="169"/>
      <c r="X221" s="169"/>
      <c r="Y221" s="169"/>
    </row>
    <row r="222" spans="1:25">
      <c r="A222" s="169"/>
      <c r="B222" s="169"/>
      <c r="C222" s="170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796"/>
      <c r="R222" s="169"/>
      <c r="S222" s="169"/>
      <c r="T222" s="169"/>
      <c r="U222" s="169"/>
      <c r="V222" s="169"/>
      <c r="W222" s="169"/>
      <c r="X222" s="169"/>
      <c r="Y222" s="169"/>
    </row>
    <row r="223" spans="1:25">
      <c r="A223" s="169"/>
      <c r="B223" s="169"/>
      <c r="C223" s="170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796"/>
      <c r="R223" s="169"/>
      <c r="S223" s="169"/>
      <c r="T223" s="169"/>
      <c r="U223" s="169"/>
      <c r="V223" s="169"/>
      <c r="W223" s="169"/>
      <c r="X223" s="169"/>
      <c r="Y223" s="169"/>
    </row>
    <row r="224" spans="1:25">
      <c r="A224" s="169"/>
      <c r="B224" s="169"/>
      <c r="C224" s="170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796"/>
      <c r="R224" s="169"/>
      <c r="S224" s="169"/>
      <c r="T224" s="169"/>
      <c r="U224" s="169"/>
      <c r="V224" s="169"/>
      <c r="W224" s="169"/>
      <c r="X224" s="169"/>
      <c r="Y224" s="169"/>
    </row>
    <row r="225" spans="1:25">
      <c r="A225" s="169"/>
      <c r="B225" s="169"/>
      <c r="C225" s="170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796"/>
      <c r="R225" s="169"/>
      <c r="S225" s="169"/>
      <c r="T225" s="169"/>
      <c r="U225" s="169"/>
      <c r="V225" s="169"/>
      <c r="W225" s="169"/>
      <c r="X225" s="169"/>
      <c r="Y225" s="169"/>
    </row>
    <row r="226" spans="1:25">
      <c r="A226" s="169"/>
      <c r="B226" s="169"/>
      <c r="C226" s="170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796"/>
      <c r="R226" s="169"/>
      <c r="S226" s="169"/>
      <c r="T226" s="169"/>
      <c r="U226" s="169"/>
      <c r="V226" s="169"/>
      <c r="W226" s="169"/>
      <c r="X226" s="169"/>
      <c r="Y226" s="169"/>
    </row>
    <row r="227" spans="1:25">
      <c r="A227" s="169"/>
      <c r="B227" s="169"/>
      <c r="C227" s="170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796"/>
      <c r="R227" s="169"/>
      <c r="S227" s="169"/>
      <c r="T227" s="169"/>
      <c r="U227" s="169"/>
      <c r="V227" s="169"/>
      <c r="W227" s="169"/>
      <c r="X227" s="169"/>
      <c r="Y227" s="169"/>
    </row>
    <row r="228" spans="1:25">
      <c r="A228" s="169"/>
      <c r="B228" s="169"/>
      <c r="C228" s="170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796"/>
      <c r="R228" s="169"/>
      <c r="S228" s="169"/>
      <c r="T228" s="169"/>
      <c r="U228" s="169"/>
      <c r="V228" s="169"/>
      <c r="W228" s="169"/>
      <c r="X228" s="169"/>
      <c r="Y228" s="169"/>
    </row>
    <row r="229" spans="1:25">
      <c r="A229" s="169"/>
      <c r="B229" s="169"/>
      <c r="C229" s="170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796"/>
      <c r="R229" s="169"/>
      <c r="S229" s="169"/>
      <c r="T229" s="169"/>
      <c r="U229" s="169"/>
      <c r="V229" s="169"/>
      <c r="W229" s="169"/>
      <c r="X229" s="169"/>
      <c r="Y229" s="169"/>
    </row>
    <row r="230" spans="1:25">
      <c r="A230" s="169"/>
      <c r="B230" s="169"/>
      <c r="C230" s="170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796"/>
      <c r="R230" s="169"/>
      <c r="S230" s="169"/>
      <c r="T230" s="169"/>
      <c r="U230" s="169"/>
      <c r="V230" s="169"/>
      <c r="W230" s="169"/>
      <c r="X230" s="169"/>
      <c r="Y230" s="169"/>
    </row>
    <row r="231" spans="1:25">
      <c r="A231" s="169"/>
      <c r="B231" s="169"/>
      <c r="C231" s="170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796"/>
      <c r="R231" s="169"/>
      <c r="S231" s="169"/>
      <c r="T231" s="169"/>
      <c r="U231" s="169"/>
      <c r="V231" s="169"/>
      <c r="W231" s="169"/>
      <c r="X231" s="169"/>
      <c r="Y231" s="169"/>
    </row>
    <row r="232" spans="1:25">
      <c r="A232" s="169"/>
      <c r="B232" s="169"/>
      <c r="C232" s="170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796"/>
      <c r="R232" s="169"/>
      <c r="S232" s="169"/>
      <c r="T232" s="169"/>
      <c r="U232" s="169"/>
      <c r="V232" s="169"/>
      <c r="W232" s="169"/>
      <c r="X232" s="169"/>
      <c r="Y232" s="169"/>
    </row>
    <row r="233" spans="1:25">
      <c r="A233" s="169"/>
      <c r="B233" s="169"/>
      <c r="C233" s="170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796"/>
      <c r="R233" s="169"/>
      <c r="S233" s="169"/>
      <c r="T233" s="169"/>
      <c r="U233" s="169"/>
      <c r="V233" s="169"/>
      <c r="W233" s="169"/>
      <c r="X233" s="169"/>
      <c r="Y233" s="169"/>
    </row>
    <row r="234" spans="1:25">
      <c r="A234" s="169"/>
      <c r="B234" s="169"/>
      <c r="C234" s="170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796"/>
      <c r="R234" s="169"/>
      <c r="S234" s="169"/>
      <c r="T234" s="169"/>
      <c r="U234" s="169"/>
      <c r="V234" s="169"/>
      <c r="W234" s="169"/>
      <c r="X234" s="169"/>
      <c r="Y234" s="169"/>
    </row>
    <row r="235" spans="1:25">
      <c r="A235" s="169"/>
      <c r="B235" s="169"/>
      <c r="C235" s="170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796"/>
      <c r="R235" s="169"/>
      <c r="S235" s="169"/>
      <c r="T235" s="169"/>
      <c r="U235" s="169"/>
      <c r="V235" s="169"/>
      <c r="W235" s="169"/>
      <c r="X235" s="169"/>
      <c r="Y235" s="169"/>
    </row>
    <row r="236" spans="1:25">
      <c r="A236" s="169"/>
      <c r="B236" s="169"/>
      <c r="C236" s="170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796"/>
      <c r="R236" s="169"/>
      <c r="S236" s="169"/>
      <c r="T236" s="169"/>
      <c r="U236" s="169"/>
      <c r="V236" s="169"/>
      <c r="W236" s="169"/>
      <c r="X236" s="169"/>
      <c r="Y236" s="169"/>
    </row>
    <row r="237" spans="1:25">
      <c r="A237" s="169"/>
      <c r="B237" s="169"/>
      <c r="C237" s="170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796"/>
      <c r="R237" s="169"/>
      <c r="S237" s="169"/>
      <c r="T237" s="169"/>
      <c r="U237" s="169"/>
      <c r="V237" s="169"/>
      <c r="W237" s="169"/>
      <c r="X237" s="169"/>
      <c r="Y237" s="169"/>
    </row>
    <row r="238" spans="1:25">
      <c r="A238" s="169"/>
      <c r="B238" s="169"/>
      <c r="C238" s="170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796"/>
      <c r="R238" s="169"/>
      <c r="S238" s="169"/>
      <c r="T238" s="169"/>
      <c r="U238" s="169"/>
      <c r="V238" s="169"/>
      <c r="W238" s="169"/>
      <c r="X238" s="169"/>
      <c r="Y238" s="169"/>
    </row>
    <row r="239" spans="1:25">
      <c r="A239" s="169"/>
      <c r="B239" s="169"/>
      <c r="C239" s="170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796"/>
      <c r="R239" s="169"/>
      <c r="S239" s="169"/>
      <c r="T239" s="169"/>
      <c r="U239" s="169"/>
      <c r="V239" s="169"/>
      <c r="W239" s="169"/>
      <c r="X239" s="169"/>
      <c r="Y239" s="169"/>
    </row>
    <row r="240" spans="1:25">
      <c r="A240" s="169"/>
      <c r="B240" s="169"/>
      <c r="C240" s="170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796"/>
      <c r="R240" s="169"/>
      <c r="S240" s="169"/>
      <c r="T240" s="169"/>
      <c r="U240" s="169"/>
      <c r="V240" s="169"/>
      <c r="W240" s="169"/>
      <c r="X240" s="169"/>
      <c r="Y240" s="169"/>
    </row>
    <row r="241" spans="1:25">
      <c r="A241" s="169"/>
      <c r="B241" s="169"/>
      <c r="C241" s="170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796"/>
      <c r="R241" s="169"/>
      <c r="S241" s="169"/>
      <c r="T241" s="169"/>
      <c r="U241" s="169"/>
      <c r="V241" s="169"/>
      <c r="W241" s="169"/>
      <c r="X241" s="169"/>
      <c r="Y241" s="169"/>
    </row>
    <row r="242" spans="1:25">
      <c r="A242" s="169"/>
      <c r="B242" s="169"/>
      <c r="C242" s="170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796"/>
      <c r="R242" s="169"/>
      <c r="S242" s="169"/>
      <c r="T242" s="169"/>
      <c r="U242" s="169"/>
      <c r="V242" s="169"/>
      <c r="W242" s="169"/>
      <c r="X242" s="169"/>
      <c r="Y242" s="169"/>
    </row>
    <row r="243" spans="1:25">
      <c r="A243" s="169"/>
      <c r="B243" s="169"/>
      <c r="C243" s="170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796"/>
      <c r="R243" s="169"/>
      <c r="S243" s="169"/>
      <c r="T243" s="169"/>
      <c r="U243" s="169"/>
      <c r="V243" s="169"/>
      <c r="W243" s="169"/>
      <c r="X243" s="169"/>
      <c r="Y243" s="169"/>
    </row>
    <row r="244" spans="1:25">
      <c r="A244" s="169"/>
      <c r="B244" s="169"/>
      <c r="C244" s="170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796"/>
      <c r="R244" s="169"/>
      <c r="S244" s="169"/>
      <c r="T244" s="169"/>
      <c r="U244" s="169"/>
      <c r="V244" s="169"/>
      <c r="W244" s="169"/>
      <c r="X244" s="169"/>
      <c r="Y244" s="169"/>
    </row>
    <row r="245" spans="1:25">
      <c r="A245" s="169"/>
      <c r="B245" s="169"/>
      <c r="C245" s="170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796"/>
      <c r="R245" s="169"/>
      <c r="S245" s="169"/>
      <c r="T245" s="169"/>
      <c r="U245" s="169"/>
      <c r="V245" s="169"/>
      <c r="W245" s="169"/>
      <c r="X245" s="169"/>
      <c r="Y245" s="169"/>
    </row>
    <row r="246" spans="1:25">
      <c r="A246" s="169"/>
      <c r="B246" s="169"/>
      <c r="C246" s="170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796"/>
      <c r="R246" s="169"/>
      <c r="S246" s="169"/>
      <c r="T246" s="169"/>
      <c r="U246" s="169"/>
      <c r="V246" s="169"/>
      <c r="W246" s="169"/>
      <c r="X246" s="169"/>
      <c r="Y246" s="169"/>
    </row>
    <row r="247" spans="1:25">
      <c r="A247" s="169"/>
      <c r="B247" s="169"/>
      <c r="C247" s="170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796"/>
      <c r="R247" s="169"/>
      <c r="S247" s="169"/>
      <c r="T247" s="169"/>
      <c r="U247" s="169"/>
      <c r="V247" s="169"/>
      <c r="W247" s="169"/>
      <c r="X247" s="169"/>
      <c r="Y247" s="169"/>
    </row>
    <row r="248" spans="1:25">
      <c r="A248" s="169"/>
      <c r="B248" s="169"/>
      <c r="C248" s="170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796"/>
      <c r="R248" s="169"/>
      <c r="S248" s="169"/>
      <c r="T248" s="169"/>
      <c r="U248" s="169"/>
      <c r="V248" s="169"/>
      <c r="W248" s="169"/>
      <c r="X248" s="169"/>
      <c r="Y248" s="169"/>
    </row>
    <row r="249" spans="1:25">
      <c r="A249" s="169"/>
      <c r="B249" s="169"/>
      <c r="C249" s="170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796"/>
      <c r="R249" s="169"/>
      <c r="S249" s="169"/>
      <c r="T249" s="169"/>
      <c r="U249" s="169"/>
      <c r="V249" s="169"/>
      <c r="W249" s="169"/>
      <c r="X249" s="169"/>
      <c r="Y249" s="169"/>
    </row>
    <row r="250" spans="1:25">
      <c r="A250" s="169"/>
      <c r="B250" s="169"/>
      <c r="C250" s="170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796"/>
      <c r="R250" s="169"/>
      <c r="S250" s="169"/>
      <c r="T250" s="169"/>
      <c r="U250" s="169"/>
      <c r="V250" s="169"/>
      <c r="W250" s="169"/>
      <c r="X250" s="169"/>
      <c r="Y250" s="169"/>
    </row>
    <row r="251" spans="1:25">
      <c r="A251" s="169"/>
      <c r="B251" s="169"/>
      <c r="C251" s="170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796"/>
      <c r="R251" s="169"/>
      <c r="S251" s="169"/>
      <c r="T251" s="169"/>
      <c r="U251" s="169"/>
      <c r="V251" s="169"/>
      <c r="W251" s="169"/>
      <c r="X251" s="169"/>
      <c r="Y251" s="169"/>
    </row>
    <row r="252" spans="1:25">
      <c r="A252" s="169"/>
      <c r="B252" s="169"/>
      <c r="C252" s="170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796"/>
      <c r="R252" s="169"/>
      <c r="S252" s="169"/>
      <c r="T252" s="169"/>
      <c r="U252" s="169"/>
      <c r="V252" s="169"/>
      <c r="W252" s="169"/>
      <c r="X252" s="169"/>
      <c r="Y252" s="169"/>
    </row>
    <row r="253" spans="1:25">
      <c r="A253" s="169"/>
      <c r="B253" s="169"/>
      <c r="C253" s="170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796"/>
      <c r="R253" s="169"/>
      <c r="S253" s="169"/>
      <c r="T253" s="169"/>
      <c r="U253" s="169"/>
      <c r="V253" s="169"/>
      <c r="W253" s="169"/>
      <c r="X253" s="169"/>
      <c r="Y253" s="169"/>
    </row>
    <row r="254" spans="1:25">
      <c r="A254" s="169"/>
      <c r="B254" s="169"/>
      <c r="C254" s="170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796"/>
      <c r="R254" s="169"/>
      <c r="S254" s="169"/>
      <c r="T254" s="169"/>
      <c r="U254" s="169"/>
      <c r="V254" s="169"/>
      <c r="W254" s="169"/>
      <c r="X254" s="169"/>
      <c r="Y254" s="169"/>
    </row>
    <row r="255" spans="1:25">
      <c r="A255" s="169"/>
      <c r="B255" s="169"/>
      <c r="C255" s="170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796"/>
      <c r="R255" s="169"/>
      <c r="S255" s="169"/>
      <c r="T255" s="169"/>
      <c r="U255" s="169"/>
      <c r="V255" s="169"/>
      <c r="W255" s="169"/>
      <c r="X255" s="169"/>
      <c r="Y255" s="169"/>
    </row>
    <row r="256" spans="1:25">
      <c r="A256" s="169"/>
      <c r="B256" s="169"/>
      <c r="C256" s="170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796"/>
      <c r="R256" s="169"/>
      <c r="S256" s="169"/>
      <c r="T256" s="169"/>
      <c r="U256" s="169"/>
      <c r="V256" s="169"/>
      <c r="W256" s="169"/>
      <c r="X256" s="169"/>
      <c r="Y256" s="169"/>
    </row>
    <row r="257" spans="1:25">
      <c r="A257" s="169"/>
      <c r="B257" s="169"/>
      <c r="C257" s="170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796"/>
      <c r="R257" s="169"/>
      <c r="S257" s="169"/>
      <c r="T257" s="169"/>
      <c r="U257" s="169"/>
      <c r="V257" s="169"/>
      <c r="W257" s="169"/>
      <c r="X257" s="169"/>
      <c r="Y257" s="169"/>
    </row>
    <row r="258" spans="1:25">
      <c r="A258" s="169"/>
      <c r="B258" s="169"/>
      <c r="C258" s="170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796"/>
      <c r="R258" s="169"/>
      <c r="S258" s="169"/>
      <c r="T258" s="169"/>
      <c r="U258" s="169"/>
      <c r="V258" s="169"/>
      <c r="W258" s="169"/>
      <c r="X258" s="169"/>
      <c r="Y258" s="169"/>
    </row>
    <row r="259" spans="1:25">
      <c r="A259" s="169"/>
      <c r="B259" s="169"/>
      <c r="C259" s="170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796"/>
      <c r="R259" s="169"/>
      <c r="S259" s="169"/>
      <c r="T259" s="169"/>
      <c r="U259" s="169"/>
      <c r="V259" s="169"/>
      <c r="W259" s="169"/>
      <c r="X259" s="169"/>
      <c r="Y259" s="169"/>
    </row>
    <row r="260" spans="1:25">
      <c r="A260" s="169"/>
      <c r="B260" s="169"/>
      <c r="C260" s="170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796"/>
      <c r="R260" s="169"/>
      <c r="S260" s="169"/>
      <c r="T260" s="169"/>
      <c r="U260" s="169"/>
      <c r="V260" s="169"/>
      <c r="W260" s="169"/>
      <c r="X260" s="169"/>
      <c r="Y260" s="169"/>
    </row>
    <row r="261" spans="1:25">
      <c r="A261" s="169"/>
      <c r="B261" s="169"/>
      <c r="C261" s="170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796"/>
      <c r="R261" s="169"/>
      <c r="S261" s="169"/>
      <c r="T261" s="169"/>
      <c r="U261" s="169"/>
      <c r="V261" s="169"/>
      <c r="W261" s="169"/>
      <c r="X261" s="169"/>
      <c r="Y261" s="169"/>
    </row>
    <row r="262" spans="1:25">
      <c r="A262" s="169"/>
      <c r="B262" s="169"/>
      <c r="C262" s="170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796"/>
      <c r="R262" s="169"/>
      <c r="S262" s="169"/>
      <c r="T262" s="169"/>
      <c r="U262" s="169"/>
      <c r="V262" s="169"/>
      <c r="W262" s="169"/>
      <c r="X262" s="169"/>
      <c r="Y262" s="169"/>
    </row>
    <row r="263" spans="1:25">
      <c r="A263" s="169"/>
      <c r="B263" s="169"/>
      <c r="C263" s="170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796"/>
      <c r="R263" s="169"/>
      <c r="S263" s="169"/>
      <c r="T263" s="169"/>
      <c r="U263" s="169"/>
      <c r="V263" s="169"/>
      <c r="W263" s="169"/>
      <c r="X263" s="169"/>
      <c r="Y263" s="169"/>
    </row>
    <row r="264" spans="1:25">
      <c r="A264" s="169"/>
      <c r="B264" s="169"/>
      <c r="C264" s="170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796"/>
      <c r="R264" s="169"/>
      <c r="S264" s="169"/>
      <c r="T264" s="169"/>
      <c r="U264" s="169"/>
      <c r="V264" s="169"/>
      <c r="W264" s="169"/>
      <c r="X264" s="169"/>
      <c r="Y264" s="169"/>
    </row>
    <row r="265" spans="1:25">
      <c r="A265" s="169"/>
      <c r="B265" s="169"/>
      <c r="C265" s="170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796"/>
      <c r="R265" s="169"/>
      <c r="S265" s="169"/>
      <c r="T265" s="169"/>
      <c r="U265" s="169"/>
      <c r="V265" s="169"/>
      <c r="W265" s="169"/>
      <c r="X265" s="169"/>
      <c r="Y265" s="169"/>
    </row>
    <row r="266" spans="1:25">
      <c r="A266" s="169"/>
      <c r="B266" s="169"/>
      <c r="C266" s="170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796"/>
      <c r="R266" s="169"/>
      <c r="S266" s="169"/>
      <c r="T266" s="169"/>
      <c r="U266" s="169"/>
      <c r="V266" s="169"/>
      <c r="W266" s="169"/>
      <c r="X266" s="169"/>
      <c r="Y266" s="169"/>
    </row>
    <row r="267" spans="1:25">
      <c r="A267" s="169"/>
      <c r="B267" s="169"/>
      <c r="C267" s="170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796"/>
      <c r="R267" s="169"/>
      <c r="S267" s="169"/>
      <c r="T267" s="169"/>
      <c r="U267" s="169"/>
      <c r="V267" s="169"/>
      <c r="W267" s="169"/>
      <c r="X267" s="169"/>
      <c r="Y267" s="169"/>
    </row>
    <row r="268" spans="1:25">
      <c r="A268" s="169"/>
      <c r="B268" s="169"/>
      <c r="C268" s="170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796"/>
      <c r="R268" s="169"/>
      <c r="S268" s="169"/>
      <c r="T268" s="169"/>
      <c r="U268" s="169"/>
      <c r="V268" s="169"/>
      <c r="W268" s="169"/>
      <c r="X268" s="169"/>
      <c r="Y268" s="169"/>
    </row>
    <row r="269" spans="1:25">
      <c r="A269" s="169"/>
      <c r="B269" s="169"/>
      <c r="C269" s="170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796"/>
      <c r="R269" s="169"/>
      <c r="S269" s="169"/>
      <c r="T269" s="169"/>
      <c r="U269" s="169"/>
      <c r="V269" s="169"/>
      <c r="W269" s="169"/>
      <c r="X269" s="169"/>
      <c r="Y269" s="169"/>
    </row>
    <row r="270" spans="1:25">
      <c r="A270" s="169"/>
      <c r="B270" s="169"/>
      <c r="C270" s="170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796"/>
      <c r="R270" s="169"/>
      <c r="S270" s="169"/>
      <c r="T270" s="169"/>
      <c r="U270" s="169"/>
      <c r="V270" s="169"/>
      <c r="W270" s="169"/>
      <c r="X270" s="169"/>
      <c r="Y270" s="169"/>
    </row>
    <row r="271" spans="1:25">
      <c r="A271" s="169"/>
      <c r="B271" s="169"/>
      <c r="C271" s="170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796"/>
      <c r="R271" s="169"/>
      <c r="S271" s="169"/>
      <c r="T271" s="169"/>
      <c r="U271" s="169"/>
      <c r="V271" s="169"/>
      <c r="W271" s="169"/>
      <c r="X271" s="169"/>
      <c r="Y271" s="169"/>
    </row>
    <row r="272" spans="1:25">
      <c r="A272" s="169"/>
      <c r="B272" s="169"/>
      <c r="C272" s="170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796"/>
      <c r="R272" s="169"/>
      <c r="S272" s="169"/>
      <c r="T272" s="169"/>
      <c r="U272" s="169"/>
      <c r="V272" s="169"/>
      <c r="W272" s="169"/>
      <c r="X272" s="169"/>
      <c r="Y272" s="169"/>
    </row>
    <row r="273" spans="1:25">
      <c r="A273" s="169"/>
      <c r="B273" s="169"/>
      <c r="C273" s="170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796"/>
      <c r="R273" s="169"/>
      <c r="S273" s="169"/>
      <c r="T273" s="169"/>
      <c r="U273" s="169"/>
      <c r="V273" s="169"/>
      <c r="W273" s="169"/>
      <c r="X273" s="169"/>
      <c r="Y273" s="169"/>
    </row>
    <row r="274" spans="1:25">
      <c r="A274" s="169"/>
      <c r="B274" s="169"/>
      <c r="C274" s="170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796"/>
      <c r="R274" s="169"/>
      <c r="S274" s="169"/>
      <c r="T274" s="169"/>
      <c r="U274" s="169"/>
      <c r="V274" s="169"/>
      <c r="W274" s="169"/>
      <c r="X274" s="169"/>
      <c r="Y274" s="169"/>
    </row>
    <row r="275" spans="1:25">
      <c r="A275" s="169"/>
      <c r="B275" s="169"/>
      <c r="C275" s="170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796"/>
      <c r="R275" s="169"/>
      <c r="S275" s="169"/>
      <c r="T275" s="169"/>
      <c r="U275" s="169"/>
      <c r="V275" s="169"/>
      <c r="W275" s="169"/>
      <c r="X275" s="169"/>
      <c r="Y275" s="169"/>
    </row>
    <row r="276" spans="1:25">
      <c r="A276" s="169"/>
      <c r="B276" s="169"/>
      <c r="C276" s="170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796"/>
      <c r="R276" s="169"/>
      <c r="S276" s="169"/>
      <c r="T276" s="169"/>
      <c r="U276" s="169"/>
      <c r="V276" s="169"/>
      <c r="W276" s="169"/>
      <c r="X276" s="169"/>
      <c r="Y276" s="169"/>
    </row>
    <row r="277" spans="1:25">
      <c r="A277" s="169"/>
      <c r="B277" s="169"/>
      <c r="C277" s="170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796"/>
      <c r="R277" s="169"/>
      <c r="S277" s="169"/>
      <c r="T277" s="169"/>
      <c r="U277" s="169"/>
      <c r="V277" s="169"/>
      <c r="W277" s="169"/>
      <c r="X277" s="169"/>
      <c r="Y277" s="169"/>
    </row>
    <row r="278" spans="1:25">
      <c r="A278" s="169"/>
      <c r="B278" s="169"/>
      <c r="C278" s="170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796"/>
      <c r="R278" s="169"/>
      <c r="S278" s="169"/>
      <c r="T278" s="169"/>
      <c r="U278" s="169"/>
      <c r="V278" s="169"/>
      <c r="W278" s="169"/>
      <c r="X278" s="169"/>
      <c r="Y278" s="169"/>
    </row>
    <row r="279" spans="1:25">
      <c r="A279" s="169"/>
      <c r="B279" s="169"/>
      <c r="C279" s="170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796"/>
      <c r="R279" s="169"/>
      <c r="S279" s="169"/>
      <c r="T279" s="169"/>
      <c r="U279" s="169"/>
      <c r="V279" s="169"/>
      <c r="W279" s="169"/>
      <c r="X279" s="169"/>
      <c r="Y279" s="169"/>
    </row>
    <row r="280" spans="1:25">
      <c r="A280" s="169"/>
      <c r="B280" s="169"/>
      <c r="C280" s="170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796"/>
      <c r="R280" s="169"/>
      <c r="S280" s="169"/>
      <c r="T280" s="169"/>
      <c r="U280" s="169"/>
      <c r="V280" s="169"/>
      <c r="W280" s="169"/>
      <c r="X280" s="169"/>
      <c r="Y280" s="169"/>
    </row>
    <row r="281" spans="1:25">
      <c r="A281" s="169"/>
      <c r="B281" s="169"/>
      <c r="C281" s="170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796"/>
      <c r="R281" s="169"/>
      <c r="S281" s="169"/>
      <c r="T281" s="169"/>
      <c r="U281" s="169"/>
      <c r="V281" s="169"/>
      <c r="W281" s="169"/>
      <c r="X281" s="169"/>
      <c r="Y281" s="169"/>
    </row>
    <row r="282" spans="1:25">
      <c r="A282" s="169"/>
      <c r="B282" s="169"/>
      <c r="C282" s="170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796"/>
      <c r="R282" s="169"/>
      <c r="S282" s="169"/>
      <c r="T282" s="169"/>
      <c r="U282" s="169"/>
      <c r="V282" s="169"/>
      <c r="W282" s="169"/>
      <c r="X282" s="169"/>
      <c r="Y282" s="169"/>
    </row>
    <row r="283" spans="1:25">
      <c r="A283" s="169"/>
      <c r="B283" s="169"/>
      <c r="C283" s="170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796"/>
      <c r="R283" s="169"/>
      <c r="S283" s="169"/>
      <c r="T283" s="169"/>
      <c r="U283" s="169"/>
      <c r="V283" s="169"/>
      <c r="W283" s="169"/>
      <c r="X283" s="169"/>
      <c r="Y283" s="169"/>
    </row>
    <row r="284" spans="1:25">
      <c r="A284" s="169"/>
      <c r="B284" s="169"/>
      <c r="C284" s="170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796"/>
      <c r="R284" s="169"/>
      <c r="S284" s="169"/>
      <c r="T284" s="169"/>
      <c r="U284" s="169"/>
      <c r="V284" s="169"/>
      <c r="W284" s="169"/>
      <c r="X284" s="169"/>
      <c r="Y284" s="169"/>
    </row>
    <row r="285" spans="1:25">
      <c r="A285" s="169"/>
      <c r="B285" s="169"/>
      <c r="C285" s="170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796"/>
      <c r="R285" s="169"/>
      <c r="S285" s="169"/>
      <c r="T285" s="169"/>
      <c r="U285" s="169"/>
      <c r="V285" s="169"/>
      <c r="W285" s="169"/>
      <c r="X285" s="169"/>
      <c r="Y285" s="169"/>
    </row>
    <row r="286" spans="1:25">
      <c r="A286" s="169"/>
      <c r="B286" s="169"/>
      <c r="C286" s="170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796"/>
      <c r="R286" s="169"/>
      <c r="S286" s="169"/>
      <c r="T286" s="169"/>
      <c r="U286" s="169"/>
      <c r="V286" s="169"/>
      <c r="W286" s="169"/>
      <c r="X286" s="169"/>
      <c r="Y286" s="169"/>
    </row>
    <row r="287" spans="1:25">
      <c r="A287" s="169"/>
      <c r="B287" s="169"/>
      <c r="C287" s="170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796"/>
      <c r="R287" s="169"/>
      <c r="S287" s="169"/>
      <c r="T287" s="169"/>
      <c r="U287" s="169"/>
      <c r="V287" s="169"/>
      <c r="W287" s="169"/>
      <c r="X287" s="169"/>
      <c r="Y287" s="169"/>
    </row>
    <row r="288" spans="1:25">
      <c r="A288" s="169"/>
      <c r="B288" s="169"/>
      <c r="C288" s="170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796"/>
      <c r="R288" s="169"/>
      <c r="S288" s="169"/>
      <c r="T288" s="169"/>
      <c r="U288" s="169"/>
      <c r="V288" s="169"/>
      <c r="W288" s="169"/>
      <c r="X288" s="169"/>
      <c r="Y288" s="169"/>
    </row>
    <row r="289" spans="1:25">
      <c r="A289" s="169"/>
      <c r="B289" s="169"/>
      <c r="C289" s="170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796"/>
      <c r="R289" s="169"/>
      <c r="S289" s="169"/>
      <c r="T289" s="169"/>
      <c r="U289" s="169"/>
      <c r="V289" s="169"/>
      <c r="W289" s="169"/>
      <c r="X289" s="169"/>
      <c r="Y289" s="169"/>
    </row>
    <row r="290" spans="1:25">
      <c r="A290" s="169"/>
      <c r="B290" s="169"/>
      <c r="C290" s="170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796"/>
      <c r="R290" s="169"/>
      <c r="S290" s="169"/>
      <c r="T290" s="169"/>
      <c r="U290" s="169"/>
      <c r="V290" s="169"/>
      <c r="W290" s="169"/>
      <c r="X290" s="169"/>
      <c r="Y290" s="169"/>
    </row>
    <row r="291" spans="1:25">
      <c r="A291" s="169"/>
      <c r="B291" s="169"/>
      <c r="C291" s="170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796"/>
      <c r="R291" s="169"/>
      <c r="S291" s="169"/>
      <c r="T291" s="169"/>
      <c r="U291" s="169"/>
      <c r="V291" s="169"/>
      <c r="W291" s="169"/>
      <c r="X291" s="169"/>
      <c r="Y291" s="169"/>
    </row>
    <row r="292" spans="1:25">
      <c r="A292" s="169"/>
      <c r="B292" s="169"/>
      <c r="C292" s="170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796"/>
      <c r="R292" s="169"/>
      <c r="S292" s="169"/>
      <c r="T292" s="169"/>
      <c r="U292" s="169"/>
      <c r="V292" s="169"/>
      <c r="W292" s="169"/>
      <c r="X292" s="169"/>
      <c r="Y292" s="169"/>
    </row>
    <row r="293" spans="1:25">
      <c r="A293" s="169"/>
      <c r="B293" s="169"/>
      <c r="C293" s="170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796"/>
      <c r="R293" s="169"/>
      <c r="S293" s="169"/>
      <c r="T293" s="169"/>
      <c r="U293" s="169"/>
      <c r="V293" s="169"/>
      <c r="W293" s="169"/>
      <c r="X293" s="169"/>
      <c r="Y293" s="169"/>
    </row>
    <row r="294" spans="1:25">
      <c r="A294" s="169"/>
      <c r="B294" s="169"/>
      <c r="C294" s="170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796"/>
      <c r="R294" s="169"/>
      <c r="S294" s="169"/>
      <c r="T294" s="169"/>
      <c r="U294" s="169"/>
      <c r="V294" s="169"/>
      <c r="W294" s="169"/>
      <c r="X294" s="169"/>
      <c r="Y294" s="169"/>
    </row>
    <row r="295" spans="1:25">
      <c r="A295" s="169"/>
      <c r="B295" s="169"/>
      <c r="C295" s="170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796"/>
      <c r="R295" s="169"/>
      <c r="S295" s="169"/>
      <c r="T295" s="169"/>
      <c r="U295" s="169"/>
      <c r="V295" s="169"/>
      <c r="W295" s="169"/>
      <c r="X295" s="169"/>
      <c r="Y295" s="169"/>
    </row>
    <row r="296" spans="1:25">
      <c r="A296" s="169"/>
      <c r="B296" s="169"/>
      <c r="C296" s="170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796"/>
      <c r="R296" s="169"/>
      <c r="S296" s="169"/>
      <c r="T296" s="169"/>
      <c r="U296" s="169"/>
      <c r="V296" s="169"/>
      <c r="W296" s="169"/>
      <c r="X296" s="169"/>
      <c r="Y296" s="169"/>
    </row>
    <row r="297" spans="1:25">
      <c r="A297" s="169"/>
      <c r="B297" s="169"/>
      <c r="C297" s="170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796"/>
      <c r="R297" s="169"/>
      <c r="S297" s="169"/>
      <c r="T297" s="169"/>
      <c r="U297" s="169"/>
      <c r="V297" s="169"/>
      <c r="W297" s="169"/>
      <c r="X297" s="169"/>
      <c r="Y297" s="169"/>
    </row>
    <row r="298" spans="1:25">
      <c r="A298" s="169"/>
      <c r="B298" s="169"/>
      <c r="C298" s="170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796"/>
      <c r="R298" s="169"/>
      <c r="S298" s="169"/>
      <c r="T298" s="169"/>
      <c r="U298" s="169"/>
      <c r="V298" s="169"/>
      <c r="W298" s="169"/>
      <c r="X298" s="169"/>
      <c r="Y298" s="169"/>
    </row>
    <row r="299" spans="1:25">
      <c r="A299" s="169"/>
      <c r="B299" s="169"/>
      <c r="C299" s="170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796"/>
      <c r="R299" s="169"/>
      <c r="S299" s="169"/>
      <c r="T299" s="169"/>
      <c r="U299" s="169"/>
      <c r="V299" s="169"/>
      <c r="W299" s="169"/>
      <c r="X299" s="169"/>
      <c r="Y299" s="169"/>
    </row>
    <row r="300" spans="1:25">
      <c r="A300" s="169"/>
      <c r="B300" s="169"/>
      <c r="C300" s="170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796"/>
      <c r="R300" s="169"/>
      <c r="S300" s="169"/>
      <c r="T300" s="169"/>
      <c r="U300" s="169"/>
      <c r="V300" s="169"/>
      <c r="W300" s="169"/>
      <c r="X300" s="169"/>
      <c r="Y300" s="169"/>
    </row>
    <row r="301" spans="1:25">
      <c r="A301" s="169"/>
      <c r="B301" s="169"/>
      <c r="C301" s="170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796"/>
      <c r="R301" s="169"/>
      <c r="S301" s="169"/>
      <c r="T301" s="169"/>
      <c r="U301" s="169"/>
      <c r="V301" s="169"/>
      <c r="W301" s="169"/>
      <c r="X301" s="169"/>
      <c r="Y301" s="169"/>
    </row>
    <row r="302" spans="1:25">
      <c r="A302" s="169"/>
      <c r="B302" s="169"/>
      <c r="C302" s="170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796"/>
      <c r="R302" s="169"/>
      <c r="S302" s="169"/>
      <c r="T302" s="169"/>
      <c r="U302" s="169"/>
      <c r="V302" s="169"/>
      <c r="W302" s="169"/>
      <c r="X302" s="169"/>
      <c r="Y302" s="169"/>
    </row>
    <row r="303" spans="1:25">
      <c r="A303" s="169"/>
      <c r="B303" s="169"/>
      <c r="C303" s="170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796"/>
      <c r="R303" s="169"/>
      <c r="S303" s="169"/>
      <c r="T303" s="169"/>
      <c r="U303" s="169"/>
      <c r="V303" s="169"/>
      <c r="W303" s="169"/>
      <c r="X303" s="169"/>
      <c r="Y303" s="169"/>
    </row>
    <row r="304" spans="1:25">
      <c r="A304" s="169"/>
      <c r="B304" s="169"/>
      <c r="C304" s="170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796"/>
      <c r="R304" s="169"/>
      <c r="S304" s="169"/>
      <c r="T304" s="169"/>
      <c r="U304" s="169"/>
      <c r="V304" s="169"/>
      <c r="W304" s="169"/>
      <c r="X304" s="169"/>
      <c r="Y304" s="169"/>
    </row>
    <row r="305" spans="1:25">
      <c r="A305" s="169"/>
      <c r="B305" s="169"/>
      <c r="C305" s="170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796"/>
      <c r="R305" s="169"/>
      <c r="S305" s="169"/>
      <c r="T305" s="169"/>
      <c r="U305" s="169"/>
      <c r="V305" s="169"/>
      <c r="W305" s="169"/>
      <c r="X305" s="169"/>
      <c r="Y305" s="169"/>
    </row>
    <row r="306" spans="1:25">
      <c r="A306" s="169"/>
      <c r="B306" s="169"/>
      <c r="C306" s="170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796"/>
      <c r="R306" s="169"/>
      <c r="S306" s="169"/>
      <c r="T306" s="169"/>
      <c r="U306" s="169"/>
      <c r="V306" s="169"/>
      <c r="W306" s="169"/>
      <c r="X306" s="169"/>
      <c r="Y306" s="169"/>
    </row>
    <row r="307" spans="1:25">
      <c r="A307" s="169"/>
      <c r="B307" s="169"/>
      <c r="C307" s="170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796"/>
      <c r="R307" s="169"/>
      <c r="S307" s="169"/>
      <c r="T307" s="169"/>
      <c r="U307" s="169"/>
      <c r="V307" s="169"/>
      <c r="W307" s="169"/>
      <c r="X307" s="169"/>
      <c r="Y307" s="169"/>
    </row>
    <row r="308" spans="1:25">
      <c r="A308" s="169"/>
      <c r="B308" s="169"/>
      <c r="C308" s="170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796"/>
      <c r="R308" s="169"/>
      <c r="S308" s="169"/>
      <c r="T308" s="169"/>
      <c r="U308" s="169"/>
      <c r="V308" s="169"/>
      <c r="W308" s="169"/>
      <c r="X308" s="169"/>
      <c r="Y308" s="169"/>
    </row>
    <row r="309" spans="1:25">
      <c r="A309" s="169"/>
      <c r="B309" s="169"/>
      <c r="C309" s="170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796"/>
      <c r="R309" s="169"/>
      <c r="S309" s="169"/>
      <c r="T309" s="169"/>
      <c r="U309" s="169"/>
      <c r="V309" s="169"/>
      <c r="W309" s="169"/>
      <c r="X309" s="169"/>
      <c r="Y309" s="169"/>
    </row>
    <row r="310" spans="1:25">
      <c r="A310" s="169"/>
      <c r="B310" s="169"/>
      <c r="C310" s="170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796"/>
      <c r="R310" s="169"/>
      <c r="S310" s="169"/>
      <c r="T310" s="169"/>
      <c r="U310" s="169"/>
      <c r="V310" s="169"/>
      <c r="W310" s="169"/>
      <c r="X310" s="169"/>
      <c r="Y310" s="169"/>
    </row>
    <row r="311" spans="1:25">
      <c r="A311" s="169"/>
      <c r="B311" s="169"/>
      <c r="C311" s="170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796"/>
      <c r="R311" s="169"/>
      <c r="S311" s="169"/>
      <c r="T311" s="169"/>
      <c r="U311" s="169"/>
      <c r="V311" s="169"/>
      <c r="W311" s="169"/>
      <c r="X311" s="169"/>
      <c r="Y311" s="169"/>
    </row>
    <row r="312" spans="1:25">
      <c r="A312" s="169"/>
      <c r="B312" s="169"/>
      <c r="C312" s="170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796"/>
      <c r="R312" s="169"/>
      <c r="S312" s="169"/>
      <c r="T312" s="169"/>
      <c r="U312" s="169"/>
      <c r="V312" s="169"/>
      <c r="W312" s="169"/>
      <c r="X312" s="169"/>
      <c r="Y312" s="169"/>
    </row>
    <row r="313" spans="1:25">
      <c r="A313" s="169"/>
      <c r="B313" s="169"/>
      <c r="C313" s="170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796"/>
      <c r="R313" s="169"/>
      <c r="S313" s="169"/>
      <c r="T313" s="169"/>
      <c r="U313" s="169"/>
      <c r="V313" s="169"/>
      <c r="W313" s="169"/>
      <c r="X313" s="169"/>
      <c r="Y313" s="169"/>
    </row>
    <row r="314" spans="1:25">
      <c r="A314" s="169"/>
      <c r="B314" s="169"/>
      <c r="C314" s="170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796"/>
      <c r="R314" s="169"/>
      <c r="S314" s="169"/>
      <c r="T314" s="169"/>
      <c r="U314" s="169"/>
      <c r="V314" s="169"/>
      <c r="W314" s="169"/>
      <c r="X314" s="169"/>
      <c r="Y314" s="169"/>
    </row>
    <row r="315" spans="1:25">
      <c r="A315" s="169"/>
      <c r="B315" s="169"/>
      <c r="C315" s="170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796"/>
      <c r="R315" s="169"/>
      <c r="S315" s="169"/>
      <c r="T315" s="169"/>
      <c r="U315" s="169"/>
      <c r="V315" s="169"/>
      <c r="W315" s="169"/>
      <c r="X315" s="169"/>
      <c r="Y315" s="169"/>
    </row>
    <row r="316" spans="1:25">
      <c r="A316" s="169"/>
      <c r="B316" s="169"/>
      <c r="C316" s="170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796"/>
      <c r="R316" s="169"/>
      <c r="S316" s="169"/>
      <c r="T316" s="169"/>
      <c r="U316" s="169"/>
      <c r="V316" s="169"/>
      <c r="W316" s="169"/>
      <c r="X316" s="169"/>
      <c r="Y316" s="169"/>
    </row>
    <row r="317" spans="1:25">
      <c r="A317" s="169"/>
      <c r="B317" s="169"/>
      <c r="C317" s="170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796"/>
      <c r="R317" s="169"/>
      <c r="S317" s="169"/>
      <c r="T317" s="169"/>
      <c r="U317" s="169"/>
      <c r="V317" s="169"/>
      <c r="W317" s="169"/>
      <c r="X317" s="169"/>
      <c r="Y317" s="169"/>
    </row>
    <row r="318" spans="1:25">
      <c r="A318" s="169"/>
      <c r="B318" s="169"/>
      <c r="C318" s="170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796"/>
      <c r="R318" s="169"/>
      <c r="S318" s="169"/>
      <c r="T318" s="169"/>
      <c r="U318" s="169"/>
      <c r="V318" s="169"/>
      <c r="W318" s="169"/>
      <c r="X318" s="169"/>
      <c r="Y318" s="169"/>
    </row>
    <row r="319" spans="1:25">
      <c r="A319" s="169"/>
      <c r="B319" s="169"/>
      <c r="C319" s="170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796"/>
      <c r="R319" s="169"/>
      <c r="S319" s="169"/>
      <c r="T319" s="169"/>
      <c r="U319" s="169"/>
      <c r="V319" s="169"/>
      <c r="W319" s="169"/>
      <c r="X319" s="169"/>
      <c r="Y319" s="169"/>
    </row>
    <row r="320" spans="1:25">
      <c r="A320" s="169"/>
      <c r="B320" s="169"/>
      <c r="C320" s="170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796"/>
      <c r="R320" s="169"/>
      <c r="S320" s="169"/>
      <c r="T320" s="169"/>
      <c r="U320" s="169"/>
      <c r="V320" s="169"/>
      <c r="W320" s="169"/>
      <c r="X320" s="169"/>
      <c r="Y320" s="169"/>
    </row>
    <row r="321" spans="1:25">
      <c r="A321" s="169"/>
      <c r="B321" s="169"/>
      <c r="C321" s="170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796"/>
      <c r="R321" s="169"/>
      <c r="S321" s="169"/>
      <c r="T321" s="169"/>
      <c r="U321" s="169"/>
      <c r="V321" s="169"/>
      <c r="W321" s="169"/>
      <c r="X321" s="169"/>
      <c r="Y321" s="169"/>
    </row>
    <row r="322" spans="1:25">
      <c r="A322" s="169"/>
      <c r="B322" s="169"/>
      <c r="C322" s="170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796"/>
      <c r="R322" s="169"/>
      <c r="S322" s="169"/>
      <c r="T322" s="169"/>
      <c r="U322" s="169"/>
      <c r="V322" s="169"/>
      <c r="W322" s="169"/>
      <c r="X322" s="169"/>
      <c r="Y322" s="169"/>
    </row>
    <row r="323" spans="1:25">
      <c r="A323" s="169"/>
      <c r="B323" s="169"/>
      <c r="C323" s="170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796"/>
      <c r="R323" s="169"/>
      <c r="S323" s="169"/>
      <c r="T323" s="169"/>
      <c r="U323" s="169"/>
      <c r="V323" s="169"/>
      <c r="W323" s="169"/>
      <c r="X323" s="169"/>
      <c r="Y323" s="169"/>
    </row>
    <row r="324" spans="1:25">
      <c r="A324" s="169"/>
      <c r="B324" s="169"/>
      <c r="C324" s="170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796"/>
      <c r="R324" s="169"/>
      <c r="S324" s="169"/>
      <c r="T324" s="169"/>
      <c r="U324" s="169"/>
      <c r="V324" s="169"/>
      <c r="W324" s="169"/>
      <c r="X324" s="169"/>
      <c r="Y324" s="169"/>
    </row>
    <row r="325" spans="1:25">
      <c r="A325" s="169"/>
      <c r="B325" s="169"/>
      <c r="C325" s="170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796"/>
      <c r="R325" s="169"/>
      <c r="S325" s="169"/>
      <c r="T325" s="169"/>
      <c r="U325" s="169"/>
      <c r="V325" s="169"/>
      <c r="W325" s="169"/>
      <c r="X325" s="169"/>
      <c r="Y325" s="169"/>
    </row>
    <row r="326" spans="1:25">
      <c r="A326" s="169"/>
      <c r="B326" s="169"/>
      <c r="C326" s="170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796"/>
      <c r="R326" s="169"/>
      <c r="S326" s="169"/>
      <c r="T326" s="169"/>
      <c r="U326" s="169"/>
      <c r="V326" s="169"/>
      <c r="W326" s="169"/>
      <c r="X326" s="169"/>
      <c r="Y326" s="169"/>
    </row>
    <row r="327" spans="1:25">
      <c r="A327" s="169"/>
      <c r="B327" s="169"/>
      <c r="C327" s="170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796"/>
      <c r="R327" s="169"/>
      <c r="S327" s="169"/>
      <c r="T327" s="169"/>
      <c r="U327" s="169"/>
      <c r="V327" s="169"/>
      <c r="W327" s="169"/>
      <c r="X327" s="169"/>
      <c r="Y327" s="169"/>
    </row>
    <row r="328" spans="1:25">
      <c r="A328" s="169"/>
      <c r="B328" s="169"/>
      <c r="C328" s="170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796"/>
      <c r="R328" s="169"/>
      <c r="S328" s="169"/>
      <c r="T328" s="169"/>
      <c r="U328" s="169"/>
      <c r="V328" s="169"/>
      <c r="W328" s="169"/>
      <c r="X328" s="169"/>
      <c r="Y328" s="169"/>
    </row>
    <row r="329" spans="1:25">
      <c r="A329" s="169"/>
      <c r="B329" s="169"/>
      <c r="C329" s="170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796"/>
      <c r="R329" s="169"/>
      <c r="S329" s="169"/>
      <c r="T329" s="169"/>
      <c r="U329" s="169"/>
      <c r="V329" s="169"/>
      <c r="W329" s="169"/>
      <c r="X329" s="169"/>
      <c r="Y329" s="169"/>
    </row>
    <row r="330" spans="1:25">
      <c r="A330" s="169"/>
      <c r="B330" s="169"/>
      <c r="C330" s="170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796"/>
      <c r="R330" s="169"/>
      <c r="S330" s="169"/>
      <c r="T330" s="169"/>
      <c r="U330" s="169"/>
      <c r="V330" s="169"/>
      <c r="W330" s="169"/>
      <c r="X330" s="169"/>
      <c r="Y330" s="169"/>
    </row>
    <row r="331" spans="1:25">
      <c r="A331" s="169"/>
      <c r="B331" s="169"/>
      <c r="C331" s="170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796"/>
      <c r="R331" s="169"/>
      <c r="S331" s="169"/>
      <c r="T331" s="169"/>
      <c r="U331" s="169"/>
      <c r="V331" s="169"/>
      <c r="W331" s="169"/>
      <c r="X331" s="169"/>
      <c r="Y331" s="169"/>
    </row>
    <row r="332" spans="1:25">
      <c r="A332" s="169"/>
      <c r="B332" s="169"/>
      <c r="C332" s="170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796"/>
      <c r="R332" s="169"/>
      <c r="S332" s="169"/>
      <c r="T332" s="169"/>
      <c r="U332" s="169"/>
      <c r="V332" s="169"/>
      <c r="W332" s="169"/>
      <c r="X332" s="169"/>
      <c r="Y332" s="169"/>
    </row>
    <row r="333" spans="1:25">
      <c r="A333" s="169"/>
      <c r="B333" s="169"/>
      <c r="C333" s="170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796"/>
      <c r="R333" s="169"/>
      <c r="S333" s="169"/>
      <c r="T333" s="169"/>
      <c r="U333" s="169"/>
      <c r="V333" s="169"/>
      <c r="W333" s="169"/>
      <c r="X333" s="169"/>
      <c r="Y333" s="169"/>
    </row>
    <row r="334" spans="1:25">
      <c r="A334" s="169"/>
      <c r="B334" s="169"/>
      <c r="C334" s="170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796"/>
      <c r="R334" s="169"/>
      <c r="S334" s="169"/>
      <c r="T334" s="169"/>
      <c r="U334" s="169"/>
      <c r="V334" s="169"/>
      <c r="W334" s="169"/>
      <c r="X334" s="169"/>
      <c r="Y334" s="169"/>
    </row>
    <row r="335" spans="1:25">
      <c r="A335" s="169"/>
      <c r="B335" s="169"/>
      <c r="C335" s="170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796"/>
      <c r="R335" s="169"/>
      <c r="S335" s="169"/>
      <c r="T335" s="169"/>
      <c r="U335" s="169"/>
      <c r="V335" s="169"/>
      <c r="W335" s="169"/>
      <c r="X335" s="169"/>
      <c r="Y335" s="169"/>
    </row>
    <row r="336" spans="1:25">
      <c r="A336" s="169"/>
      <c r="B336" s="169"/>
      <c r="C336" s="170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796"/>
      <c r="R336" s="169"/>
      <c r="S336" s="169"/>
      <c r="T336" s="169"/>
      <c r="U336" s="169"/>
      <c r="V336" s="169"/>
      <c r="W336" s="169"/>
      <c r="X336" s="169"/>
      <c r="Y336" s="169"/>
    </row>
    <row r="337" spans="1:25">
      <c r="A337" s="169"/>
      <c r="B337" s="169"/>
      <c r="C337" s="170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796"/>
      <c r="R337" s="169"/>
      <c r="S337" s="169"/>
      <c r="T337" s="169"/>
      <c r="U337" s="169"/>
      <c r="V337" s="169"/>
      <c r="W337" s="169"/>
      <c r="X337" s="169"/>
      <c r="Y337" s="169"/>
    </row>
    <row r="338" spans="1:25">
      <c r="A338" s="169"/>
      <c r="B338" s="169"/>
      <c r="C338" s="170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796"/>
      <c r="R338" s="169"/>
      <c r="S338" s="169"/>
      <c r="T338" s="169"/>
      <c r="U338" s="169"/>
      <c r="V338" s="169"/>
      <c r="W338" s="169"/>
      <c r="X338" s="169"/>
      <c r="Y338" s="169"/>
    </row>
    <row r="339" spans="1:25">
      <c r="A339" s="169"/>
      <c r="B339" s="169"/>
      <c r="C339" s="170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796"/>
      <c r="R339" s="169"/>
      <c r="S339" s="169"/>
      <c r="T339" s="169"/>
      <c r="U339" s="169"/>
      <c r="V339" s="169"/>
      <c r="W339" s="169"/>
      <c r="X339" s="169"/>
      <c r="Y339" s="169"/>
    </row>
    <row r="340" spans="1:25">
      <c r="A340" s="169"/>
      <c r="B340" s="169"/>
      <c r="C340" s="170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796"/>
      <c r="R340" s="169"/>
      <c r="S340" s="169"/>
      <c r="T340" s="169"/>
      <c r="U340" s="169"/>
      <c r="V340" s="169"/>
      <c r="W340" s="169"/>
      <c r="X340" s="169"/>
      <c r="Y340" s="169"/>
    </row>
    <row r="341" spans="1:25">
      <c r="A341" s="169"/>
      <c r="B341" s="169"/>
      <c r="C341" s="170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796"/>
      <c r="R341" s="169"/>
      <c r="S341" s="169"/>
      <c r="T341" s="169"/>
      <c r="U341" s="169"/>
      <c r="V341" s="169"/>
      <c r="W341" s="169"/>
      <c r="X341" s="169"/>
      <c r="Y341" s="169"/>
    </row>
    <row r="342" spans="1:25">
      <c r="A342" s="169"/>
      <c r="B342" s="169"/>
      <c r="C342" s="170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796"/>
      <c r="R342" s="169"/>
      <c r="S342" s="169"/>
      <c r="T342" s="169"/>
      <c r="U342" s="169"/>
      <c r="V342" s="169"/>
      <c r="W342" s="169"/>
      <c r="X342" s="169"/>
      <c r="Y342" s="169"/>
    </row>
    <row r="343" spans="1:25">
      <c r="A343" s="169"/>
      <c r="B343" s="169"/>
      <c r="C343" s="170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796"/>
      <c r="R343" s="169"/>
      <c r="S343" s="169"/>
      <c r="T343" s="169"/>
      <c r="U343" s="169"/>
      <c r="V343" s="169"/>
      <c r="W343" s="169"/>
      <c r="X343" s="169"/>
      <c r="Y343" s="169"/>
    </row>
    <row r="344" spans="1:25">
      <c r="A344" s="169"/>
      <c r="B344" s="169"/>
      <c r="C344" s="170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796"/>
      <c r="R344" s="169"/>
      <c r="S344" s="169"/>
      <c r="T344" s="169"/>
      <c r="U344" s="169"/>
      <c r="V344" s="169"/>
      <c r="W344" s="169"/>
      <c r="X344" s="169"/>
      <c r="Y344" s="169"/>
    </row>
    <row r="345" spans="1:25">
      <c r="A345" s="169"/>
      <c r="B345" s="169"/>
      <c r="C345" s="170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796"/>
      <c r="R345" s="169"/>
      <c r="S345" s="169"/>
      <c r="T345" s="169"/>
      <c r="U345" s="169"/>
      <c r="V345" s="169"/>
      <c r="W345" s="169"/>
      <c r="X345" s="169"/>
      <c r="Y345" s="169"/>
    </row>
    <row r="346" spans="1:25">
      <c r="A346" s="169"/>
      <c r="B346" s="169"/>
      <c r="C346" s="170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796"/>
      <c r="R346" s="169"/>
      <c r="S346" s="169"/>
      <c r="T346" s="169"/>
      <c r="U346" s="169"/>
      <c r="V346" s="169"/>
      <c r="W346" s="169"/>
      <c r="X346" s="169"/>
      <c r="Y346" s="169"/>
    </row>
    <row r="347" spans="1:25">
      <c r="A347" s="169"/>
      <c r="B347" s="169"/>
      <c r="C347" s="170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796"/>
      <c r="R347" s="169"/>
      <c r="S347" s="169"/>
      <c r="T347" s="169"/>
      <c r="U347" s="169"/>
      <c r="V347" s="169"/>
      <c r="W347" s="169"/>
      <c r="X347" s="169"/>
      <c r="Y347" s="169"/>
    </row>
    <row r="348" spans="1:25">
      <c r="A348" s="169"/>
      <c r="B348" s="169"/>
      <c r="C348" s="170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796"/>
      <c r="R348" s="169"/>
      <c r="S348" s="169"/>
      <c r="T348" s="169"/>
      <c r="U348" s="169"/>
      <c r="V348" s="169"/>
      <c r="W348" s="169"/>
      <c r="X348" s="169"/>
      <c r="Y348" s="169"/>
    </row>
    <row r="349" spans="1:25">
      <c r="A349" s="169"/>
      <c r="B349" s="169"/>
      <c r="C349" s="170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796"/>
      <c r="R349" s="169"/>
      <c r="S349" s="169"/>
      <c r="T349" s="169"/>
      <c r="U349" s="169"/>
      <c r="V349" s="169"/>
      <c r="W349" s="169"/>
      <c r="X349" s="169"/>
      <c r="Y349" s="169"/>
    </row>
    <row r="350" spans="1:25">
      <c r="A350" s="169"/>
      <c r="B350" s="169"/>
      <c r="C350" s="170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796"/>
      <c r="R350" s="169"/>
      <c r="S350" s="169"/>
      <c r="T350" s="169"/>
      <c r="U350" s="169"/>
      <c r="V350" s="169"/>
      <c r="W350" s="169"/>
      <c r="X350" s="169"/>
      <c r="Y350" s="169"/>
    </row>
    <row r="351" spans="1:25">
      <c r="A351" s="169"/>
      <c r="B351" s="169"/>
      <c r="C351" s="170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796"/>
      <c r="R351" s="169"/>
      <c r="S351" s="169"/>
      <c r="T351" s="169"/>
      <c r="U351" s="169"/>
      <c r="V351" s="169"/>
      <c r="W351" s="169"/>
      <c r="X351" s="169"/>
      <c r="Y351" s="169"/>
    </row>
    <row r="352" spans="1:25">
      <c r="A352" s="169"/>
      <c r="B352" s="169"/>
      <c r="C352" s="170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796"/>
      <c r="R352" s="169"/>
      <c r="S352" s="169"/>
      <c r="T352" s="169"/>
      <c r="U352" s="169"/>
      <c r="V352" s="169"/>
      <c r="W352" s="169"/>
      <c r="X352" s="169"/>
      <c r="Y352" s="169"/>
    </row>
    <row r="353" spans="1:25">
      <c r="A353" s="169"/>
      <c r="B353" s="169"/>
      <c r="C353" s="170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796"/>
      <c r="R353" s="169"/>
      <c r="S353" s="169"/>
      <c r="T353" s="169"/>
      <c r="U353" s="169"/>
      <c r="V353" s="169"/>
      <c r="W353" s="169"/>
      <c r="X353" s="169"/>
      <c r="Y353" s="169"/>
    </row>
    <row r="354" spans="1:25">
      <c r="A354" s="169"/>
      <c r="B354" s="169"/>
      <c r="C354" s="170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796"/>
      <c r="R354" s="169"/>
      <c r="S354" s="169"/>
      <c r="T354" s="169"/>
      <c r="U354" s="169"/>
      <c r="V354" s="169"/>
      <c r="W354" s="169"/>
      <c r="X354" s="169"/>
      <c r="Y354" s="169"/>
    </row>
    <row r="355" spans="1:25">
      <c r="A355" s="169"/>
      <c r="B355" s="169"/>
      <c r="C355" s="170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796"/>
      <c r="R355" s="169"/>
      <c r="S355" s="169"/>
      <c r="T355" s="169"/>
      <c r="U355" s="169"/>
      <c r="V355" s="169"/>
      <c r="W355" s="169"/>
      <c r="X355" s="169"/>
      <c r="Y355" s="169"/>
    </row>
    <row r="356" spans="1:25">
      <c r="A356" s="169"/>
      <c r="B356" s="169"/>
      <c r="C356" s="170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796"/>
      <c r="R356" s="169"/>
      <c r="S356" s="169"/>
      <c r="T356" s="169"/>
      <c r="U356" s="169"/>
      <c r="V356" s="169"/>
      <c r="W356" s="169"/>
      <c r="X356" s="169"/>
      <c r="Y356" s="169"/>
    </row>
    <row r="357" spans="1:25">
      <c r="A357" s="169"/>
      <c r="B357" s="169"/>
      <c r="C357" s="170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796"/>
      <c r="R357" s="169"/>
      <c r="S357" s="169"/>
      <c r="T357" s="169"/>
      <c r="U357" s="169"/>
      <c r="V357" s="169"/>
      <c r="W357" s="169"/>
      <c r="X357" s="169"/>
      <c r="Y357" s="169"/>
    </row>
    <row r="358" spans="1:25">
      <c r="A358" s="169"/>
      <c r="B358" s="169"/>
      <c r="C358" s="170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796"/>
      <c r="R358" s="169"/>
      <c r="S358" s="169"/>
      <c r="T358" s="169"/>
      <c r="U358" s="169"/>
      <c r="V358" s="169"/>
      <c r="W358" s="169"/>
      <c r="X358" s="169"/>
      <c r="Y358" s="169"/>
    </row>
    <row r="359" spans="1:25">
      <c r="A359" s="169"/>
      <c r="B359" s="169"/>
      <c r="C359" s="170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796"/>
      <c r="R359" s="169"/>
      <c r="S359" s="169"/>
      <c r="T359" s="169"/>
      <c r="U359" s="169"/>
      <c r="V359" s="169"/>
      <c r="W359" s="169"/>
      <c r="X359" s="169"/>
      <c r="Y359" s="169"/>
    </row>
    <row r="360" spans="1:25">
      <c r="A360" s="169"/>
      <c r="B360" s="169"/>
      <c r="C360" s="170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796"/>
      <c r="R360" s="169"/>
      <c r="S360" s="169"/>
      <c r="T360" s="169"/>
      <c r="U360" s="169"/>
      <c r="V360" s="169"/>
      <c r="W360" s="169"/>
      <c r="X360" s="169"/>
      <c r="Y360" s="169"/>
    </row>
    <row r="361" spans="1:25">
      <c r="A361" s="169"/>
      <c r="B361" s="169"/>
      <c r="C361" s="170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796"/>
      <c r="R361" s="169"/>
      <c r="S361" s="169"/>
      <c r="T361" s="169"/>
      <c r="U361" s="169"/>
      <c r="V361" s="169"/>
      <c r="W361" s="169"/>
      <c r="X361" s="169"/>
      <c r="Y361" s="169"/>
    </row>
    <row r="362" spans="1:25">
      <c r="A362" s="169"/>
      <c r="B362" s="169"/>
      <c r="C362" s="170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796"/>
      <c r="R362" s="169"/>
      <c r="S362" s="169"/>
      <c r="T362" s="169"/>
      <c r="U362" s="169"/>
      <c r="V362" s="169"/>
      <c r="W362" s="169"/>
      <c r="X362" s="169"/>
      <c r="Y362" s="169"/>
    </row>
    <row r="363" spans="1:25">
      <c r="A363" s="169"/>
      <c r="B363" s="169"/>
      <c r="C363" s="170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796"/>
      <c r="R363" s="169"/>
      <c r="S363" s="169"/>
      <c r="T363" s="169"/>
      <c r="U363" s="169"/>
      <c r="V363" s="169"/>
      <c r="W363" s="169"/>
      <c r="X363" s="169"/>
      <c r="Y363" s="169"/>
    </row>
    <row r="364" spans="1:25">
      <c r="A364" s="169"/>
      <c r="B364" s="169"/>
      <c r="C364" s="170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796"/>
      <c r="R364" s="169"/>
      <c r="S364" s="169"/>
      <c r="T364" s="169"/>
      <c r="U364" s="169"/>
      <c r="V364" s="169"/>
      <c r="W364" s="169"/>
      <c r="X364" s="169"/>
      <c r="Y364" s="169"/>
    </row>
    <row r="365" spans="1:25">
      <c r="A365" s="169"/>
      <c r="B365" s="169"/>
      <c r="C365" s="170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796"/>
      <c r="R365" s="169"/>
      <c r="S365" s="169"/>
      <c r="T365" s="169"/>
      <c r="U365" s="169"/>
      <c r="V365" s="169"/>
      <c r="W365" s="169"/>
      <c r="X365" s="169"/>
      <c r="Y365" s="169"/>
    </row>
    <row r="366" spans="1:25">
      <c r="A366" s="169"/>
      <c r="B366" s="169"/>
      <c r="C366" s="170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796"/>
      <c r="R366" s="169"/>
      <c r="S366" s="169"/>
      <c r="T366" s="169"/>
      <c r="U366" s="169"/>
      <c r="V366" s="169"/>
      <c r="W366" s="169"/>
      <c r="X366" s="169"/>
      <c r="Y366" s="169"/>
    </row>
    <row r="367" spans="1:25">
      <c r="A367" s="169"/>
      <c r="B367" s="169"/>
      <c r="C367" s="170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796"/>
      <c r="R367" s="169"/>
      <c r="S367" s="169"/>
      <c r="T367" s="169"/>
      <c r="U367" s="169"/>
      <c r="V367" s="169"/>
      <c r="W367" s="169"/>
      <c r="X367" s="169"/>
      <c r="Y367" s="169"/>
    </row>
    <row r="368" spans="1:25">
      <c r="A368" s="169"/>
      <c r="B368" s="169"/>
      <c r="C368" s="170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796"/>
      <c r="R368" s="169"/>
      <c r="S368" s="169"/>
      <c r="T368" s="169"/>
      <c r="U368" s="169"/>
      <c r="V368" s="169"/>
      <c r="W368" s="169"/>
      <c r="X368" s="169"/>
      <c r="Y368" s="169"/>
    </row>
    <row r="369" spans="1:25">
      <c r="A369" s="169"/>
      <c r="B369" s="169"/>
      <c r="C369" s="170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796"/>
      <c r="R369" s="169"/>
      <c r="S369" s="169"/>
      <c r="T369" s="169"/>
      <c r="U369" s="169"/>
      <c r="V369" s="169"/>
      <c r="W369" s="169"/>
      <c r="X369" s="169"/>
      <c r="Y369" s="169"/>
    </row>
    <row r="370" spans="1:25">
      <c r="A370" s="169"/>
      <c r="B370" s="169"/>
      <c r="C370" s="170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796"/>
      <c r="R370" s="169"/>
      <c r="S370" s="169"/>
      <c r="T370" s="169"/>
      <c r="U370" s="169"/>
      <c r="V370" s="169"/>
      <c r="W370" s="169"/>
      <c r="X370" s="169"/>
      <c r="Y370" s="169"/>
    </row>
    <row r="371" spans="1:25">
      <c r="A371" s="169"/>
      <c r="B371" s="169"/>
      <c r="C371" s="170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796"/>
      <c r="R371" s="169"/>
      <c r="S371" s="169"/>
      <c r="T371" s="169"/>
      <c r="U371" s="169"/>
      <c r="V371" s="169"/>
      <c r="W371" s="169"/>
      <c r="X371" s="169"/>
      <c r="Y371" s="169"/>
    </row>
    <row r="372" spans="1:25">
      <c r="A372" s="169"/>
      <c r="B372" s="169"/>
      <c r="C372" s="170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796"/>
      <c r="R372" s="169"/>
      <c r="S372" s="169"/>
      <c r="T372" s="169"/>
      <c r="U372" s="169"/>
      <c r="V372" s="169"/>
      <c r="W372" s="169"/>
      <c r="X372" s="169"/>
      <c r="Y372" s="169"/>
    </row>
    <row r="373" spans="1:25">
      <c r="A373" s="169"/>
      <c r="B373" s="169"/>
      <c r="C373" s="170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796"/>
      <c r="R373" s="169"/>
      <c r="S373" s="169"/>
      <c r="T373" s="169"/>
      <c r="U373" s="169"/>
      <c r="V373" s="169"/>
      <c r="W373" s="169"/>
      <c r="X373" s="169"/>
      <c r="Y373" s="169"/>
    </row>
    <row r="374" spans="1:25">
      <c r="A374" s="169"/>
      <c r="B374" s="169"/>
      <c r="C374" s="170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796"/>
      <c r="R374" s="169"/>
      <c r="S374" s="169"/>
      <c r="T374" s="169"/>
      <c r="U374" s="169"/>
      <c r="V374" s="169"/>
      <c r="W374" s="169"/>
      <c r="X374" s="169"/>
      <c r="Y374" s="169"/>
    </row>
    <row r="375" spans="1:25">
      <c r="A375" s="169"/>
      <c r="B375" s="169"/>
      <c r="C375" s="170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796"/>
      <c r="R375" s="169"/>
      <c r="S375" s="169"/>
      <c r="T375" s="169"/>
      <c r="U375" s="169"/>
      <c r="V375" s="169"/>
      <c r="W375" s="169"/>
      <c r="X375" s="169"/>
      <c r="Y375" s="169"/>
    </row>
    <row r="376" spans="1:25">
      <c r="A376" s="169"/>
      <c r="B376" s="169"/>
      <c r="C376" s="170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796"/>
      <c r="R376" s="169"/>
      <c r="S376" s="169"/>
      <c r="T376" s="169"/>
      <c r="U376" s="169"/>
      <c r="V376" s="169"/>
      <c r="W376" s="169"/>
      <c r="X376" s="169"/>
      <c r="Y376" s="169"/>
    </row>
    <row r="377" spans="1:25">
      <c r="A377" s="169"/>
      <c r="B377" s="169"/>
      <c r="C377" s="170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796"/>
      <c r="R377" s="169"/>
      <c r="S377" s="169"/>
      <c r="T377" s="169"/>
      <c r="U377" s="169"/>
      <c r="V377" s="169"/>
      <c r="W377" s="169"/>
      <c r="X377" s="169"/>
      <c r="Y377" s="169"/>
    </row>
    <row r="378" spans="1:25">
      <c r="A378" s="169"/>
      <c r="B378" s="169"/>
      <c r="C378" s="170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796"/>
      <c r="R378" s="169"/>
      <c r="S378" s="169"/>
      <c r="T378" s="169"/>
      <c r="U378" s="169"/>
      <c r="V378" s="169"/>
      <c r="W378" s="169"/>
      <c r="X378" s="169"/>
      <c r="Y378" s="169"/>
    </row>
    <row r="379" spans="1:25">
      <c r="A379" s="169"/>
      <c r="B379" s="169"/>
      <c r="C379" s="170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796"/>
      <c r="R379" s="169"/>
      <c r="S379" s="169"/>
      <c r="T379" s="169"/>
      <c r="U379" s="169"/>
      <c r="V379" s="169"/>
      <c r="W379" s="169"/>
      <c r="X379" s="169"/>
      <c r="Y379" s="169"/>
    </row>
    <row r="380" spans="1:25">
      <c r="A380" s="169"/>
      <c r="B380" s="169"/>
      <c r="C380" s="170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796"/>
      <c r="R380" s="169"/>
      <c r="S380" s="169"/>
      <c r="T380" s="169"/>
      <c r="U380" s="169"/>
      <c r="V380" s="169"/>
      <c r="W380" s="169"/>
      <c r="X380" s="169"/>
      <c r="Y380" s="169"/>
    </row>
    <row r="381" spans="1:25">
      <c r="A381" s="169"/>
      <c r="B381" s="169"/>
      <c r="C381" s="170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796"/>
      <c r="R381" s="169"/>
      <c r="S381" s="169"/>
      <c r="T381" s="169"/>
      <c r="U381" s="169"/>
      <c r="V381" s="169"/>
      <c r="W381" s="169"/>
      <c r="X381" s="169"/>
      <c r="Y381" s="169"/>
    </row>
    <row r="382" spans="1:25">
      <c r="A382" s="169"/>
      <c r="B382" s="169"/>
      <c r="C382" s="170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796"/>
      <c r="R382" s="169"/>
      <c r="S382" s="169"/>
      <c r="T382" s="169"/>
      <c r="U382" s="169"/>
      <c r="V382" s="169"/>
      <c r="W382" s="169"/>
      <c r="X382" s="169"/>
      <c r="Y382" s="169"/>
    </row>
    <row r="383" spans="1:25">
      <c r="A383" s="169"/>
      <c r="B383" s="169"/>
      <c r="C383" s="170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796"/>
      <c r="R383" s="169"/>
      <c r="S383" s="169"/>
      <c r="T383" s="169"/>
      <c r="U383" s="169"/>
      <c r="V383" s="169"/>
      <c r="W383" s="169"/>
      <c r="X383" s="169"/>
      <c r="Y383" s="169"/>
    </row>
    <row r="384" spans="1:25">
      <c r="A384" s="169"/>
      <c r="B384" s="169"/>
      <c r="C384" s="170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796"/>
      <c r="R384" s="169"/>
      <c r="S384" s="169"/>
      <c r="T384" s="169"/>
      <c r="U384" s="169"/>
      <c r="V384" s="169"/>
      <c r="W384" s="169"/>
      <c r="X384" s="169"/>
      <c r="Y384" s="169"/>
    </row>
    <row r="385" spans="1:25">
      <c r="A385" s="169"/>
      <c r="B385" s="169"/>
      <c r="C385" s="170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796"/>
      <c r="R385" s="169"/>
      <c r="S385" s="169"/>
      <c r="T385" s="169"/>
      <c r="U385" s="169"/>
      <c r="V385" s="169"/>
      <c r="W385" s="169"/>
      <c r="X385" s="169"/>
      <c r="Y385" s="169"/>
    </row>
    <row r="386" spans="1:25">
      <c r="A386" s="169"/>
      <c r="B386" s="169"/>
      <c r="C386" s="170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796"/>
      <c r="R386" s="169"/>
      <c r="S386" s="169"/>
      <c r="T386" s="169"/>
      <c r="U386" s="169"/>
      <c r="V386" s="169"/>
      <c r="W386" s="169"/>
      <c r="X386" s="169"/>
      <c r="Y386" s="169"/>
    </row>
    <row r="387" spans="1:25">
      <c r="A387" s="169"/>
      <c r="B387" s="169"/>
      <c r="C387" s="170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796"/>
      <c r="R387" s="169"/>
      <c r="S387" s="169"/>
      <c r="T387" s="169"/>
      <c r="U387" s="169"/>
      <c r="V387" s="169"/>
      <c r="W387" s="169"/>
      <c r="X387" s="169"/>
      <c r="Y387" s="169"/>
    </row>
    <row r="388" spans="1:25">
      <c r="A388" s="169"/>
      <c r="B388" s="169"/>
      <c r="C388" s="170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796"/>
      <c r="R388" s="169"/>
      <c r="S388" s="169"/>
      <c r="T388" s="169"/>
      <c r="U388" s="169"/>
      <c r="V388" s="169"/>
      <c r="W388" s="169"/>
      <c r="X388" s="169"/>
      <c r="Y388" s="169"/>
    </row>
    <row r="389" spans="1:25">
      <c r="A389" s="169"/>
      <c r="B389" s="169"/>
      <c r="C389" s="170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796"/>
      <c r="R389" s="169"/>
      <c r="S389" s="169"/>
      <c r="T389" s="169"/>
      <c r="U389" s="169"/>
      <c r="V389" s="169"/>
      <c r="W389" s="169"/>
      <c r="X389" s="169"/>
      <c r="Y389" s="169"/>
    </row>
    <row r="390" spans="1:25">
      <c r="A390" s="169"/>
      <c r="B390" s="169"/>
      <c r="C390" s="170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796"/>
      <c r="R390" s="169"/>
      <c r="S390" s="169"/>
      <c r="T390" s="169"/>
      <c r="U390" s="169"/>
      <c r="V390" s="169"/>
      <c r="W390" s="169"/>
      <c r="X390" s="169"/>
      <c r="Y390" s="169"/>
    </row>
    <row r="391" spans="1:25">
      <c r="A391" s="169"/>
      <c r="B391" s="169"/>
      <c r="C391" s="170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796"/>
      <c r="R391" s="169"/>
      <c r="S391" s="169"/>
      <c r="T391" s="169"/>
      <c r="U391" s="169"/>
      <c r="V391" s="169"/>
      <c r="W391" s="169"/>
      <c r="X391" s="169"/>
      <c r="Y391" s="169"/>
    </row>
    <row r="392" spans="1:25">
      <c r="A392" s="169"/>
      <c r="B392" s="169"/>
      <c r="C392" s="170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796"/>
      <c r="R392" s="169"/>
      <c r="S392" s="169"/>
      <c r="T392" s="169"/>
      <c r="U392" s="169"/>
      <c r="V392" s="169"/>
      <c r="W392" s="169"/>
      <c r="X392" s="169"/>
      <c r="Y392" s="169"/>
    </row>
    <row r="393" spans="1:25">
      <c r="A393" s="169"/>
      <c r="B393" s="169"/>
      <c r="C393" s="170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796"/>
      <c r="R393" s="169"/>
      <c r="S393" s="169"/>
      <c r="T393" s="169"/>
      <c r="U393" s="169"/>
      <c r="V393" s="169"/>
      <c r="W393" s="169"/>
      <c r="X393" s="169"/>
      <c r="Y393" s="169"/>
    </row>
    <row r="394" spans="1:25">
      <c r="A394" s="169"/>
      <c r="B394" s="169"/>
      <c r="C394" s="170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796"/>
      <c r="R394" s="169"/>
      <c r="S394" s="169"/>
      <c r="T394" s="169"/>
      <c r="U394" s="169"/>
      <c r="V394" s="169"/>
      <c r="W394" s="169"/>
      <c r="X394" s="169"/>
      <c r="Y394" s="169"/>
    </row>
    <row r="395" spans="1:25">
      <c r="A395" s="169"/>
      <c r="B395" s="169"/>
      <c r="C395" s="170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796"/>
      <c r="R395" s="169"/>
      <c r="S395" s="169"/>
      <c r="T395" s="169"/>
      <c r="U395" s="169"/>
      <c r="V395" s="169"/>
      <c r="W395" s="169"/>
      <c r="X395" s="169"/>
      <c r="Y395" s="169"/>
    </row>
    <row r="396" spans="1:25">
      <c r="A396" s="169"/>
      <c r="B396" s="169"/>
      <c r="C396" s="170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796"/>
      <c r="R396" s="169"/>
      <c r="S396" s="169"/>
      <c r="T396" s="169"/>
      <c r="U396" s="169"/>
      <c r="V396" s="169"/>
      <c r="W396" s="169"/>
      <c r="X396" s="169"/>
      <c r="Y396" s="169"/>
    </row>
    <row r="397" spans="1:25">
      <c r="A397" s="169"/>
      <c r="B397" s="169"/>
      <c r="C397" s="170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796"/>
      <c r="R397" s="169"/>
      <c r="S397" s="169"/>
      <c r="T397" s="169"/>
      <c r="U397" s="169"/>
      <c r="V397" s="169"/>
      <c r="W397" s="169"/>
      <c r="X397" s="169"/>
      <c r="Y397" s="169"/>
    </row>
    <row r="398" spans="1:25">
      <c r="A398" s="169"/>
      <c r="B398" s="169"/>
      <c r="C398" s="170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796"/>
      <c r="R398" s="169"/>
      <c r="S398" s="169"/>
      <c r="T398" s="169"/>
      <c r="U398" s="169"/>
      <c r="V398" s="169"/>
      <c r="W398" s="169"/>
      <c r="X398" s="169"/>
      <c r="Y398" s="169"/>
    </row>
    <row r="399" spans="1:25">
      <c r="A399" s="169"/>
      <c r="B399" s="169"/>
      <c r="C399" s="170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796"/>
      <c r="R399" s="169"/>
      <c r="S399" s="169"/>
      <c r="T399" s="169"/>
      <c r="U399" s="169"/>
      <c r="V399" s="169"/>
      <c r="W399" s="169"/>
      <c r="X399" s="169"/>
      <c r="Y399" s="169"/>
    </row>
    <row r="400" spans="1:25">
      <c r="A400" s="169"/>
      <c r="B400" s="169"/>
      <c r="C400" s="170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796"/>
      <c r="R400" s="169"/>
      <c r="S400" s="169"/>
      <c r="T400" s="169"/>
      <c r="U400" s="169"/>
      <c r="V400" s="169"/>
      <c r="W400" s="169"/>
      <c r="X400" s="169"/>
      <c r="Y400" s="169"/>
    </row>
    <row r="401" spans="1:25">
      <c r="A401" s="169"/>
      <c r="B401" s="169"/>
      <c r="C401" s="170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796"/>
      <c r="R401" s="169"/>
      <c r="S401" s="169"/>
      <c r="T401" s="169"/>
      <c r="U401" s="169"/>
      <c r="V401" s="169"/>
      <c r="W401" s="169"/>
      <c r="X401" s="169"/>
      <c r="Y401" s="169"/>
    </row>
    <row r="402" spans="1:25">
      <c r="A402" s="169"/>
      <c r="B402" s="169"/>
      <c r="C402" s="170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796"/>
      <c r="R402" s="169"/>
      <c r="S402" s="169"/>
      <c r="T402" s="169"/>
      <c r="U402" s="169"/>
      <c r="V402" s="169"/>
      <c r="W402" s="169"/>
      <c r="X402" s="169"/>
      <c r="Y402" s="169"/>
    </row>
    <row r="403" spans="1:25">
      <c r="A403" s="169"/>
      <c r="B403" s="169"/>
      <c r="C403" s="170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796"/>
      <c r="R403" s="169"/>
      <c r="S403" s="169"/>
      <c r="T403" s="169"/>
      <c r="U403" s="169"/>
      <c r="V403" s="169"/>
      <c r="W403" s="169"/>
      <c r="X403" s="169"/>
      <c r="Y403" s="169"/>
    </row>
    <row r="404" spans="1:25">
      <c r="A404" s="169"/>
      <c r="B404" s="169"/>
      <c r="C404" s="170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796"/>
      <c r="R404" s="169"/>
      <c r="S404" s="169"/>
      <c r="T404" s="169"/>
      <c r="U404" s="169"/>
      <c r="V404" s="169"/>
      <c r="W404" s="169"/>
      <c r="X404" s="169"/>
      <c r="Y404" s="169"/>
    </row>
    <row r="405" spans="1:25">
      <c r="A405" s="169"/>
      <c r="B405" s="169"/>
      <c r="C405" s="170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796"/>
      <c r="R405" s="169"/>
      <c r="S405" s="169"/>
      <c r="T405" s="169"/>
      <c r="U405" s="169"/>
      <c r="V405" s="169"/>
      <c r="W405" s="169"/>
      <c r="X405" s="169"/>
      <c r="Y405" s="169"/>
    </row>
    <row r="406" spans="1:25">
      <c r="A406" s="169"/>
      <c r="B406" s="169"/>
      <c r="C406" s="170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796"/>
      <c r="R406" s="169"/>
      <c r="S406" s="169"/>
      <c r="T406" s="169"/>
      <c r="U406" s="169"/>
      <c r="V406" s="169"/>
      <c r="W406" s="169"/>
      <c r="X406" s="169"/>
      <c r="Y406" s="169"/>
    </row>
    <row r="407" spans="1:25">
      <c r="A407" s="169"/>
      <c r="B407" s="169"/>
      <c r="C407" s="170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796"/>
      <c r="R407" s="169"/>
      <c r="S407" s="169"/>
      <c r="T407" s="169"/>
      <c r="U407" s="169"/>
      <c r="V407" s="169"/>
      <c r="W407" s="169"/>
      <c r="X407" s="169"/>
      <c r="Y407" s="169"/>
    </row>
    <row r="408" spans="1:25">
      <c r="A408" s="169"/>
      <c r="B408" s="169"/>
      <c r="C408" s="170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796"/>
      <c r="R408" s="169"/>
      <c r="S408" s="169"/>
      <c r="T408" s="169"/>
      <c r="U408" s="169"/>
      <c r="V408" s="169"/>
      <c r="W408" s="169"/>
      <c r="X408" s="169"/>
      <c r="Y408" s="169"/>
    </row>
    <row r="409" spans="1:25">
      <c r="A409" s="169"/>
      <c r="B409" s="169"/>
      <c r="C409" s="170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796"/>
      <c r="R409" s="169"/>
      <c r="S409" s="169"/>
      <c r="T409" s="169"/>
      <c r="U409" s="169"/>
      <c r="V409" s="169"/>
      <c r="W409" s="169"/>
      <c r="X409" s="169"/>
      <c r="Y409" s="169"/>
    </row>
    <row r="410" spans="1:25">
      <c r="A410" s="169"/>
      <c r="B410" s="169"/>
      <c r="C410" s="170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796"/>
      <c r="R410" s="169"/>
      <c r="S410" s="169"/>
      <c r="T410" s="169"/>
      <c r="U410" s="169"/>
      <c r="V410" s="169"/>
      <c r="W410" s="169"/>
      <c r="X410" s="169"/>
      <c r="Y410" s="169"/>
    </row>
    <row r="411" spans="1:25">
      <c r="A411" s="169"/>
      <c r="B411" s="169"/>
      <c r="C411" s="170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796"/>
      <c r="R411" s="169"/>
      <c r="S411" s="169"/>
      <c r="T411" s="169"/>
      <c r="U411" s="169"/>
      <c r="V411" s="169"/>
      <c r="W411" s="169"/>
      <c r="X411" s="169"/>
      <c r="Y411" s="169"/>
    </row>
    <row r="412" spans="1:25">
      <c r="A412" s="169"/>
      <c r="B412" s="169"/>
      <c r="C412" s="170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796"/>
      <c r="R412" s="169"/>
      <c r="S412" s="169"/>
      <c r="T412" s="169"/>
      <c r="U412" s="169"/>
      <c r="V412" s="169"/>
      <c r="W412" s="169"/>
      <c r="X412" s="169"/>
      <c r="Y412" s="169"/>
    </row>
    <row r="413" spans="1:25">
      <c r="A413" s="169"/>
      <c r="B413" s="169"/>
      <c r="C413" s="170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796"/>
      <c r="R413" s="169"/>
      <c r="S413" s="169"/>
      <c r="T413" s="169"/>
      <c r="U413" s="169"/>
      <c r="V413" s="169"/>
      <c r="W413" s="169"/>
      <c r="X413" s="169"/>
      <c r="Y413" s="169"/>
    </row>
    <row r="414" spans="1:25">
      <c r="A414" s="169"/>
      <c r="B414" s="169"/>
      <c r="C414" s="170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796"/>
      <c r="R414" s="169"/>
      <c r="S414" s="169"/>
      <c r="T414" s="169"/>
      <c r="U414" s="169"/>
      <c r="V414" s="169"/>
      <c r="W414" s="169"/>
      <c r="X414" s="169"/>
      <c r="Y414" s="169"/>
    </row>
    <row r="415" spans="1:25">
      <c r="A415" s="169"/>
      <c r="B415" s="169"/>
      <c r="C415" s="170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796"/>
      <c r="R415" s="169"/>
      <c r="S415" s="169"/>
      <c r="T415" s="169"/>
      <c r="U415" s="169"/>
      <c r="V415" s="169"/>
      <c r="W415" s="169"/>
      <c r="X415" s="169"/>
      <c r="Y415" s="169"/>
    </row>
    <row r="416" spans="1:25">
      <c r="A416" s="169"/>
      <c r="B416" s="169"/>
      <c r="C416" s="170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796"/>
      <c r="R416" s="169"/>
      <c r="S416" s="169"/>
      <c r="T416" s="169"/>
      <c r="U416" s="169"/>
      <c r="V416" s="169"/>
      <c r="W416" s="169"/>
      <c r="X416" s="169"/>
      <c r="Y416" s="169"/>
    </row>
    <row r="417" spans="1:25">
      <c r="A417" s="169"/>
      <c r="B417" s="169"/>
      <c r="C417" s="170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796"/>
      <c r="R417" s="169"/>
      <c r="S417" s="169"/>
      <c r="T417" s="169"/>
      <c r="U417" s="169"/>
      <c r="V417" s="169"/>
      <c r="W417" s="169"/>
      <c r="X417" s="169"/>
      <c r="Y417" s="169"/>
    </row>
    <row r="418" spans="1:25">
      <c r="A418" s="169"/>
      <c r="B418" s="169"/>
      <c r="C418" s="170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796"/>
      <c r="R418" s="169"/>
      <c r="S418" s="169"/>
      <c r="T418" s="169"/>
      <c r="U418" s="169"/>
      <c r="V418" s="169"/>
      <c r="W418" s="169"/>
      <c r="X418" s="169"/>
      <c r="Y418" s="169"/>
    </row>
    <row r="419" spans="1:25">
      <c r="A419" s="169"/>
      <c r="B419" s="169"/>
      <c r="C419" s="170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796"/>
      <c r="R419" s="169"/>
      <c r="S419" s="169"/>
      <c r="T419" s="169"/>
      <c r="U419" s="169"/>
      <c r="V419" s="169"/>
      <c r="W419" s="169"/>
      <c r="X419" s="169"/>
      <c r="Y419" s="169"/>
    </row>
    <row r="420" spans="1:25">
      <c r="A420" s="169"/>
      <c r="B420" s="169"/>
      <c r="C420" s="170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796"/>
      <c r="R420" s="169"/>
      <c r="S420" s="169"/>
      <c r="T420" s="169"/>
      <c r="U420" s="169"/>
      <c r="V420" s="169"/>
      <c r="W420" s="169"/>
      <c r="X420" s="169"/>
      <c r="Y420" s="169"/>
    </row>
    <row r="421" spans="1:25">
      <c r="A421" s="169"/>
      <c r="B421" s="169"/>
      <c r="C421" s="170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796"/>
      <c r="R421" s="169"/>
      <c r="S421" s="169"/>
      <c r="T421" s="169"/>
      <c r="U421" s="169"/>
      <c r="V421" s="169"/>
      <c r="W421" s="169"/>
      <c r="X421" s="169"/>
      <c r="Y421" s="169"/>
    </row>
    <row r="422" spans="1:25">
      <c r="A422" s="169"/>
      <c r="B422" s="169"/>
      <c r="C422" s="170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796"/>
      <c r="R422" s="169"/>
      <c r="S422" s="169"/>
      <c r="T422" s="169"/>
      <c r="U422" s="169"/>
      <c r="V422" s="169"/>
      <c r="W422" s="169"/>
      <c r="X422" s="169"/>
      <c r="Y422" s="169"/>
    </row>
    <row r="423" spans="1:25">
      <c r="A423" s="169"/>
      <c r="B423" s="169"/>
      <c r="C423" s="170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796"/>
      <c r="R423" s="169"/>
      <c r="S423" s="169"/>
      <c r="T423" s="169"/>
      <c r="U423" s="169"/>
      <c r="V423" s="169"/>
      <c r="W423" s="169"/>
      <c r="X423" s="169"/>
      <c r="Y423" s="169"/>
    </row>
    <row r="424" spans="1:25">
      <c r="A424" s="169"/>
      <c r="B424" s="169"/>
      <c r="C424" s="170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796"/>
      <c r="R424" s="169"/>
      <c r="S424" s="169"/>
      <c r="T424" s="169"/>
      <c r="U424" s="169"/>
      <c r="V424" s="169"/>
      <c r="W424" s="169"/>
      <c r="X424" s="169"/>
      <c r="Y424" s="169"/>
    </row>
    <row r="425" spans="1:25">
      <c r="A425" s="169"/>
      <c r="B425" s="169"/>
      <c r="C425" s="170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796"/>
      <c r="R425" s="169"/>
      <c r="S425" s="169"/>
      <c r="T425" s="169"/>
      <c r="U425" s="169"/>
      <c r="V425" s="169"/>
      <c r="W425" s="169"/>
      <c r="X425" s="169"/>
      <c r="Y425" s="169"/>
    </row>
    <row r="426" spans="1:25">
      <c r="A426" s="169"/>
      <c r="B426" s="169"/>
      <c r="C426" s="170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796"/>
      <c r="R426" s="169"/>
      <c r="S426" s="169"/>
      <c r="T426" s="169"/>
      <c r="U426" s="169"/>
      <c r="V426" s="169"/>
      <c r="W426" s="169"/>
      <c r="X426" s="169"/>
      <c r="Y426" s="169"/>
    </row>
    <row r="427" spans="1:25">
      <c r="A427" s="169"/>
      <c r="B427" s="169"/>
      <c r="C427" s="170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796"/>
      <c r="R427" s="169"/>
      <c r="S427" s="169"/>
      <c r="T427" s="169"/>
      <c r="U427" s="169"/>
      <c r="V427" s="169"/>
      <c r="W427" s="169"/>
      <c r="X427" s="169"/>
      <c r="Y427" s="169"/>
    </row>
    <row r="428" spans="1:25">
      <c r="A428" s="169"/>
      <c r="B428" s="169"/>
      <c r="C428" s="170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796"/>
      <c r="R428" s="169"/>
      <c r="S428" s="169"/>
      <c r="T428" s="169"/>
      <c r="U428" s="169"/>
      <c r="V428" s="169"/>
      <c r="W428" s="169"/>
      <c r="X428" s="169"/>
      <c r="Y428" s="169"/>
    </row>
    <row r="429" spans="1:25">
      <c r="A429" s="169"/>
      <c r="B429" s="169"/>
      <c r="C429" s="170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796"/>
      <c r="R429" s="169"/>
      <c r="S429" s="169"/>
      <c r="T429" s="169"/>
      <c r="U429" s="169"/>
      <c r="V429" s="169"/>
      <c r="W429" s="169"/>
      <c r="X429" s="169"/>
      <c r="Y429" s="169"/>
    </row>
    <row r="430" spans="1:25">
      <c r="A430" s="169"/>
      <c r="B430" s="169"/>
      <c r="C430" s="170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796"/>
      <c r="R430" s="169"/>
      <c r="S430" s="169"/>
      <c r="T430" s="169"/>
      <c r="U430" s="169"/>
      <c r="V430" s="169"/>
      <c r="W430" s="169"/>
      <c r="X430" s="169"/>
      <c r="Y430" s="169"/>
    </row>
    <row r="431" spans="1:25">
      <c r="A431" s="169"/>
      <c r="B431" s="169"/>
      <c r="C431" s="170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796"/>
      <c r="R431" s="169"/>
      <c r="S431" s="169"/>
      <c r="T431" s="169"/>
      <c r="U431" s="169"/>
      <c r="V431" s="169"/>
      <c r="W431" s="169"/>
      <c r="X431" s="169"/>
      <c r="Y431" s="169"/>
    </row>
    <row r="432" spans="1:25">
      <c r="A432" s="169"/>
      <c r="B432" s="169"/>
      <c r="C432" s="170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796"/>
      <c r="R432" s="169"/>
      <c r="S432" s="169"/>
      <c r="T432" s="169"/>
      <c r="U432" s="169"/>
      <c r="V432" s="169"/>
      <c r="W432" s="169"/>
      <c r="X432" s="169"/>
      <c r="Y432" s="169"/>
    </row>
    <row r="433" spans="1:25">
      <c r="A433" s="169"/>
      <c r="B433" s="169"/>
      <c r="C433" s="170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796"/>
      <c r="R433" s="169"/>
      <c r="S433" s="169"/>
      <c r="T433" s="169"/>
      <c r="U433" s="169"/>
      <c r="V433" s="169"/>
      <c r="W433" s="169"/>
      <c r="X433" s="169"/>
      <c r="Y433" s="169"/>
    </row>
    <row r="434" spans="1:25">
      <c r="A434" s="169"/>
      <c r="B434" s="169"/>
      <c r="C434" s="170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796"/>
      <c r="R434" s="169"/>
      <c r="S434" s="169"/>
      <c r="T434" s="169"/>
      <c r="U434" s="169"/>
      <c r="V434" s="169"/>
      <c r="W434" s="169"/>
      <c r="X434" s="169"/>
      <c r="Y434" s="169"/>
    </row>
    <row r="435" spans="1:25">
      <c r="A435" s="169"/>
      <c r="B435" s="169"/>
      <c r="C435" s="170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796"/>
      <c r="R435" s="169"/>
      <c r="S435" s="169"/>
      <c r="T435" s="169"/>
      <c r="U435" s="169"/>
      <c r="V435" s="169"/>
      <c r="W435" s="169"/>
      <c r="X435" s="169"/>
      <c r="Y435" s="169"/>
    </row>
    <row r="436" spans="1:25">
      <c r="A436" s="169"/>
      <c r="B436" s="169"/>
      <c r="C436" s="170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796"/>
      <c r="R436" s="169"/>
      <c r="S436" s="169"/>
      <c r="T436" s="169"/>
      <c r="U436" s="169"/>
      <c r="V436" s="169"/>
      <c r="W436" s="169"/>
      <c r="X436" s="169"/>
      <c r="Y436" s="169"/>
    </row>
    <row r="437" spans="1:25">
      <c r="A437" s="169"/>
      <c r="B437" s="169"/>
      <c r="C437" s="170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796"/>
      <c r="R437" s="169"/>
      <c r="S437" s="169"/>
      <c r="T437" s="169"/>
      <c r="U437" s="169"/>
      <c r="V437" s="169"/>
      <c r="W437" s="169"/>
      <c r="X437" s="169"/>
      <c r="Y437" s="169"/>
    </row>
    <row r="438" spans="1:25">
      <c r="A438" s="169"/>
      <c r="B438" s="169"/>
      <c r="C438" s="170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796"/>
      <c r="R438" s="169"/>
      <c r="S438" s="169"/>
      <c r="T438" s="169"/>
      <c r="U438" s="169"/>
      <c r="V438" s="169"/>
      <c r="W438" s="169"/>
      <c r="X438" s="169"/>
      <c r="Y438" s="169"/>
    </row>
    <row r="439" spans="1:25">
      <c r="A439" s="169"/>
      <c r="B439" s="169"/>
      <c r="C439" s="170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796"/>
      <c r="R439" s="169"/>
      <c r="S439" s="169"/>
      <c r="T439" s="169"/>
      <c r="U439" s="169"/>
      <c r="V439" s="169"/>
      <c r="W439" s="169"/>
      <c r="X439" s="169"/>
      <c r="Y439" s="169"/>
    </row>
    <row r="440" spans="1:25">
      <c r="A440" s="169"/>
      <c r="B440" s="169"/>
      <c r="C440" s="170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796"/>
      <c r="R440" s="169"/>
      <c r="S440" s="169"/>
      <c r="T440" s="169"/>
      <c r="U440" s="169"/>
      <c r="V440" s="169"/>
      <c r="W440" s="169"/>
      <c r="X440" s="169"/>
      <c r="Y440" s="169"/>
    </row>
    <row r="441" spans="1:25">
      <c r="A441" s="169"/>
      <c r="B441" s="169"/>
      <c r="C441" s="170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796"/>
      <c r="R441" s="169"/>
      <c r="S441" s="169"/>
      <c r="T441" s="169"/>
      <c r="U441" s="169"/>
      <c r="V441" s="169"/>
      <c r="W441" s="169"/>
      <c r="X441" s="169"/>
      <c r="Y441" s="169"/>
    </row>
    <row r="442" spans="1:25">
      <c r="A442" s="169"/>
      <c r="B442" s="169"/>
      <c r="C442" s="170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796"/>
      <c r="R442" s="169"/>
      <c r="S442" s="169"/>
      <c r="T442" s="169"/>
      <c r="U442" s="169"/>
      <c r="V442" s="169"/>
      <c r="W442" s="169"/>
      <c r="X442" s="169"/>
      <c r="Y442" s="169"/>
    </row>
    <row r="443" spans="1:25">
      <c r="A443" s="169"/>
      <c r="B443" s="169"/>
      <c r="C443" s="170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796"/>
      <c r="R443" s="169"/>
      <c r="S443" s="169"/>
      <c r="T443" s="169"/>
      <c r="U443" s="169"/>
      <c r="V443" s="169"/>
      <c r="W443" s="169"/>
      <c r="X443" s="169"/>
      <c r="Y443" s="169"/>
    </row>
    <row r="444" spans="1:25">
      <c r="A444" s="169"/>
      <c r="B444" s="169"/>
      <c r="C444" s="170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796"/>
      <c r="R444" s="169"/>
      <c r="S444" s="169"/>
      <c r="T444" s="169"/>
      <c r="U444" s="169"/>
      <c r="V444" s="169"/>
      <c r="W444" s="169"/>
      <c r="X444" s="169"/>
      <c r="Y444" s="169"/>
    </row>
    <row r="445" spans="1:25">
      <c r="A445" s="169"/>
      <c r="B445" s="169"/>
      <c r="C445" s="170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796"/>
      <c r="R445" s="169"/>
      <c r="S445" s="169"/>
      <c r="T445" s="169"/>
      <c r="U445" s="169"/>
      <c r="V445" s="169"/>
      <c r="W445" s="169"/>
      <c r="X445" s="169"/>
      <c r="Y445" s="169"/>
    </row>
    <row r="446" spans="1:25">
      <c r="A446" s="169"/>
      <c r="B446" s="169"/>
      <c r="C446" s="170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796"/>
      <c r="R446" s="169"/>
      <c r="S446" s="169"/>
      <c r="T446" s="169"/>
      <c r="U446" s="169"/>
      <c r="V446" s="169"/>
      <c r="W446" s="169"/>
      <c r="X446" s="169"/>
      <c r="Y446" s="169"/>
    </row>
    <row r="447" spans="1:25">
      <c r="A447" s="169"/>
      <c r="B447" s="169"/>
      <c r="C447" s="170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796"/>
      <c r="R447" s="169"/>
      <c r="S447" s="169"/>
      <c r="T447" s="169"/>
      <c r="U447" s="169"/>
      <c r="V447" s="169"/>
      <c r="W447" s="169"/>
      <c r="X447" s="169"/>
      <c r="Y447" s="169"/>
    </row>
    <row r="448" spans="1:25">
      <c r="A448" s="169"/>
      <c r="B448" s="169"/>
      <c r="C448" s="170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796"/>
      <c r="R448" s="169"/>
      <c r="S448" s="169"/>
      <c r="T448" s="169"/>
      <c r="U448" s="169"/>
      <c r="V448" s="169"/>
      <c r="W448" s="169"/>
      <c r="X448" s="169"/>
      <c r="Y448" s="169"/>
    </row>
    <row r="449" spans="1:25">
      <c r="A449" s="169"/>
      <c r="B449" s="169"/>
      <c r="C449" s="170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796"/>
      <c r="R449" s="169"/>
      <c r="S449" s="169"/>
      <c r="T449" s="169"/>
      <c r="U449" s="169"/>
      <c r="V449" s="169"/>
      <c r="W449" s="169"/>
      <c r="X449" s="169"/>
      <c r="Y449" s="169"/>
    </row>
    <row r="450" spans="1:25">
      <c r="A450" s="169"/>
      <c r="B450" s="169"/>
      <c r="C450" s="170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796"/>
      <c r="R450" s="169"/>
      <c r="S450" s="169"/>
      <c r="T450" s="169"/>
      <c r="U450" s="169"/>
      <c r="V450" s="169"/>
      <c r="W450" s="169"/>
      <c r="X450" s="169"/>
      <c r="Y450" s="169"/>
    </row>
    <row r="451" spans="1:25">
      <c r="A451" s="169"/>
      <c r="B451" s="169"/>
      <c r="C451" s="170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796"/>
      <c r="R451" s="169"/>
      <c r="S451" s="169"/>
      <c r="T451" s="169"/>
      <c r="U451" s="169"/>
      <c r="V451" s="169"/>
      <c r="W451" s="169"/>
      <c r="X451" s="169"/>
      <c r="Y451" s="169"/>
    </row>
    <row r="452" spans="1:25">
      <c r="A452" s="169"/>
      <c r="B452" s="169"/>
      <c r="C452" s="170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796"/>
      <c r="R452" s="169"/>
      <c r="S452" s="169"/>
      <c r="T452" s="169"/>
      <c r="U452" s="169"/>
      <c r="V452" s="169"/>
      <c r="W452" s="169"/>
      <c r="X452" s="169"/>
      <c r="Y452" s="169"/>
    </row>
    <row r="453" spans="1:25">
      <c r="A453" s="169"/>
      <c r="B453" s="169"/>
      <c r="C453" s="170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796"/>
      <c r="R453" s="169"/>
      <c r="S453" s="169"/>
      <c r="T453" s="169"/>
      <c r="U453" s="169"/>
      <c r="V453" s="169"/>
      <c r="W453" s="169"/>
      <c r="X453" s="169"/>
      <c r="Y453" s="169"/>
    </row>
    <row r="454" spans="1:25">
      <c r="A454" s="169"/>
      <c r="B454" s="169"/>
      <c r="C454" s="170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796"/>
      <c r="R454" s="169"/>
      <c r="S454" s="169"/>
      <c r="T454" s="169"/>
      <c r="U454" s="169"/>
      <c r="V454" s="169"/>
      <c r="W454" s="169"/>
      <c r="X454" s="169"/>
      <c r="Y454" s="169"/>
    </row>
    <row r="455" spans="1:25">
      <c r="A455" s="169"/>
      <c r="B455" s="169"/>
      <c r="C455" s="170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796"/>
      <c r="R455" s="169"/>
      <c r="S455" s="169"/>
      <c r="T455" s="169"/>
      <c r="U455" s="169"/>
      <c r="V455" s="169"/>
      <c r="W455" s="169"/>
      <c r="X455" s="169"/>
      <c r="Y455" s="169"/>
    </row>
    <row r="456" spans="1:25">
      <c r="A456" s="169"/>
      <c r="B456" s="169"/>
      <c r="C456" s="170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796"/>
      <c r="R456" s="169"/>
      <c r="S456" s="169"/>
      <c r="T456" s="169"/>
      <c r="U456" s="169"/>
      <c r="V456" s="169"/>
      <c r="W456" s="169"/>
      <c r="X456" s="169"/>
      <c r="Y456" s="169"/>
    </row>
    <row r="457" spans="1:25">
      <c r="A457" s="169"/>
      <c r="B457" s="169"/>
      <c r="C457" s="170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796"/>
      <c r="R457" s="169"/>
      <c r="S457" s="169"/>
      <c r="T457" s="169"/>
      <c r="U457" s="169"/>
      <c r="V457" s="169"/>
      <c r="W457" s="169"/>
      <c r="X457" s="169"/>
      <c r="Y457" s="169"/>
    </row>
    <row r="458" spans="1:25">
      <c r="A458" s="169"/>
      <c r="B458" s="169"/>
      <c r="C458" s="170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796"/>
      <c r="R458" s="169"/>
      <c r="S458" s="169"/>
      <c r="T458" s="169"/>
      <c r="U458" s="169"/>
      <c r="V458" s="169"/>
      <c r="W458" s="169"/>
      <c r="X458" s="169"/>
      <c r="Y458" s="169"/>
    </row>
    <row r="459" spans="1:25">
      <c r="A459" s="169"/>
      <c r="B459" s="169"/>
      <c r="C459" s="170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796"/>
      <c r="R459" s="169"/>
      <c r="S459" s="169"/>
      <c r="T459" s="169"/>
      <c r="U459" s="169"/>
      <c r="V459" s="169"/>
      <c r="W459" s="169"/>
      <c r="X459" s="169"/>
      <c r="Y459" s="169"/>
    </row>
    <row r="460" spans="1:25">
      <c r="A460" s="169"/>
      <c r="B460" s="169"/>
      <c r="C460" s="170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796"/>
      <c r="R460" s="169"/>
      <c r="S460" s="169"/>
      <c r="T460" s="169"/>
      <c r="U460" s="169"/>
      <c r="V460" s="169"/>
      <c r="W460" s="169"/>
      <c r="X460" s="169"/>
      <c r="Y460" s="169"/>
    </row>
    <row r="461" spans="1:25">
      <c r="A461" s="169"/>
      <c r="B461" s="169"/>
      <c r="C461" s="170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796"/>
      <c r="R461" s="169"/>
      <c r="S461" s="169"/>
      <c r="T461" s="169"/>
      <c r="U461" s="169"/>
      <c r="V461" s="169"/>
      <c r="W461" s="169"/>
      <c r="X461" s="169"/>
      <c r="Y461" s="169"/>
    </row>
    <row r="462" spans="1:25">
      <c r="A462" s="169"/>
      <c r="B462" s="169"/>
      <c r="C462" s="170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796"/>
      <c r="R462" s="169"/>
      <c r="S462" s="169"/>
      <c r="T462" s="169"/>
      <c r="U462" s="169"/>
      <c r="V462" s="169"/>
      <c r="W462" s="169"/>
      <c r="X462" s="169"/>
      <c r="Y462" s="169"/>
    </row>
    <row r="463" spans="1:25">
      <c r="A463" s="169"/>
      <c r="B463" s="169"/>
      <c r="C463" s="170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796"/>
      <c r="R463" s="169"/>
      <c r="S463" s="169"/>
      <c r="T463" s="169"/>
      <c r="U463" s="169"/>
      <c r="V463" s="169"/>
      <c r="W463" s="169"/>
      <c r="X463" s="169"/>
      <c r="Y463" s="169"/>
    </row>
    <row r="464" spans="1:25">
      <c r="A464" s="169"/>
      <c r="B464" s="169"/>
      <c r="C464" s="170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796"/>
      <c r="R464" s="169"/>
      <c r="S464" s="169"/>
      <c r="T464" s="169"/>
      <c r="U464" s="169"/>
      <c r="V464" s="169"/>
      <c r="W464" s="169"/>
      <c r="X464" s="169"/>
      <c r="Y464" s="169"/>
    </row>
    <row r="465" spans="1:25">
      <c r="A465" s="169"/>
      <c r="B465" s="169"/>
      <c r="C465" s="170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796"/>
      <c r="R465" s="169"/>
      <c r="S465" s="169"/>
      <c r="T465" s="169"/>
      <c r="U465" s="169"/>
      <c r="V465" s="169"/>
      <c r="W465" s="169"/>
      <c r="X465" s="169"/>
      <c r="Y465" s="169"/>
    </row>
    <row r="466" spans="1:25">
      <c r="A466" s="169"/>
      <c r="B466" s="169"/>
      <c r="C466" s="170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796"/>
      <c r="R466" s="169"/>
      <c r="S466" s="169"/>
      <c r="T466" s="169"/>
      <c r="U466" s="169"/>
      <c r="V466" s="169"/>
      <c r="W466" s="169"/>
      <c r="X466" s="169"/>
      <c r="Y466" s="169"/>
    </row>
    <row r="467" spans="1:25">
      <c r="A467" s="169"/>
      <c r="B467" s="169"/>
      <c r="C467" s="170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796"/>
      <c r="R467" s="169"/>
      <c r="S467" s="169"/>
      <c r="T467" s="169"/>
      <c r="U467" s="169"/>
      <c r="V467" s="169"/>
      <c r="W467" s="169"/>
      <c r="X467" s="169"/>
      <c r="Y467" s="169"/>
    </row>
    <row r="468" spans="1:25">
      <c r="A468" s="169"/>
      <c r="B468" s="169"/>
      <c r="C468" s="170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796"/>
      <c r="R468" s="169"/>
      <c r="S468" s="169"/>
      <c r="T468" s="169"/>
      <c r="U468" s="169"/>
      <c r="V468" s="169"/>
      <c r="W468" s="169"/>
      <c r="X468" s="169"/>
      <c r="Y468" s="169"/>
    </row>
    <row r="469" spans="1:25">
      <c r="A469" s="169"/>
      <c r="B469" s="169"/>
      <c r="C469" s="170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796"/>
      <c r="R469" s="169"/>
      <c r="S469" s="169"/>
      <c r="T469" s="169"/>
      <c r="U469" s="169"/>
      <c r="V469" s="169"/>
      <c r="W469" s="169"/>
      <c r="X469" s="169"/>
      <c r="Y469" s="169"/>
    </row>
    <row r="470" spans="1:25">
      <c r="A470" s="169"/>
      <c r="B470" s="169"/>
      <c r="C470" s="170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796"/>
      <c r="R470" s="169"/>
      <c r="S470" s="169"/>
      <c r="T470" s="169"/>
      <c r="U470" s="169"/>
      <c r="V470" s="169"/>
      <c r="W470" s="169"/>
      <c r="X470" s="169"/>
      <c r="Y470" s="169"/>
    </row>
    <row r="471" spans="1:25">
      <c r="A471" s="169"/>
      <c r="B471" s="169"/>
      <c r="C471" s="170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796"/>
      <c r="R471" s="169"/>
      <c r="S471" s="169"/>
      <c r="T471" s="169"/>
      <c r="U471" s="169"/>
      <c r="V471" s="169"/>
      <c r="W471" s="169"/>
      <c r="X471" s="169"/>
      <c r="Y471" s="169"/>
    </row>
    <row r="472" spans="1:25">
      <c r="A472" s="169"/>
      <c r="B472" s="169"/>
      <c r="C472" s="170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796"/>
      <c r="R472" s="169"/>
      <c r="S472" s="169"/>
      <c r="T472" s="169"/>
      <c r="U472" s="169"/>
      <c r="V472" s="169"/>
      <c r="W472" s="169"/>
      <c r="X472" s="169"/>
      <c r="Y472" s="169"/>
    </row>
    <row r="473" spans="1:25">
      <c r="A473" s="169"/>
      <c r="B473" s="169"/>
      <c r="C473" s="170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796"/>
      <c r="R473" s="169"/>
      <c r="S473" s="169"/>
      <c r="T473" s="169"/>
      <c r="U473" s="169"/>
      <c r="V473" s="169"/>
      <c r="W473" s="169"/>
      <c r="X473" s="169"/>
      <c r="Y473" s="169"/>
    </row>
    <row r="474" spans="1:25">
      <c r="A474" s="169"/>
      <c r="B474" s="169"/>
      <c r="C474" s="170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796"/>
      <c r="R474" s="169"/>
      <c r="S474" s="169"/>
      <c r="T474" s="169"/>
      <c r="U474" s="169"/>
      <c r="V474" s="169"/>
      <c r="W474" s="169"/>
      <c r="X474" s="169"/>
      <c r="Y474" s="169"/>
    </row>
    <row r="475" spans="1:25">
      <c r="A475" s="169"/>
      <c r="B475" s="169"/>
      <c r="C475" s="170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796"/>
      <c r="R475" s="169"/>
      <c r="S475" s="169"/>
      <c r="T475" s="169"/>
      <c r="U475" s="169"/>
      <c r="V475" s="169"/>
      <c r="W475" s="169"/>
      <c r="X475" s="169"/>
      <c r="Y475" s="169"/>
    </row>
    <row r="476" spans="1:25">
      <c r="A476" s="169"/>
      <c r="B476" s="169"/>
      <c r="C476" s="170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796"/>
      <c r="R476" s="169"/>
      <c r="S476" s="169"/>
      <c r="T476" s="169"/>
      <c r="U476" s="169"/>
      <c r="V476" s="169"/>
      <c r="W476" s="169"/>
      <c r="X476" s="169"/>
      <c r="Y476" s="169"/>
    </row>
    <row r="477" spans="1:25">
      <c r="A477" s="169"/>
      <c r="B477" s="169"/>
      <c r="C477" s="170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796"/>
      <c r="R477" s="169"/>
      <c r="S477" s="169"/>
      <c r="T477" s="169"/>
      <c r="U477" s="169"/>
      <c r="V477" s="169"/>
      <c r="W477" s="169"/>
      <c r="X477" s="169"/>
      <c r="Y477" s="169"/>
    </row>
    <row r="478" spans="1:25">
      <c r="A478" s="169"/>
      <c r="B478" s="169"/>
      <c r="C478" s="170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796"/>
      <c r="R478" s="169"/>
      <c r="S478" s="169"/>
      <c r="T478" s="169"/>
      <c r="U478" s="169"/>
      <c r="V478" s="169"/>
      <c r="W478" s="169"/>
      <c r="X478" s="169"/>
      <c r="Y478" s="169"/>
    </row>
    <row r="479" spans="1:25">
      <c r="A479" s="169"/>
      <c r="B479" s="169"/>
      <c r="C479" s="170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796"/>
      <c r="R479" s="169"/>
      <c r="S479" s="169"/>
      <c r="T479" s="169"/>
      <c r="U479" s="169"/>
      <c r="V479" s="169"/>
      <c r="W479" s="169"/>
      <c r="X479" s="169"/>
      <c r="Y479" s="169"/>
    </row>
    <row r="480" spans="1:25">
      <c r="A480" s="169"/>
      <c r="B480" s="169"/>
      <c r="C480" s="170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796"/>
      <c r="R480" s="169"/>
      <c r="S480" s="169"/>
      <c r="T480" s="169"/>
      <c r="U480" s="169"/>
      <c r="V480" s="169"/>
      <c r="W480" s="169"/>
      <c r="X480" s="169"/>
      <c r="Y480" s="169"/>
    </row>
    <row r="481" spans="1:25">
      <c r="A481" s="169"/>
      <c r="B481" s="169"/>
      <c r="C481" s="170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796"/>
      <c r="R481" s="169"/>
      <c r="S481" s="169"/>
      <c r="T481" s="169"/>
      <c r="U481" s="169"/>
      <c r="V481" s="169"/>
      <c r="W481" s="169"/>
      <c r="X481" s="169"/>
      <c r="Y481" s="169"/>
    </row>
    <row r="482" spans="1:25">
      <c r="A482" s="169"/>
      <c r="B482" s="169"/>
      <c r="C482" s="170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796"/>
      <c r="R482" s="169"/>
      <c r="S482" s="169"/>
      <c r="T482" s="169"/>
      <c r="U482" s="169"/>
      <c r="V482" s="169"/>
      <c r="W482" s="169"/>
      <c r="X482" s="169"/>
      <c r="Y482" s="169"/>
    </row>
    <row r="483" spans="1:25">
      <c r="A483" s="169"/>
      <c r="B483" s="169"/>
      <c r="C483" s="170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796"/>
      <c r="R483" s="169"/>
      <c r="S483" s="169"/>
      <c r="T483" s="169"/>
      <c r="U483" s="169"/>
      <c r="V483" s="169"/>
      <c r="W483" s="169"/>
      <c r="X483" s="169"/>
      <c r="Y483" s="169"/>
    </row>
    <row r="484" spans="1:25">
      <c r="A484" s="169"/>
      <c r="B484" s="169"/>
      <c r="C484" s="170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796"/>
      <c r="R484" s="169"/>
      <c r="S484" s="169"/>
      <c r="T484" s="169"/>
      <c r="U484" s="169"/>
      <c r="V484" s="169"/>
      <c r="W484" s="169"/>
      <c r="X484" s="169"/>
      <c r="Y484" s="169"/>
    </row>
    <row r="485" spans="1:25">
      <c r="A485" s="169"/>
      <c r="B485" s="169"/>
      <c r="C485" s="170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796"/>
      <c r="R485" s="169"/>
      <c r="S485" s="169"/>
      <c r="T485" s="169"/>
      <c r="U485" s="169"/>
      <c r="V485" s="169"/>
      <c r="W485" s="169"/>
      <c r="X485" s="169"/>
      <c r="Y485" s="169"/>
    </row>
    <row r="486" spans="1:25">
      <c r="A486" s="169"/>
      <c r="B486" s="169"/>
      <c r="C486" s="170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796"/>
      <c r="R486" s="169"/>
      <c r="S486" s="169"/>
      <c r="T486" s="169"/>
      <c r="U486" s="169"/>
      <c r="V486" s="169"/>
      <c r="W486" s="169"/>
      <c r="X486" s="169"/>
      <c r="Y486" s="169"/>
    </row>
    <row r="487" spans="1:25">
      <c r="A487" s="169"/>
      <c r="B487" s="169"/>
      <c r="C487" s="170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796"/>
      <c r="R487" s="169"/>
      <c r="S487" s="169"/>
      <c r="T487" s="169"/>
      <c r="U487" s="169"/>
      <c r="V487" s="169"/>
      <c r="W487" s="169"/>
      <c r="X487" s="169"/>
      <c r="Y487" s="169"/>
    </row>
    <row r="488" spans="1:25">
      <c r="A488" s="169"/>
      <c r="B488" s="169"/>
      <c r="C488" s="170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796"/>
      <c r="R488" s="169"/>
      <c r="S488" s="169"/>
      <c r="T488" s="169"/>
      <c r="U488" s="169"/>
      <c r="V488" s="169"/>
      <c r="W488" s="169"/>
      <c r="X488" s="169"/>
      <c r="Y488" s="169"/>
    </row>
    <row r="489" spans="1:25">
      <c r="A489" s="169"/>
      <c r="B489" s="169"/>
      <c r="C489" s="170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796"/>
      <c r="R489" s="169"/>
      <c r="S489" s="169"/>
      <c r="T489" s="169"/>
      <c r="U489" s="169"/>
      <c r="V489" s="169"/>
      <c r="W489" s="169"/>
      <c r="X489" s="169"/>
      <c r="Y489" s="169"/>
    </row>
    <row r="490" spans="1:25">
      <c r="A490" s="169"/>
      <c r="B490" s="169"/>
      <c r="C490" s="170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796"/>
      <c r="R490" s="169"/>
      <c r="S490" s="169"/>
      <c r="T490" s="169"/>
      <c r="U490" s="169"/>
      <c r="V490" s="169"/>
      <c r="W490" s="169"/>
      <c r="X490" s="169"/>
      <c r="Y490" s="169"/>
    </row>
    <row r="491" spans="1:25">
      <c r="A491" s="169"/>
      <c r="B491" s="169"/>
      <c r="C491" s="170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796"/>
      <c r="R491" s="169"/>
      <c r="S491" s="169"/>
      <c r="T491" s="169"/>
      <c r="U491" s="169"/>
      <c r="V491" s="169"/>
      <c r="W491" s="169"/>
      <c r="X491" s="169"/>
      <c r="Y491" s="169"/>
    </row>
    <row r="492" spans="1:25">
      <c r="A492" s="169"/>
      <c r="B492" s="169"/>
      <c r="C492" s="170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796"/>
      <c r="R492" s="169"/>
      <c r="S492" s="169"/>
      <c r="T492" s="169"/>
      <c r="U492" s="169"/>
      <c r="V492" s="169"/>
      <c r="W492" s="169"/>
      <c r="X492" s="169"/>
      <c r="Y492" s="169"/>
    </row>
    <row r="493" spans="1:25">
      <c r="A493" s="169"/>
      <c r="B493" s="169"/>
      <c r="C493" s="170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796"/>
      <c r="R493" s="169"/>
      <c r="S493" s="169"/>
      <c r="T493" s="169"/>
      <c r="U493" s="169"/>
      <c r="V493" s="169"/>
      <c r="W493" s="169"/>
      <c r="X493" s="169"/>
      <c r="Y493" s="169"/>
    </row>
    <row r="494" spans="1:25">
      <c r="A494" s="169"/>
      <c r="B494" s="169"/>
      <c r="C494" s="170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796"/>
      <c r="R494" s="169"/>
      <c r="S494" s="169"/>
      <c r="T494" s="169"/>
      <c r="U494" s="169"/>
      <c r="V494" s="169"/>
      <c r="W494" s="169"/>
      <c r="X494" s="169"/>
      <c r="Y494" s="169"/>
    </row>
    <row r="495" spans="1:25">
      <c r="A495" s="169"/>
      <c r="B495" s="169"/>
      <c r="C495" s="170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796"/>
      <c r="R495" s="169"/>
      <c r="S495" s="169"/>
      <c r="T495" s="169"/>
      <c r="U495" s="169"/>
      <c r="V495" s="169"/>
      <c r="W495" s="169"/>
      <c r="X495" s="169"/>
      <c r="Y495" s="169"/>
    </row>
    <row r="496" spans="1:25">
      <c r="A496" s="169"/>
      <c r="B496" s="169"/>
      <c r="C496" s="170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796"/>
      <c r="R496" s="169"/>
      <c r="S496" s="169"/>
      <c r="T496" s="169"/>
      <c r="U496" s="169"/>
      <c r="V496" s="169"/>
      <c r="W496" s="169"/>
      <c r="X496" s="169"/>
      <c r="Y496" s="169"/>
    </row>
    <row r="497" spans="1:25">
      <c r="A497" s="169"/>
      <c r="B497" s="169"/>
      <c r="C497" s="170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796"/>
      <c r="R497" s="169"/>
      <c r="S497" s="169"/>
      <c r="T497" s="169"/>
      <c r="U497" s="169"/>
      <c r="V497" s="169"/>
      <c r="W497" s="169"/>
      <c r="X497" s="169"/>
      <c r="Y497" s="169"/>
    </row>
    <row r="498" spans="1:25">
      <c r="A498" s="169"/>
      <c r="B498" s="169"/>
      <c r="C498" s="170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796"/>
      <c r="R498" s="169"/>
      <c r="S498" s="169"/>
      <c r="T498" s="169"/>
      <c r="U498" s="169"/>
      <c r="V498" s="169"/>
      <c r="W498" s="169"/>
      <c r="X498" s="169"/>
      <c r="Y498" s="169"/>
    </row>
    <row r="499" spans="1:25">
      <c r="A499" s="169"/>
      <c r="B499" s="169"/>
      <c r="C499" s="170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796"/>
      <c r="R499" s="169"/>
      <c r="S499" s="169"/>
      <c r="T499" s="169"/>
      <c r="U499" s="169"/>
      <c r="V499" s="169"/>
      <c r="W499" s="169"/>
      <c r="X499" s="169"/>
      <c r="Y499" s="169"/>
    </row>
    <row r="500" spans="1:25">
      <c r="A500" s="169"/>
      <c r="B500" s="169"/>
      <c r="C500" s="170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796"/>
      <c r="R500" s="169"/>
      <c r="S500" s="169"/>
      <c r="T500" s="169"/>
      <c r="U500" s="169"/>
      <c r="V500" s="169"/>
      <c r="W500" s="169"/>
      <c r="X500" s="169"/>
      <c r="Y500" s="169"/>
    </row>
    <row r="501" spans="1:25">
      <c r="A501" s="169"/>
      <c r="B501" s="169"/>
      <c r="C501" s="170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796"/>
      <c r="R501" s="169"/>
      <c r="S501" s="169"/>
      <c r="T501" s="169"/>
      <c r="U501" s="169"/>
      <c r="V501" s="169"/>
      <c r="W501" s="169"/>
      <c r="X501" s="169"/>
      <c r="Y501" s="169"/>
    </row>
    <row r="502" spans="1:25">
      <c r="A502" s="169"/>
      <c r="B502" s="169"/>
      <c r="C502" s="170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796"/>
      <c r="R502" s="169"/>
      <c r="S502" s="169"/>
      <c r="T502" s="169"/>
      <c r="U502" s="169"/>
      <c r="V502" s="169"/>
      <c r="W502" s="169"/>
      <c r="X502" s="169"/>
      <c r="Y502" s="169"/>
    </row>
    <row r="503" spans="1:25">
      <c r="A503" s="169"/>
      <c r="B503" s="169"/>
      <c r="C503" s="170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796"/>
      <c r="R503" s="169"/>
      <c r="S503" s="169"/>
      <c r="T503" s="169"/>
      <c r="U503" s="169"/>
      <c r="V503" s="169"/>
      <c r="W503" s="169"/>
      <c r="X503" s="169"/>
      <c r="Y503" s="169"/>
    </row>
    <row r="504" spans="1:25">
      <c r="A504" s="169"/>
      <c r="B504" s="169"/>
      <c r="C504" s="170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796"/>
      <c r="R504" s="169"/>
      <c r="S504" s="169"/>
      <c r="T504" s="169"/>
      <c r="U504" s="169"/>
      <c r="V504" s="169"/>
      <c r="W504" s="169"/>
      <c r="X504" s="169"/>
      <c r="Y504" s="169"/>
    </row>
    <row r="505" spans="1:25">
      <c r="A505" s="169"/>
      <c r="B505" s="169"/>
      <c r="C505" s="170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796"/>
      <c r="R505" s="169"/>
      <c r="S505" s="169"/>
      <c r="T505" s="169"/>
      <c r="U505" s="169"/>
      <c r="V505" s="169"/>
      <c r="W505" s="169"/>
      <c r="X505" s="169"/>
      <c r="Y505" s="169"/>
    </row>
    <row r="506" spans="1:25">
      <c r="A506" s="169"/>
      <c r="B506" s="169"/>
      <c r="C506" s="170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796"/>
      <c r="R506" s="169"/>
      <c r="S506" s="169"/>
      <c r="T506" s="169"/>
      <c r="U506" s="169"/>
      <c r="V506" s="169"/>
      <c r="W506" s="169"/>
      <c r="X506" s="169"/>
      <c r="Y506" s="169"/>
    </row>
    <row r="507" spans="1:25">
      <c r="A507" s="169"/>
      <c r="B507" s="169"/>
      <c r="C507" s="170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796"/>
      <c r="R507" s="169"/>
      <c r="S507" s="169"/>
      <c r="T507" s="169"/>
      <c r="U507" s="169"/>
      <c r="V507" s="169"/>
      <c r="W507" s="169"/>
      <c r="X507" s="169"/>
      <c r="Y507" s="169"/>
    </row>
    <row r="508" spans="1:25">
      <c r="A508" s="169"/>
      <c r="B508" s="169"/>
      <c r="C508" s="170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796"/>
      <c r="R508" s="169"/>
      <c r="S508" s="169"/>
      <c r="T508" s="169"/>
      <c r="U508" s="169"/>
      <c r="V508" s="169"/>
      <c r="W508" s="169"/>
      <c r="X508" s="169"/>
      <c r="Y508" s="169"/>
    </row>
    <row r="509" spans="1:25">
      <c r="A509" s="169"/>
      <c r="B509" s="169"/>
      <c r="C509" s="170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796"/>
      <c r="R509" s="169"/>
      <c r="S509" s="169"/>
      <c r="T509" s="169"/>
      <c r="U509" s="169"/>
      <c r="V509" s="169"/>
      <c r="W509" s="169"/>
      <c r="X509" s="169"/>
      <c r="Y509" s="169"/>
    </row>
    <row r="510" spans="1:25">
      <c r="A510" s="169"/>
      <c r="B510" s="169"/>
      <c r="C510" s="170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796"/>
      <c r="R510" s="169"/>
      <c r="S510" s="169"/>
      <c r="T510" s="169"/>
      <c r="U510" s="169"/>
      <c r="V510" s="169"/>
      <c r="W510" s="169"/>
      <c r="X510" s="169"/>
      <c r="Y510" s="169"/>
    </row>
    <row r="511" spans="1:25">
      <c r="A511" s="169"/>
      <c r="B511" s="169"/>
      <c r="C511" s="170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796"/>
      <c r="R511" s="169"/>
      <c r="S511" s="169"/>
      <c r="T511" s="169"/>
      <c r="U511" s="169"/>
      <c r="V511" s="169"/>
      <c r="W511" s="169"/>
      <c r="X511" s="169"/>
      <c r="Y511" s="169"/>
    </row>
    <row r="512" spans="1:25">
      <c r="A512" s="169"/>
      <c r="B512" s="169"/>
      <c r="C512" s="170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796"/>
      <c r="R512" s="169"/>
      <c r="S512" s="169"/>
      <c r="T512" s="169"/>
      <c r="U512" s="169"/>
      <c r="V512" s="169"/>
      <c r="W512" s="169"/>
      <c r="X512" s="169"/>
      <c r="Y512" s="169"/>
    </row>
    <row r="513" spans="1:25">
      <c r="A513" s="169"/>
      <c r="B513" s="169"/>
      <c r="C513" s="170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796"/>
      <c r="R513" s="169"/>
      <c r="S513" s="169"/>
      <c r="T513" s="169"/>
      <c r="U513" s="169"/>
      <c r="V513" s="169"/>
      <c r="W513" s="169"/>
      <c r="X513" s="169"/>
      <c r="Y513" s="169"/>
    </row>
    <row r="514" spans="1:25">
      <c r="A514" s="169"/>
      <c r="B514" s="169"/>
      <c r="C514" s="170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796"/>
      <c r="R514" s="169"/>
      <c r="S514" s="169"/>
      <c r="T514" s="169"/>
      <c r="U514" s="169"/>
      <c r="V514" s="169"/>
      <c r="W514" s="169"/>
      <c r="X514" s="169"/>
      <c r="Y514" s="169"/>
    </row>
    <row r="515" spans="1:25">
      <c r="A515" s="169"/>
      <c r="B515" s="169"/>
      <c r="C515" s="170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796"/>
      <c r="R515" s="169"/>
      <c r="S515" s="169"/>
      <c r="T515" s="169"/>
      <c r="U515" s="169"/>
      <c r="V515" s="169"/>
      <c r="W515" s="169"/>
      <c r="X515" s="169"/>
      <c r="Y515" s="169"/>
    </row>
    <row r="516" spans="1:25">
      <c r="A516" s="169"/>
      <c r="B516" s="169"/>
      <c r="C516" s="170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796"/>
      <c r="R516" s="169"/>
      <c r="S516" s="169"/>
      <c r="T516" s="169"/>
      <c r="U516" s="169"/>
      <c r="V516" s="169"/>
      <c r="W516" s="169"/>
      <c r="X516" s="169"/>
      <c r="Y516" s="169"/>
    </row>
    <row r="517" spans="1:25">
      <c r="A517" s="169"/>
      <c r="B517" s="169"/>
      <c r="C517" s="170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796"/>
      <c r="R517" s="169"/>
      <c r="S517" s="169"/>
      <c r="T517" s="169"/>
      <c r="U517" s="169"/>
      <c r="V517" s="169"/>
      <c r="W517" s="169"/>
      <c r="X517" s="169"/>
      <c r="Y517" s="169"/>
    </row>
    <row r="518" spans="1:25">
      <c r="A518" s="169"/>
      <c r="B518" s="169"/>
      <c r="C518" s="170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796"/>
      <c r="R518" s="169"/>
      <c r="S518" s="169"/>
      <c r="T518" s="169"/>
      <c r="U518" s="169"/>
      <c r="V518" s="169"/>
      <c r="W518" s="169"/>
      <c r="X518" s="169"/>
      <c r="Y518" s="169"/>
    </row>
    <row r="519" spans="1:25">
      <c r="A519" s="169"/>
      <c r="B519" s="169"/>
      <c r="C519" s="170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796"/>
      <c r="R519" s="169"/>
      <c r="S519" s="169"/>
      <c r="T519" s="169"/>
      <c r="U519" s="169"/>
      <c r="V519" s="169"/>
      <c r="W519" s="169"/>
      <c r="X519" s="169"/>
      <c r="Y519" s="169"/>
    </row>
    <row r="520" spans="1:25">
      <c r="A520" s="169"/>
      <c r="B520" s="169"/>
      <c r="C520" s="170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796"/>
      <c r="R520" s="169"/>
      <c r="S520" s="169"/>
      <c r="T520" s="169"/>
      <c r="U520" s="169"/>
      <c r="V520" s="169"/>
      <c r="W520" s="169"/>
      <c r="X520" s="169"/>
      <c r="Y520" s="169"/>
    </row>
    <row r="521" spans="1:25">
      <c r="A521" s="169"/>
      <c r="B521" s="169"/>
      <c r="C521" s="170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796"/>
      <c r="R521" s="169"/>
      <c r="S521" s="169"/>
      <c r="T521" s="169"/>
      <c r="U521" s="169"/>
      <c r="V521" s="169"/>
      <c r="W521" s="169"/>
      <c r="X521" s="169"/>
      <c r="Y521" s="169"/>
    </row>
    <row r="522" spans="1:25">
      <c r="A522" s="169"/>
      <c r="B522" s="169"/>
      <c r="C522" s="170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796"/>
      <c r="R522" s="169"/>
      <c r="S522" s="169"/>
      <c r="T522" s="169"/>
      <c r="U522" s="169"/>
      <c r="V522" s="169"/>
      <c r="W522" s="169"/>
      <c r="X522" s="169"/>
      <c r="Y522" s="169"/>
    </row>
    <row r="523" spans="1:25">
      <c r="A523" s="169"/>
      <c r="B523" s="169"/>
      <c r="C523" s="170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796"/>
      <c r="R523" s="169"/>
      <c r="S523" s="169"/>
      <c r="T523" s="169"/>
      <c r="U523" s="169"/>
      <c r="V523" s="169"/>
      <c r="W523" s="169"/>
      <c r="X523" s="169"/>
      <c r="Y523" s="169"/>
    </row>
    <row r="524" spans="1:25">
      <c r="A524" s="169"/>
      <c r="B524" s="169"/>
      <c r="C524" s="170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796"/>
      <c r="R524" s="169"/>
      <c r="S524" s="169"/>
      <c r="T524" s="169"/>
      <c r="U524" s="169"/>
      <c r="V524" s="169"/>
      <c r="W524" s="169"/>
      <c r="X524" s="169"/>
      <c r="Y524" s="169"/>
    </row>
    <row r="525" spans="1:25">
      <c r="A525" s="169"/>
      <c r="B525" s="169"/>
      <c r="C525" s="170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796"/>
      <c r="R525" s="169"/>
      <c r="S525" s="169"/>
      <c r="T525" s="169"/>
      <c r="U525" s="169"/>
      <c r="V525" s="169"/>
      <c r="W525" s="169"/>
      <c r="X525" s="169"/>
      <c r="Y525" s="169"/>
    </row>
    <row r="526" spans="1:25">
      <c r="A526" s="169"/>
      <c r="B526" s="169"/>
      <c r="C526" s="170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796"/>
      <c r="R526" s="169"/>
      <c r="S526" s="169"/>
      <c r="T526" s="169"/>
      <c r="U526" s="169"/>
      <c r="V526" s="169"/>
      <c r="W526" s="169"/>
      <c r="X526" s="169"/>
      <c r="Y526" s="169"/>
    </row>
    <row r="527" spans="1:25">
      <c r="A527" s="169"/>
      <c r="B527" s="169"/>
      <c r="C527" s="170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796"/>
      <c r="R527" s="169"/>
      <c r="S527" s="169"/>
      <c r="T527" s="169"/>
      <c r="U527" s="169"/>
      <c r="V527" s="169"/>
      <c r="W527" s="169"/>
      <c r="X527" s="169"/>
      <c r="Y527" s="169"/>
    </row>
    <row r="528" spans="1:25">
      <c r="A528" s="169"/>
      <c r="B528" s="169"/>
      <c r="C528" s="170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796"/>
      <c r="R528" s="169"/>
      <c r="S528" s="169"/>
      <c r="T528" s="169"/>
      <c r="U528" s="169"/>
      <c r="V528" s="169"/>
      <c r="W528" s="169"/>
      <c r="X528" s="169"/>
      <c r="Y528" s="169"/>
    </row>
    <row r="529" spans="1:25">
      <c r="A529" s="169"/>
      <c r="B529" s="169"/>
      <c r="C529" s="170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796"/>
      <c r="R529" s="169"/>
      <c r="S529" s="169"/>
      <c r="T529" s="169"/>
      <c r="U529" s="169"/>
      <c r="V529" s="169"/>
      <c r="W529" s="169"/>
      <c r="X529" s="169"/>
      <c r="Y529" s="169"/>
    </row>
    <row r="530" spans="1:25">
      <c r="A530" s="169"/>
      <c r="B530" s="169"/>
      <c r="C530" s="170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796"/>
      <c r="R530" s="169"/>
      <c r="S530" s="169"/>
      <c r="T530" s="169"/>
      <c r="U530" s="169"/>
      <c r="V530" s="169"/>
      <c r="W530" s="169"/>
      <c r="X530" s="169"/>
      <c r="Y530" s="169"/>
    </row>
    <row r="531" spans="1:25">
      <c r="A531" s="169"/>
      <c r="B531" s="169"/>
      <c r="C531" s="170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796"/>
      <c r="R531" s="169"/>
      <c r="S531" s="169"/>
      <c r="T531" s="169"/>
      <c r="U531" s="169"/>
      <c r="V531" s="169"/>
      <c r="W531" s="169"/>
      <c r="X531" s="169"/>
      <c r="Y531" s="169"/>
    </row>
    <row r="532" spans="1:25">
      <c r="A532" s="169"/>
      <c r="B532" s="169"/>
      <c r="C532" s="170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796"/>
      <c r="R532" s="169"/>
      <c r="S532" s="169"/>
      <c r="T532" s="169"/>
      <c r="U532" s="169"/>
      <c r="V532" s="169"/>
      <c r="W532" s="169"/>
      <c r="X532" s="169"/>
      <c r="Y532" s="169"/>
    </row>
    <row r="533" spans="1:25">
      <c r="A533" s="169"/>
      <c r="B533" s="169"/>
      <c r="C533" s="170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796"/>
      <c r="R533" s="169"/>
      <c r="S533" s="169"/>
      <c r="T533" s="169"/>
      <c r="U533" s="169"/>
      <c r="V533" s="169"/>
      <c r="W533" s="169"/>
      <c r="X533" s="169"/>
      <c r="Y533" s="169"/>
    </row>
    <row r="534" spans="1:25">
      <c r="A534" s="169"/>
      <c r="B534" s="169"/>
      <c r="C534" s="170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796"/>
      <c r="R534" s="169"/>
      <c r="S534" s="169"/>
      <c r="T534" s="169"/>
      <c r="U534" s="169"/>
      <c r="V534" s="169"/>
      <c r="W534" s="169"/>
      <c r="X534" s="169"/>
      <c r="Y534" s="169"/>
    </row>
    <row r="535" spans="1:25">
      <c r="A535" s="169"/>
      <c r="B535" s="169"/>
      <c r="C535" s="170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796"/>
      <c r="R535" s="169"/>
      <c r="S535" s="169"/>
      <c r="T535" s="169"/>
      <c r="U535" s="169"/>
      <c r="V535" s="169"/>
      <c r="W535" s="169"/>
      <c r="X535" s="169"/>
      <c r="Y535" s="169"/>
    </row>
    <row r="536" spans="1:25">
      <c r="A536" s="169"/>
      <c r="B536" s="169"/>
      <c r="C536" s="170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796"/>
      <c r="R536" s="169"/>
      <c r="S536" s="169"/>
      <c r="T536" s="169"/>
      <c r="U536" s="169"/>
      <c r="V536" s="169"/>
      <c r="W536" s="169"/>
      <c r="X536" s="169"/>
      <c r="Y536" s="169"/>
    </row>
    <row r="537" spans="1:25">
      <c r="A537" s="169"/>
      <c r="B537" s="169"/>
      <c r="C537" s="170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796"/>
      <c r="R537" s="169"/>
      <c r="S537" s="169"/>
      <c r="T537" s="169"/>
      <c r="U537" s="169"/>
      <c r="V537" s="169"/>
      <c r="W537" s="169"/>
      <c r="X537" s="169"/>
      <c r="Y537" s="169"/>
    </row>
    <row r="538" spans="1:25">
      <c r="A538" s="169"/>
      <c r="B538" s="169"/>
      <c r="C538" s="170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796"/>
      <c r="R538" s="169"/>
      <c r="S538" s="169"/>
      <c r="T538" s="169"/>
      <c r="U538" s="169"/>
      <c r="V538" s="169"/>
      <c r="W538" s="169"/>
      <c r="X538" s="169"/>
      <c r="Y538" s="169"/>
    </row>
    <row r="539" spans="1:25">
      <c r="A539" s="169"/>
      <c r="B539" s="169"/>
      <c r="C539" s="170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796"/>
      <c r="R539" s="169"/>
      <c r="S539" s="169"/>
      <c r="T539" s="169"/>
      <c r="U539" s="169"/>
      <c r="V539" s="169"/>
      <c r="W539" s="169"/>
      <c r="X539" s="169"/>
      <c r="Y539" s="169"/>
    </row>
    <row r="540" spans="1:25">
      <c r="A540" s="169"/>
      <c r="B540" s="169"/>
      <c r="C540" s="170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796"/>
      <c r="R540" s="169"/>
      <c r="S540" s="169"/>
      <c r="T540" s="169"/>
      <c r="U540" s="169"/>
      <c r="V540" s="169"/>
      <c r="W540" s="169"/>
      <c r="X540" s="169"/>
      <c r="Y540" s="169"/>
    </row>
    <row r="541" spans="1:25">
      <c r="A541" s="169"/>
      <c r="B541" s="169"/>
      <c r="C541" s="170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796"/>
      <c r="R541" s="169"/>
      <c r="S541" s="169"/>
      <c r="T541" s="169"/>
      <c r="U541" s="169"/>
      <c r="V541" s="169"/>
      <c r="W541" s="169"/>
      <c r="X541" s="169"/>
      <c r="Y541" s="169"/>
    </row>
    <row r="542" spans="1:25">
      <c r="A542" s="169"/>
      <c r="B542" s="169"/>
      <c r="C542" s="170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796"/>
      <c r="R542" s="169"/>
      <c r="S542" s="169"/>
      <c r="T542" s="169"/>
      <c r="U542" s="169"/>
      <c r="V542" s="169"/>
      <c r="W542" s="169"/>
      <c r="X542" s="169"/>
      <c r="Y542" s="169"/>
    </row>
    <row r="543" spans="1:25">
      <c r="A543" s="169"/>
      <c r="B543" s="169"/>
      <c r="C543" s="170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796"/>
      <c r="R543" s="169"/>
      <c r="S543" s="169"/>
      <c r="T543" s="169"/>
      <c r="U543" s="169"/>
      <c r="V543" s="169"/>
      <c r="W543" s="169"/>
      <c r="X543" s="169"/>
      <c r="Y543" s="169"/>
    </row>
    <row r="544" spans="1:25">
      <c r="A544" s="169"/>
      <c r="B544" s="169"/>
      <c r="C544" s="170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796"/>
      <c r="R544" s="169"/>
      <c r="S544" s="169"/>
      <c r="T544" s="169"/>
      <c r="U544" s="169"/>
      <c r="V544" s="169"/>
      <c r="W544" s="169"/>
      <c r="X544" s="169"/>
      <c r="Y544" s="169"/>
    </row>
    <row r="545" spans="1:25">
      <c r="A545" s="169"/>
      <c r="B545" s="169"/>
      <c r="C545" s="170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796"/>
      <c r="R545" s="169"/>
      <c r="S545" s="169"/>
      <c r="T545" s="169"/>
      <c r="U545" s="169"/>
      <c r="V545" s="169"/>
      <c r="W545" s="169"/>
      <c r="X545" s="169"/>
      <c r="Y545" s="169"/>
    </row>
    <row r="546" spans="1:25">
      <c r="A546" s="169"/>
      <c r="B546" s="169"/>
      <c r="C546" s="170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796"/>
      <c r="R546" s="169"/>
      <c r="S546" s="169"/>
      <c r="T546" s="169"/>
      <c r="U546" s="169"/>
      <c r="V546" s="169"/>
      <c r="W546" s="169"/>
      <c r="X546" s="169"/>
      <c r="Y546" s="169"/>
    </row>
    <row r="547" spans="1:25">
      <c r="A547" s="169"/>
      <c r="B547" s="169"/>
      <c r="C547" s="170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796"/>
      <c r="R547" s="169"/>
      <c r="S547" s="169"/>
      <c r="T547" s="169"/>
      <c r="U547" s="169"/>
      <c r="V547" s="169"/>
      <c r="W547" s="169"/>
      <c r="X547" s="169"/>
      <c r="Y547" s="169"/>
    </row>
    <row r="548" spans="1:25">
      <c r="A548" s="169"/>
      <c r="B548" s="169"/>
      <c r="C548" s="170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796"/>
      <c r="R548" s="169"/>
      <c r="S548" s="169"/>
      <c r="T548" s="169"/>
      <c r="U548" s="169"/>
      <c r="V548" s="169"/>
      <c r="W548" s="169"/>
      <c r="X548" s="169"/>
      <c r="Y548" s="169"/>
    </row>
    <row r="549" spans="1:25">
      <c r="A549" s="169"/>
      <c r="B549" s="169"/>
      <c r="C549" s="170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796"/>
      <c r="R549" s="169"/>
      <c r="S549" s="169"/>
      <c r="T549" s="169"/>
      <c r="U549" s="169"/>
      <c r="V549" s="169"/>
      <c r="W549" s="169"/>
      <c r="X549" s="169"/>
      <c r="Y549" s="169"/>
    </row>
    <row r="550" spans="1:25">
      <c r="A550" s="169"/>
      <c r="B550" s="169"/>
      <c r="C550" s="170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796"/>
      <c r="R550" s="169"/>
      <c r="S550" s="169"/>
      <c r="T550" s="169"/>
      <c r="U550" s="169"/>
      <c r="V550" s="169"/>
      <c r="W550" s="169"/>
      <c r="X550" s="169"/>
      <c r="Y550" s="169"/>
    </row>
    <row r="551" spans="1:25">
      <c r="A551" s="169"/>
      <c r="B551" s="169"/>
      <c r="C551" s="170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796"/>
      <c r="R551" s="169"/>
      <c r="S551" s="169"/>
      <c r="T551" s="169"/>
      <c r="U551" s="169"/>
      <c r="V551" s="169"/>
      <c r="W551" s="169"/>
      <c r="X551" s="169"/>
      <c r="Y551" s="169"/>
    </row>
    <row r="552" spans="1:25">
      <c r="A552" s="169"/>
      <c r="B552" s="169"/>
      <c r="C552" s="170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796"/>
      <c r="R552" s="169"/>
      <c r="S552" s="169"/>
      <c r="T552" s="169"/>
      <c r="U552" s="169"/>
      <c r="V552" s="169"/>
      <c r="W552" s="169"/>
      <c r="X552" s="169"/>
      <c r="Y552" s="169"/>
    </row>
    <row r="553" spans="1:25">
      <c r="A553" s="169"/>
      <c r="B553" s="169"/>
      <c r="C553" s="170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796"/>
      <c r="R553" s="169"/>
      <c r="S553" s="169"/>
      <c r="T553" s="169"/>
      <c r="U553" s="169"/>
      <c r="V553" s="169"/>
      <c r="W553" s="169"/>
      <c r="X553" s="169"/>
      <c r="Y553" s="169"/>
    </row>
    <row r="554" spans="1:25">
      <c r="A554" s="169"/>
      <c r="B554" s="169"/>
      <c r="C554" s="170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796"/>
      <c r="R554" s="169"/>
      <c r="S554" s="169"/>
      <c r="T554" s="169"/>
      <c r="U554" s="169"/>
      <c r="V554" s="169"/>
      <c r="W554" s="169"/>
      <c r="X554" s="169"/>
      <c r="Y554" s="169"/>
    </row>
    <row r="555" spans="1:25">
      <c r="A555" s="169"/>
      <c r="B555" s="169"/>
      <c r="C555" s="170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796"/>
      <c r="R555" s="169"/>
      <c r="S555" s="169"/>
      <c r="T555" s="169"/>
      <c r="U555" s="169"/>
      <c r="V555" s="169"/>
      <c r="W555" s="169"/>
      <c r="X555" s="169"/>
      <c r="Y555" s="169"/>
    </row>
    <row r="556" spans="1:25">
      <c r="A556" s="169"/>
      <c r="B556" s="169"/>
      <c r="C556" s="170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796"/>
      <c r="R556" s="169"/>
      <c r="S556" s="169"/>
      <c r="T556" s="169"/>
      <c r="U556" s="169"/>
      <c r="V556" s="169"/>
      <c r="W556" s="169"/>
      <c r="X556" s="169"/>
      <c r="Y556" s="169"/>
    </row>
    <row r="557" spans="1:25">
      <c r="A557" s="169"/>
      <c r="B557" s="169"/>
      <c r="C557" s="170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796"/>
      <c r="R557" s="169"/>
      <c r="S557" s="169"/>
      <c r="T557" s="169"/>
      <c r="U557" s="169"/>
      <c r="V557" s="169"/>
      <c r="W557" s="169"/>
      <c r="X557" s="169"/>
      <c r="Y557" s="169"/>
    </row>
    <row r="558" spans="1:25">
      <c r="A558" s="169"/>
      <c r="B558" s="169"/>
      <c r="C558" s="170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796"/>
      <c r="R558" s="169"/>
      <c r="S558" s="169"/>
      <c r="T558" s="169"/>
      <c r="U558" s="169"/>
      <c r="V558" s="169"/>
      <c r="W558" s="169"/>
      <c r="X558" s="169"/>
      <c r="Y558" s="169"/>
    </row>
    <row r="559" spans="1:25">
      <c r="A559" s="169"/>
      <c r="B559" s="169"/>
      <c r="C559" s="170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796"/>
      <c r="R559" s="169"/>
      <c r="S559" s="169"/>
      <c r="T559" s="169"/>
      <c r="U559" s="169"/>
      <c r="V559" s="169"/>
      <c r="W559" s="169"/>
      <c r="X559" s="169"/>
      <c r="Y559" s="169"/>
    </row>
    <row r="560" spans="1:25">
      <c r="A560" s="169"/>
      <c r="B560" s="169"/>
      <c r="C560" s="170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796"/>
      <c r="R560" s="169"/>
      <c r="S560" s="169"/>
      <c r="T560" s="169"/>
      <c r="U560" s="169"/>
      <c r="V560" s="169"/>
      <c r="W560" s="169"/>
      <c r="X560" s="169"/>
      <c r="Y560" s="169"/>
    </row>
    <row r="561" spans="1:25">
      <c r="A561" s="169"/>
      <c r="B561" s="169"/>
      <c r="C561" s="170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796"/>
      <c r="R561" s="169"/>
      <c r="S561" s="169"/>
      <c r="T561" s="169"/>
      <c r="U561" s="169"/>
      <c r="V561" s="169"/>
      <c r="W561" s="169"/>
      <c r="X561" s="169"/>
      <c r="Y561" s="169"/>
    </row>
    <row r="562" spans="1:25">
      <c r="A562" s="169"/>
      <c r="B562" s="169"/>
      <c r="C562" s="170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796"/>
      <c r="R562" s="169"/>
      <c r="S562" s="169"/>
      <c r="T562" s="169"/>
      <c r="U562" s="169"/>
      <c r="V562" s="169"/>
      <c r="W562" s="169"/>
      <c r="X562" s="169"/>
      <c r="Y562" s="169"/>
    </row>
    <row r="563" spans="1:25">
      <c r="A563" s="169"/>
      <c r="B563" s="169"/>
      <c r="C563" s="170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796"/>
      <c r="R563" s="169"/>
      <c r="S563" s="169"/>
      <c r="T563" s="169"/>
      <c r="U563" s="169"/>
      <c r="V563" s="169"/>
      <c r="W563" s="169"/>
      <c r="X563" s="169"/>
      <c r="Y563" s="169"/>
    </row>
    <row r="564" spans="1:25">
      <c r="A564" s="169"/>
      <c r="B564" s="169"/>
      <c r="C564" s="170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796"/>
      <c r="R564" s="169"/>
      <c r="S564" s="169"/>
      <c r="T564" s="169"/>
      <c r="U564" s="169"/>
      <c r="V564" s="169"/>
      <c r="W564" s="169"/>
      <c r="X564" s="169"/>
      <c r="Y564" s="169"/>
    </row>
    <row r="565" spans="1:25">
      <c r="A565" s="169"/>
      <c r="B565" s="169"/>
      <c r="C565" s="170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796"/>
      <c r="R565" s="169"/>
      <c r="S565" s="169"/>
      <c r="T565" s="169"/>
      <c r="U565" s="169"/>
      <c r="V565" s="169"/>
      <c r="W565" s="169"/>
      <c r="X565" s="169"/>
      <c r="Y565" s="169"/>
    </row>
    <row r="566" spans="1:25">
      <c r="A566" s="169"/>
      <c r="B566" s="169"/>
      <c r="C566" s="170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796"/>
      <c r="R566" s="169"/>
      <c r="S566" s="169"/>
      <c r="T566" s="169"/>
      <c r="U566" s="169"/>
      <c r="V566" s="169"/>
      <c r="W566" s="169"/>
      <c r="X566" s="169"/>
      <c r="Y566" s="169"/>
    </row>
    <row r="567" spans="1:25">
      <c r="A567" s="169"/>
      <c r="B567" s="169"/>
      <c r="C567" s="170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796"/>
      <c r="R567" s="169"/>
      <c r="S567" s="169"/>
      <c r="T567" s="169"/>
      <c r="U567" s="169"/>
      <c r="V567" s="169"/>
      <c r="W567" s="169"/>
      <c r="X567" s="169"/>
      <c r="Y567" s="169"/>
    </row>
    <row r="568" spans="1:25">
      <c r="A568" s="169"/>
      <c r="B568" s="169"/>
      <c r="C568" s="170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796"/>
      <c r="R568" s="169"/>
      <c r="S568" s="169"/>
      <c r="T568" s="169"/>
      <c r="U568" s="169"/>
      <c r="V568" s="169"/>
      <c r="W568" s="169"/>
      <c r="X568" s="169"/>
      <c r="Y568" s="169"/>
    </row>
    <row r="569" spans="1:25">
      <c r="A569" s="169"/>
      <c r="B569" s="169"/>
      <c r="C569" s="170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796"/>
      <c r="R569" s="169"/>
      <c r="S569" s="169"/>
      <c r="T569" s="169"/>
      <c r="U569" s="169"/>
      <c r="V569" s="169"/>
      <c r="W569" s="169"/>
      <c r="X569" s="169"/>
      <c r="Y569" s="169"/>
    </row>
    <row r="570" spans="1:25">
      <c r="A570" s="169"/>
      <c r="B570" s="169"/>
      <c r="C570" s="170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796"/>
      <c r="R570" s="169"/>
      <c r="S570" s="169"/>
      <c r="T570" s="169"/>
      <c r="U570" s="169"/>
      <c r="V570" s="169"/>
      <c r="W570" s="169"/>
      <c r="X570" s="169"/>
      <c r="Y570" s="169"/>
    </row>
    <row r="571" spans="1:25">
      <c r="A571" s="169"/>
      <c r="B571" s="169"/>
      <c r="C571" s="170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796"/>
      <c r="R571" s="169"/>
      <c r="S571" s="169"/>
      <c r="T571" s="169"/>
      <c r="U571" s="169"/>
      <c r="V571" s="169"/>
      <c r="W571" s="169"/>
      <c r="X571" s="169"/>
      <c r="Y571" s="169"/>
    </row>
    <row r="572" spans="1:25">
      <c r="A572" s="169"/>
      <c r="B572" s="169"/>
      <c r="C572" s="170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796"/>
      <c r="R572" s="169"/>
      <c r="S572" s="169"/>
      <c r="T572" s="169"/>
      <c r="U572" s="169"/>
      <c r="V572" s="169"/>
      <c r="W572" s="169"/>
      <c r="X572" s="169"/>
      <c r="Y572" s="169"/>
    </row>
    <row r="573" spans="1:25">
      <c r="A573" s="169"/>
      <c r="B573" s="169"/>
      <c r="C573" s="170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796"/>
      <c r="R573" s="169"/>
      <c r="S573" s="169"/>
      <c r="T573" s="169"/>
      <c r="U573" s="169"/>
      <c r="V573" s="169"/>
      <c r="W573" s="169"/>
      <c r="X573" s="169"/>
      <c r="Y573" s="169"/>
    </row>
    <row r="574" spans="1:25">
      <c r="A574" s="169"/>
      <c r="B574" s="169"/>
      <c r="C574" s="170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796"/>
      <c r="R574" s="169"/>
      <c r="S574" s="169"/>
      <c r="T574" s="169"/>
      <c r="U574" s="169"/>
      <c r="V574" s="169"/>
      <c r="W574" s="169"/>
      <c r="X574" s="169"/>
      <c r="Y574" s="169"/>
    </row>
    <row r="575" spans="1:25">
      <c r="A575" s="169"/>
      <c r="B575" s="169"/>
      <c r="C575" s="170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796"/>
      <c r="R575" s="169"/>
      <c r="S575" s="169"/>
      <c r="T575" s="169"/>
      <c r="U575" s="169"/>
      <c r="V575" s="169"/>
      <c r="W575" s="169"/>
      <c r="X575" s="169"/>
      <c r="Y575" s="169"/>
    </row>
    <row r="576" spans="1:25">
      <c r="A576" s="169"/>
      <c r="B576" s="169"/>
      <c r="C576" s="170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796"/>
      <c r="R576" s="169"/>
      <c r="S576" s="169"/>
      <c r="T576" s="169"/>
      <c r="U576" s="169"/>
      <c r="V576" s="169"/>
      <c r="W576" s="169"/>
      <c r="X576" s="169"/>
      <c r="Y576" s="169"/>
    </row>
    <row r="577" spans="1:25">
      <c r="A577" s="169"/>
      <c r="B577" s="169"/>
      <c r="C577" s="170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796"/>
      <c r="R577" s="169"/>
      <c r="S577" s="169"/>
      <c r="T577" s="169"/>
      <c r="U577" s="169"/>
      <c r="V577" s="169"/>
      <c r="W577" s="169"/>
      <c r="X577" s="169"/>
      <c r="Y577" s="169"/>
    </row>
    <row r="578" spans="1:25">
      <c r="A578" s="169"/>
      <c r="B578" s="169"/>
      <c r="C578" s="170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796"/>
      <c r="R578" s="169"/>
      <c r="S578" s="169"/>
      <c r="T578" s="169"/>
      <c r="U578" s="169"/>
      <c r="V578" s="169"/>
      <c r="W578" s="169"/>
      <c r="X578" s="169"/>
      <c r="Y578" s="169"/>
    </row>
    <row r="579" spans="1:25">
      <c r="A579" s="169"/>
      <c r="B579" s="169"/>
      <c r="C579" s="170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796"/>
      <c r="R579" s="169"/>
      <c r="S579" s="169"/>
      <c r="T579" s="169"/>
      <c r="U579" s="169"/>
      <c r="V579" s="169"/>
      <c r="W579" s="169"/>
      <c r="X579" s="169"/>
      <c r="Y579" s="169"/>
    </row>
    <row r="580" spans="1:25">
      <c r="A580" s="169"/>
      <c r="B580" s="169"/>
      <c r="C580" s="170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796"/>
      <c r="R580" s="169"/>
      <c r="S580" s="169"/>
      <c r="T580" s="169"/>
      <c r="U580" s="169"/>
      <c r="V580" s="169"/>
      <c r="W580" s="169"/>
      <c r="X580" s="169"/>
      <c r="Y580" s="169"/>
    </row>
    <row r="581" spans="1:25">
      <c r="A581" s="169"/>
      <c r="B581" s="169"/>
      <c r="C581" s="170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796"/>
      <c r="R581" s="169"/>
      <c r="S581" s="169"/>
      <c r="T581" s="169"/>
      <c r="U581" s="169"/>
      <c r="V581" s="169"/>
      <c r="W581" s="169"/>
      <c r="X581" s="169"/>
      <c r="Y581" s="169"/>
    </row>
    <row r="582" spans="1:25">
      <c r="A582" s="169"/>
      <c r="B582" s="169"/>
      <c r="C582" s="170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796"/>
      <c r="R582" s="169"/>
      <c r="S582" s="169"/>
      <c r="T582" s="169"/>
      <c r="U582" s="169"/>
      <c r="V582" s="169"/>
      <c r="W582" s="169"/>
      <c r="X582" s="169"/>
      <c r="Y582" s="169"/>
    </row>
    <row r="583" spans="1:25">
      <c r="A583" s="169"/>
      <c r="B583" s="169"/>
      <c r="C583" s="170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796"/>
      <c r="R583" s="169"/>
      <c r="S583" s="169"/>
      <c r="T583" s="169"/>
      <c r="U583" s="169"/>
      <c r="V583" s="169"/>
      <c r="W583" s="169"/>
      <c r="X583" s="169"/>
      <c r="Y583" s="169"/>
    </row>
    <row r="584" spans="1:25">
      <c r="A584" s="169"/>
      <c r="B584" s="169"/>
      <c r="C584" s="170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796"/>
      <c r="R584" s="169"/>
      <c r="S584" s="169"/>
      <c r="T584" s="169"/>
      <c r="U584" s="169"/>
      <c r="V584" s="169"/>
      <c r="W584" s="169"/>
      <c r="X584" s="169"/>
      <c r="Y584" s="169"/>
    </row>
    <row r="585" spans="1:25">
      <c r="A585" s="169"/>
      <c r="B585" s="169"/>
      <c r="C585" s="170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796"/>
      <c r="R585" s="169"/>
      <c r="S585" s="169"/>
      <c r="T585" s="169"/>
      <c r="U585" s="169"/>
      <c r="V585" s="169"/>
      <c r="W585" s="169"/>
      <c r="X585" s="169"/>
      <c r="Y585" s="169"/>
    </row>
    <row r="586" spans="1:25">
      <c r="A586" s="169"/>
      <c r="B586" s="169"/>
      <c r="C586" s="170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796"/>
      <c r="R586" s="169"/>
      <c r="S586" s="169"/>
      <c r="T586" s="169"/>
      <c r="U586" s="169"/>
      <c r="V586" s="169"/>
      <c r="W586" s="169"/>
      <c r="X586" s="169"/>
      <c r="Y586" s="169"/>
    </row>
    <row r="587" spans="1:25">
      <c r="A587" s="169"/>
      <c r="B587" s="169"/>
      <c r="C587" s="170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796"/>
      <c r="R587" s="169"/>
      <c r="S587" s="169"/>
      <c r="T587" s="169"/>
      <c r="U587" s="169"/>
      <c r="V587" s="169"/>
      <c r="W587" s="169"/>
      <c r="X587" s="169"/>
      <c r="Y587" s="169"/>
    </row>
    <row r="588" spans="1:25">
      <c r="A588" s="169"/>
      <c r="B588" s="169"/>
      <c r="C588" s="170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796"/>
      <c r="R588" s="169"/>
      <c r="S588" s="169"/>
      <c r="T588" s="169"/>
      <c r="U588" s="169"/>
      <c r="V588" s="169"/>
      <c r="W588" s="169"/>
      <c r="X588" s="169"/>
      <c r="Y588" s="169"/>
    </row>
    <row r="589" spans="1:25">
      <c r="A589" s="169"/>
      <c r="B589" s="169"/>
      <c r="C589" s="170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796"/>
      <c r="R589" s="169"/>
      <c r="S589" s="169"/>
      <c r="T589" s="169"/>
      <c r="U589" s="169"/>
      <c r="V589" s="169"/>
      <c r="W589" s="169"/>
      <c r="X589" s="169"/>
      <c r="Y589" s="169"/>
    </row>
    <row r="590" spans="1:25">
      <c r="A590" s="169"/>
      <c r="B590" s="169"/>
      <c r="C590" s="170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796"/>
      <c r="R590" s="169"/>
      <c r="S590" s="169"/>
      <c r="T590" s="169"/>
      <c r="U590" s="169"/>
      <c r="V590" s="169"/>
      <c r="W590" s="169"/>
      <c r="X590" s="169"/>
      <c r="Y590" s="169"/>
    </row>
    <row r="591" spans="1:25">
      <c r="A591" s="169"/>
      <c r="B591" s="169"/>
      <c r="C591" s="170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796"/>
      <c r="R591" s="169"/>
      <c r="S591" s="169"/>
      <c r="T591" s="169"/>
      <c r="U591" s="169"/>
      <c r="V591" s="169"/>
      <c r="W591" s="169"/>
      <c r="X591" s="169"/>
      <c r="Y591" s="169"/>
    </row>
    <row r="592" spans="1:25">
      <c r="A592" s="169"/>
      <c r="B592" s="169"/>
      <c r="C592" s="170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796"/>
      <c r="R592" s="169"/>
      <c r="S592" s="169"/>
      <c r="T592" s="169"/>
      <c r="U592" s="169"/>
      <c r="V592" s="169"/>
      <c r="W592" s="169"/>
      <c r="X592" s="169"/>
      <c r="Y592" s="169"/>
    </row>
    <row r="593" spans="1:25">
      <c r="A593" s="169"/>
      <c r="B593" s="169"/>
      <c r="C593" s="170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796"/>
      <c r="R593" s="169"/>
      <c r="S593" s="169"/>
      <c r="T593" s="169"/>
      <c r="U593" s="169"/>
      <c r="V593" s="169"/>
      <c r="W593" s="169"/>
      <c r="X593" s="169"/>
      <c r="Y593" s="169"/>
    </row>
    <row r="594" spans="1:25">
      <c r="A594" s="169"/>
      <c r="B594" s="169"/>
      <c r="C594" s="170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796"/>
      <c r="R594" s="169"/>
      <c r="S594" s="169"/>
      <c r="T594" s="169"/>
      <c r="U594" s="169"/>
      <c r="V594" s="169"/>
      <c r="W594" s="169"/>
      <c r="X594" s="169"/>
      <c r="Y594" s="169"/>
    </row>
    <row r="595" spans="1:25">
      <c r="A595" s="169"/>
      <c r="B595" s="169"/>
      <c r="C595" s="170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796"/>
      <c r="R595" s="169"/>
      <c r="S595" s="169"/>
      <c r="T595" s="169"/>
      <c r="U595" s="169"/>
      <c r="V595" s="169"/>
      <c r="W595" s="169"/>
      <c r="X595" s="169"/>
      <c r="Y595" s="169"/>
    </row>
    <row r="596" spans="1:25">
      <c r="A596" s="169"/>
      <c r="B596" s="169"/>
      <c r="C596" s="170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796"/>
      <c r="R596" s="169"/>
      <c r="S596" s="169"/>
      <c r="T596" s="169"/>
      <c r="U596" s="169"/>
      <c r="V596" s="169"/>
      <c r="W596" s="169"/>
      <c r="X596" s="169"/>
      <c r="Y596" s="169"/>
    </row>
    <row r="597" spans="1:25">
      <c r="A597" s="169"/>
      <c r="B597" s="169"/>
      <c r="C597" s="170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796"/>
      <c r="R597" s="169"/>
      <c r="S597" s="169"/>
      <c r="T597" s="169"/>
      <c r="U597" s="169"/>
      <c r="V597" s="169"/>
      <c r="W597" s="169"/>
      <c r="X597" s="169"/>
      <c r="Y597" s="169"/>
    </row>
    <row r="598" spans="1:25">
      <c r="A598" s="169"/>
      <c r="B598" s="169"/>
      <c r="C598" s="170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796"/>
      <c r="R598" s="169"/>
      <c r="S598" s="169"/>
      <c r="T598" s="169"/>
      <c r="U598" s="169"/>
      <c r="V598" s="169"/>
      <c r="W598" s="169"/>
      <c r="X598" s="169"/>
      <c r="Y598" s="169"/>
    </row>
    <row r="599" spans="1:25">
      <c r="A599" s="169"/>
      <c r="B599" s="169"/>
      <c r="C599" s="170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796"/>
      <c r="R599" s="169"/>
      <c r="S599" s="169"/>
      <c r="T599" s="169"/>
      <c r="U599" s="169"/>
      <c r="V599" s="169"/>
      <c r="W599" s="169"/>
      <c r="X599" s="169"/>
      <c r="Y599" s="169"/>
    </row>
    <row r="600" spans="1:25">
      <c r="A600" s="169"/>
      <c r="B600" s="169"/>
      <c r="C600" s="170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796"/>
      <c r="R600" s="169"/>
      <c r="S600" s="169"/>
      <c r="T600" s="169"/>
      <c r="U600" s="169"/>
      <c r="V600" s="169"/>
      <c r="W600" s="169"/>
      <c r="X600" s="169"/>
      <c r="Y600" s="169"/>
    </row>
    <row r="601" spans="1:25">
      <c r="A601" s="169"/>
      <c r="B601" s="169"/>
      <c r="C601" s="170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796"/>
      <c r="R601" s="169"/>
      <c r="S601" s="169"/>
      <c r="T601" s="169"/>
      <c r="U601" s="169"/>
      <c r="V601" s="169"/>
      <c r="W601" s="169"/>
      <c r="X601" s="169"/>
      <c r="Y601" s="169"/>
    </row>
    <row r="602" spans="1:25">
      <c r="A602" s="169"/>
      <c r="B602" s="169"/>
      <c r="C602" s="170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796"/>
      <c r="R602" s="169"/>
      <c r="S602" s="169"/>
      <c r="T602" s="169"/>
      <c r="U602" s="169"/>
      <c r="V602" s="169"/>
      <c r="W602" s="169"/>
      <c r="X602" s="169"/>
      <c r="Y602" s="169"/>
    </row>
    <row r="603" spans="1:25">
      <c r="A603" s="169"/>
      <c r="B603" s="169"/>
      <c r="C603" s="170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796"/>
      <c r="R603" s="169"/>
      <c r="S603" s="169"/>
      <c r="T603" s="169"/>
      <c r="U603" s="169"/>
      <c r="V603" s="169"/>
      <c r="W603" s="169"/>
      <c r="X603" s="169"/>
      <c r="Y603" s="169"/>
    </row>
    <row r="604" spans="1:25">
      <c r="A604" s="169"/>
      <c r="B604" s="169"/>
      <c r="C604" s="170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796"/>
      <c r="R604" s="169"/>
      <c r="S604" s="169"/>
      <c r="T604" s="169"/>
      <c r="U604" s="169"/>
      <c r="V604" s="169"/>
      <c r="W604" s="169"/>
      <c r="X604" s="169"/>
      <c r="Y604" s="169"/>
    </row>
    <row r="605" spans="1:25">
      <c r="A605" s="169"/>
      <c r="B605" s="169"/>
      <c r="C605" s="170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796"/>
      <c r="R605" s="169"/>
      <c r="S605" s="169"/>
      <c r="T605" s="169"/>
      <c r="U605" s="169"/>
      <c r="V605" s="169"/>
      <c r="W605" s="169"/>
      <c r="X605" s="169"/>
      <c r="Y605" s="169"/>
    </row>
    <row r="606" spans="1:25">
      <c r="A606" s="169"/>
      <c r="B606" s="169"/>
      <c r="C606" s="170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796"/>
      <c r="R606" s="169"/>
      <c r="S606" s="169"/>
      <c r="T606" s="169"/>
      <c r="U606" s="169"/>
      <c r="V606" s="169"/>
      <c r="W606" s="169"/>
      <c r="X606" s="169"/>
      <c r="Y606" s="169"/>
    </row>
    <row r="607" spans="1:25">
      <c r="A607" s="169"/>
      <c r="B607" s="169"/>
      <c r="C607" s="170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796"/>
      <c r="R607" s="169"/>
      <c r="S607" s="169"/>
      <c r="T607" s="169"/>
      <c r="U607" s="169"/>
      <c r="V607" s="169"/>
      <c r="W607" s="169"/>
      <c r="X607" s="169"/>
      <c r="Y607" s="169"/>
    </row>
    <row r="608" spans="1:25">
      <c r="A608" s="169"/>
      <c r="B608" s="169"/>
      <c r="C608" s="170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796"/>
      <c r="R608" s="169"/>
      <c r="S608" s="169"/>
      <c r="T608" s="169"/>
      <c r="U608" s="169"/>
      <c r="V608" s="169"/>
      <c r="W608" s="169"/>
      <c r="X608" s="169"/>
      <c r="Y608" s="169"/>
    </row>
    <row r="609" spans="1:25">
      <c r="A609" s="169"/>
      <c r="B609" s="169"/>
      <c r="C609" s="170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796"/>
      <c r="R609" s="169"/>
      <c r="S609" s="169"/>
      <c r="T609" s="169"/>
      <c r="U609" s="169"/>
      <c r="V609" s="169"/>
      <c r="W609" s="169"/>
      <c r="X609" s="169"/>
      <c r="Y609" s="169"/>
    </row>
    <row r="610" spans="1:25">
      <c r="A610" s="169"/>
      <c r="B610" s="169"/>
      <c r="C610" s="170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796"/>
      <c r="R610" s="169"/>
      <c r="S610" s="169"/>
      <c r="T610" s="169"/>
      <c r="U610" s="169"/>
      <c r="V610" s="169"/>
      <c r="W610" s="169"/>
      <c r="X610" s="169"/>
      <c r="Y610" s="169"/>
    </row>
    <row r="611" spans="1:25">
      <c r="A611" s="169"/>
      <c r="B611" s="169"/>
      <c r="C611" s="170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796"/>
      <c r="R611" s="169"/>
      <c r="S611" s="169"/>
      <c r="T611" s="169"/>
      <c r="U611" s="169"/>
      <c r="V611" s="169"/>
      <c r="W611" s="169"/>
      <c r="X611" s="169"/>
      <c r="Y611" s="169"/>
    </row>
    <row r="612" spans="1:25">
      <c r="A612" s="169"/>
      <c r="B612" s="169"/>
      <c r="C612" s="170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796"/>
      <c r="R612" s="169"/>
      <c r="S612" s="169"/>
      <c r="T612" s="169"/>
      <c r="U612" s="169"/>
      <c r="V612" s="169"/>
      <c r="W612" s="169"/>
      <c r="X612" s="169"/>
      <c r="Y612" s="169"/>
    </row>
    <row r="613" spans="1:25">
      <c r="A613" s="169"/>
      <c r="B613" s="169"/>
      <c r="C613" s="170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796"/>
      <c r="R613" s="169"/>
      <c r="S613" s="169"/>
      <c r="T613" s="169"/>
      <c r="U613" s="169"/>
      <c r="V613" s="169"/>
      <c r="W613" s="169"/>
      <c r="X613" s="169"/>
      <c r="Y613" s="169"/>
    </row>
    <row r="614" spans="1:25">
      <c r="A614" s="169"/>
      <c r="B614" s="169"/>
      <c r="C614" s="170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796"/>
      <c r="R614" s="169"/>
      <c r="S614" s="169"/>
      <c r="T614" s="169"/>
      <c r="U614" s="169"/>
      <c r="V614" s="169"/>
      <c r="W614" s="169"/>
      <c r="X614" s="169"/>
      <c r="Y614" s="169"/>
    </row>
    <row r="615" spans="1:25">
      <c r="A615" s="169"/>
      <c r="B615" s="169"/>
      <c r="C615" s="170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796"/>
      <c r="R615" s="169"/>
      <c r="S615" s="169"/>
      <c r="T615" s="169"/>
      <c r="U615" s="169"/>
      <c r="V615" s="169"/>
      <c r="W615" s="169"/>
      <c r="X615" s="169"/>
      <c r="Y615" s="169"/>
    </row>
    <row r="616" spans="1:25">
      <c r="A616" s="169"/>
      <c r="B616" s="169"/>
      <c r="C616" s="170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796"/>
      <c r="R616" s="169"/>
      <c r="S616" s="169"/>
      <c r="T616" s="169"/>
      <c r="U616" s="169"/>
      <c r="V616" s="169"/>
      <c r="W616" s="169"/>
      <c r="X616" s="169"/>
      <c r="Y616" s="169"/>
    </row>
    <row r="617" spans="1:25">
      <c r="A617" s="169"/>
      <c r="B617" s="169"/>
      <c r="C617" s="170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796"/>
      <c r="R617" s="169"/>
      <c r="S617" s="169"/>
      <c r="T617" s="169"/>
      <c r="U617" s="169"/>
      <c r="V617" s="169"/>
      <c r="W617" s="169"/>
      <c r="X617" s="169"/>
      <c r="Y617" s="169"/>
    </row>
    <row r="618" spans="1:25">
      <c r="A618" s="169"/>
      <c r="B618" s="169"/>
      <c r="C618" s="170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796"/>
      <c r="R618" s="169"/>
      <c r="S618" s="169"/>
      <c r="T618" s="169"/>
      <c r="U618" s="169"/>
      <c r="V618" s="169"/>
      <c r="W618" s="169"/>
      <c r="X618" s="169"/>
      <c r="Y618" s="169"/>
    </row>
    <row r="619" spans="1:25">
      <c r="A619" s="169"/>
      <c r="B619" s="169"/>
      <c r="C619" s="170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796"/>
      <c r="R619" s="169"/>
      <c r="S619" s="169"/>
      <c r="T619" s="169"/>
      <c r="U619" s="169"/>
      <c r="V619" s="169"/>
      <c r="W619" s="169"/>
      <c r="X619" s="169"/>
      <c r="Y619" s="169"/>
    </row>
    <row r="620" spans="1:25">
      <c r="A620" s="169"/>
      <c r="B620" s="169"/>
      <c r="C620" s="170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796"/>
      <c r="R620" s="169"/>
      <c r="S620" s="169"/>
      <c r="T620" s="169"/>
      <c r="U620" s="169"/>
      <c r="V620" s="169"/>
      <c r="W620" s="169"/>
      <c r="X620" s="169"/>
      <c r="Y620" s="169"/>
    </row>
    <row r="621" spans="1:25">
      <c r="A621" s="169"/>
      <c r="B621" s="169"/>
      <c r="C621" s="170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796"/>
      <c r="R621" s="169"/>
      <c r="S621" s="169"/>
      <c r="T621" s="169"/>
      <c r="U621" s="169"/>
      <c r="V621" s="169"/>
      <c r="W621" s="169"/>
      <c r="X621" s="169"/>
      <c r="Y621" s="169"/>
    </row>
    <row r="622" spans="1:25">
      <c r="A622" s="169"/>
      <c r="B622" s="169"/>
      <c r="C622" s="170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796"/>
      <c r="R622" s="169"/>
      <c r="S622" s="169"/>
      <c r="T622" s="169"/>
      <c r="U622" s="169"/>
      <c r="V622" s="169"/>
      <c r="W622" s="169"/>
      <c r="X622" s="169"/>
      <c r="Y622" s="169"/>
    </row>
    <row r="623" spans="1:25">
      <c r="A623" s="169"/>
      <c r="B623" s="169"/>
      <c r="C623" s="170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796"/>
      <c r="R623" s="169"/>
      <c r="S623" s="169"/>
      <c r="T623" s="169"/>
      <c r="U623" s="169"/>
      <c r="V623" s="169"/>
      <c r="W623" s="169"/>
      <c r="X623" s="169"/>
      <c r="Y623" s="169"/>
    </row>
    <row r="624" spans="1:25">
      <c r="A624" s="169"/>
      <c r="B624" s="169"/>
      <c r="C624" s="170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796"/>
      <c r="R624" s="169"/>
      <c r="S624" s="169"/>
      <c r="T624" s="169"/>
      <c r="U624" s="169"/>
      <c r="V624" s="169"/>
      <c r="W624" s="169"/>
      <c r="X624" s="169"/>
      <c r="Y624" s="169"/>
    </row>
    <row r="625" spans="1:25">
      <c r="A625" s="169"/>
      <c r="B625" s="169"/>
      <c r="C625" s="170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796"/>
      <c r="R625" s="169"/>
      <c r="S625" s="169"/>
      <c r="T625" s="169"/>
      <c r="U625" s="169"/>
      <c r="V625" s="169"/>
      <c r="W625" s="169"/>
      <c r="X625" s="169"/>
      <c r="Y625" s="169"/>
    </row>
    <row r="626" spans="1:25">
      <c r="A626" s="169"/>
      <c r="B626" s="169"/>
      <c r="C626" s="170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796"/>
      <c r="R626" s="169"/>
      <c r="S626" s="169"/>
      <c r="T626" s="169"/>
      <c r="U626" s="169"/>
      <c r="V626" s="169"/>
      <c r="W626" s="169"/>
      <c r="X626" s="169"/>
      <c r="Y626" s="169"/>
    </row>
    <row r="627" spans="1:25">
      <c r="A627" s="169"/>
      <c r="B627" s="169"/>
      <c r="C627" s="170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796"/>
      <c r="R627" s="169"/>
      <c r="S627" s="169"/>
      <c r="T627" s="169"/>
      <c r="U627" s="169"/>
      <c r="V627" s="169"/>
      <c r="W627" s="169"/>
      <c r="X627" s="169"/>
      <c r="Y627" s="169"/>
    </row>
    <row r="628" spans="1:25">
      <c r="A628" s="169"/>
      <c r="B628" s="169"/>
      <c r="C628" s="170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796"/>
      <c r="R628" s="169"/>
      <c r="S628" s="169"/>
      <c r="T628" s="169"/>
      <c r="U628" s="169"/>
      <c r="V628" s="169"/>
      <c r="W628" s="169"/>
      <c r="X628" s="169"/>
      <c r="Y628" s="169"/>
    </row>
    <row r="629" spans="1:25">
      <c r="A629" s="169"/>
      <c r="B629" s="169"/>
      <c r="C629" s="170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796"/>
      <c r="R629" s="169"/>
      <c r="S629" s="169"/>
      <c r="T629" s="169"/>
      <c r="U629" s="169"/>
      <c r="V629" s="169"/>
      <c r="W629" s="169"/>
      <c r="X629" s="169"/>
      <c r="Y629" s="169"/>
    </row>
    <row r="630" spans="1:25">
      <c r="A630" s="169"/>
      <c r="B630" s="169"/>
      <c r="C630" s="170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796"/>
      <c r="R630" s="169"/>
      <c r="S630" s="169"/>
      <c r="T630" s="169"/>
      <c r="U630" s="169"/>
      <c r="V630" s="169"/>
      <c r="W630" s="169"/>
      <c r="X630" s="169"/>
      <c r="Y630" s="169"/>
    </row>
    <row r="631" spans="1:25">
      <c r="A631" s="169"/>
      <c r="B631" s="169"/>
      <c r="C631" s="170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796"/>
      <c r="R631" s="169"/>
      <c r="S631" s="169"/>
      <c r="T631" s="169"/>
      <c r="U631" s="169"/>
      <c r="V631" s="169"/>
      <c r="W631" s="169"/>
      <c r="X631" s="169"/>
      <c r="Y631" s="169"/>
    </row>
    <row r="632" spans="1:25">
      <c r="A632" s="169"/>
      <c r="B632" s="169"/>
      <c r="C632" s="170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796"/>
      <c r="R632" s="169"/>
      <c r="S632" s="169"/>
      <c r="T632" s="169"/>
      <c r="U632" s="169"/>
      <c r="V632" s="169"/>
      <c r="W632" s="169"/>
      <c r="X632" s="169"/>
      <c r="Y632" s="169"/>
    </row>
    <row r="633" spans="1:25">
      <c r="A633" s="169"/>
      <c r="B633" s="169"/>
      <c r="C633" s="170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796"/>
      <c r="R633" s="169"/>
      <c r="S633" s="169"/>
      <c r="T633" s="169"/>
      <c r="U633" s="169"/>
      <c r="V633" s="169"/>
      <c r="W633" s="169"/>
      <c r="X633" s="169"/>
      <c r="Y633" s="169"/>
    </row>
    <row r="634" spans="1:25">
      <c r="A634" s="169"/>
      <c r="B634" s="169"/>
      <c r="C634" s="170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796"/>
      <c r="R634" s="169"/>
      <c r="S634" s="169"/>
      <c r="T634" s="169"/>
      <c r="U634" s="169"/>
      <c r="V634" s="169"/>
      <c r="W634" s="169"/>
      <c r="X634" s="169"/>
      <c r="Y634" s="169"/>
    </row>
    <row r="635" spans="1:25">
      <c r="A635" s="169"/>
      <c r="B635" s="169"/>
      <c r="C635" s="170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796"/>
      <c r="R635" s="169"/>
      <c r="S635" s="169"/>
      <c r="T635" s="169"/>
      <c r="U635" s="169"/>
      <c r="V635" s="169"/>
      <c r="W635" s="169"/>
      <c r="X635" s="169"/>
      <c r="Y635" s="169"/>
    </row>
    <row r="636" spans="1:25">
      <c r="A636" s="169"/>
      <c r="B636" s="169"/>
      <c r="C636" s="170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796"/>
      <c r="R636" s="169"/>
      <c r="S636" s="169"/>
      <c r="T636" s="169"/>
      <c r="U636" s="169"/>
      <c r="V636" s="169"/>
      <c r="W636" s="169"/>
      <c r="X636" s="169"/>
      <c r="Y636" s="169"/>
    </row>
    <row r="637" spans="1:25">
      <c r="A637" s="169"/>
      <c r="B637" s="169"/>
      <c r="C637" s="170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796"/>
      <c r="R637" s="169"/>
      <c r="S637" s="169"/>
      <c r="T637" s="169"/>
      <c r="U637" s="169"/>
      <c r="V637" s="169"/>
      <c r="W637" s="169"/>
      <c r="X637" s="169"/>
      <c r="Y637" s="169"/>
    </row>
    <row r="638" spans="1:25">
      <c r="A638" s="169"/>
      <c r="B638" s="169"/>
      <c r="C638" s="170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796"/>
      <c r="R638" s="169"/>
      <c r="S638" s="169"/>
      <c r="T638" s="169"/>
      <c r="U638" s="169"/>
      <c r="V638" s="169"/>
      <c r="W638" s="169"/>
      <c r="X638" s="169"/>
      <c r="Y638" s="169"/>
    </row>
    <row r="639" spans="1:25">
      <c r="A639" s="169"/>
      <c r="B639" s="169"/>
      <c r="C639" s="170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796"/>
      <c r="R639" s="169"/>
      <c r="S639" s="169"/>
      <c r="T639" s="169"/>
      <c r="U639" s="169"/>
      <c r="V639" s="169"/>
      <c r="W639" s="169"/>
      <c r="X639" s="169"/>
      <c r="Y639" s="169"/>
    </row>
    <row r="640" spans="1:25">
      <c r="A640" s="169"/>
      <c r="B640" s="169"/>
      <c r="C640" s="170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796"/>
      <c r="R640" s="169"/>
      <c r="S640" s="169"/>
      <c r="T640" s="169"/>
      <c r="U640" s="169"/>
      <c r="V640" s="169"/>
      <c r="W640" s="169"/>
      <c r="X640" s="169"/>
      <c r="Y640" s="169"/>
    </row>
    <row r="641" spans="1:25">
      <c r="A641" s="169"/>
      <c r="B641" s="169"/>
      <c r="C641" s="170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796"/>
      <c r="R641" s="169"/>
      <c r="S641" s="169"/>
      <c r="T641" s="169"/>
      <c r="U641" s="169"/>
      <c r="V641" s="169"/>
      <c r="W641" s="169"/>
      <c r="X641" s="169"/>
      <c r="Y641" s="169"/>
    </row>
    <row r="642" spans="1:25">
      <c r="A642" s="169"/>
      <c r="B642" s="169"/>
      <c r="C642" s="170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796"/>
      <c r="R642" s="169"/>
      <c r="S642" s="169"/>
      <c r="T642" s="169"/>
      <c r="U642" s="169"/>
      <c r="V642" s="169"/>
      <c r="W642" s="169"/>
      <c r="X642" s="169"/>
      <c r="Y642" s="169"/>
    </row>
    <row r="643" spans="1:25">
      <c r="A643" s="169"/>
      <c r="B643" s="169"/>
      <c r="C643" s="170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796"/>
      <c r="R643" s="169"/>
      <c r="S643" s="169"/>
      <c r="T643" s="169"/>
      <c r="U643" s="169"/>
      <c r="V643" s="169"/>
      <c r="W643" s="169"/>
      <c r="X643" s="169"/>
      <c r="Y643" s="169"/>
    </row>
    <row r="644" spans="1:25">
      <c r="A644" s="169"/>
      <c r="B644" s="169"/>
      <c r="C644" s="170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796"/>
      <c r="R644" s="169"/>
      <c r="S644" s="169"/>
      <c r="T644" s="169"/>
      <c r="U644" s="169"/>
      <c r="V644" s="169"/>
      <c r="W644" s="169"/>
      <c r="X644" s="169"/>
      <c r="Y644" s="169"/>
    </row>
    <row r="645" spans="1:25">
      <c r="A645" s="169"/>
      <c r="B645" s="169"/>
      <c r="C645" s="170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796"/>
      <c r="R645" s="169"/>
      <c r="S645" s="169"/>
      <c r="T645" s="169"/>
      <c r="U645" s="169"/>
      <c r="V645" s="169"/>
      <c r="W645" s="169"/>
      <c r="X645" s="169"/>
      <c r="Y645" s="169"/>
    </row>
    <row r="646" spans="1:25">
      <c r="A646" s="169"/>
      <c r="B646" s="169"/>
      <c r="C646" s="170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796"/>
      <c r="R646" s="169"/>
      <c r="S646" s="169"/>
      <c r="T646" s="169"/>
      <c r="U646" s="169"/>
      <c r="V646" s="169"/>
      <c r="W646" s="169"/>
      <c r="X646" s="169"/>
      <c r="Y646" s="169"/>
    </row>
    <row r="647" spans="1:25">
      <c r="A647" s="169"/>
      <c r="B647" s="169"/>
      <c r="C647" s="170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796"/>
      <c r="R647" s="169"/>
      <c r="S647" s="169"/>
      <c r="T647" s="169"/>
      <c r="U647" s="169"/>
      <c r="V647" s="169"/>
      <c r="W647" s="169"/>
      <c r="X647" s="169"/>
      <c r="Y647" s="169"/>
    </row>
    <row r="648" spans="1:25">
      <c r="A648" s="169"/>
      <c r="B648" s="169"/>
      <c r="C648" s="170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796"/>
      <c r="R648" s="169"/>
      <c r="S648" s="169"/>
      <c r="T648" s="169"/>
      <c r="U648" s="169"/>
      <c r="V648" s="169"/>
      <c r="W648" s="169"/>
      <c r="X648" s="169"/>
      <c r="Y648" s="169"/>
    </row>
    <row r="649" spans="1:25">
      <c r="A649" s="169"/>
      <c r="B649" s="169"/>
      <c r="C649" s="170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796"/>
      <c r="R649" s="169"/>
      <c r="S649" s="169"/>
      <c r="T649" s="169"/>
      <c r="U649" s="169"/>
      <c r="V649" s="169"/>
      <c r="W649" s="169"/>
      <c r="X649" s="169"/>
      <c r="Y649" s="169"/>
    </row>
    <row r="650" spans="1:25">
      <c r="A650" s="169"/>
      <c r="B650" s="169"/>
      <c r="C650" s="170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796"/>
      <c r="R650" s="169"/>
      <c r="S650" s="169"/>
      <c r="T650" s="169"/>
      <c r="U650" s="169"/>
      <c r="V650" s="169"/>
      <c r="W650" s="169"/>
      <c r="X650" s="169"/>
      <c r="Y650" s="169"/>
    </row>
    <row r="651" spans="1:25">
      <c r="A651" s="169"/>
      <c r="B651" s="169"/>
      <c r="C651" s="170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796"/>
      <c r="R651" s="169"/>
      <c r="S651" s="169"/>
      <c r="T651" s="169"/>
      <c r="U651" s="169"/>
      <c r="V651" s="169"/>
      <c r="W651" s="169"/>
      <c r="X651" s="169"/>
      <c r="Y651" s="169"/>
    </row>
    <row r="652" spans="1:25">
      <c r="A652" s="169"/>
      <c r="B652" s="169"/>
      <c r="C652" s="170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796"/>
      <c r="R652" s="169"/>
      <c r="S652" s="169"/>
      <c r="T652" s="169"/>
      <c r="U652" s="169"/>
      <c r="V652" s="169"/>
      <c r="W652" s="169"/>
      <c r="X652" s="169"/>
      <c r="Y652" s="169"/>
    </row>
    <row r="653" spans="1:25">
      <c r="A653" s="169"/>
      <c r="B653" s="169"/>
      <c r="C653" s="170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796"/>
      <c r="R653" s="169"/>
      <c r="S653" s="169"/>
      <c r="T653" s="169"/>
      <c r="U653" s="169"/>
      <c r="V653" s="169"/>
      <c r="W653" s="169"/>
      <c r="X653" s="169"/>
      <c r="Y653" s="169"/>
    </row>
    <row r="654" spans="1:25">
      <c r="A654" s="169"/>
      <c r="B654" s="169"/>
      <c r="C654" s="170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796"/>
      <c r="R654" s="169"/>
      <c r="S654" s="169"/>
      <c r="T654" s="169"/>
      <c r="U654" s="169"/>
      <c r="V654" s="169"/>
      <c r="W654" s="169"/>
      <c r="X654" s="169"/>
      <c r="Y654" s="169"/>
    </row>
    <row r="655" spans="1:25">
      <c r="A655" s="169"/>
      <c r="B655" s="169"/>
      <c r="C655" s="170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796"/>
      <c r="R655" s="169"/>
      <c r="S655" s="169"/>
      <c r="T655" s="169"/>
      <c r="U655" s="169"/>
      <c r="V655" s="169"/>
      <c r="W655" s="169"/>
      <c r="X655" s="169"/>
      <c r="Y655" s="169"/>
    </row>
    <row r="656" spans="1:25">
      <c r="A656" s="169"/>
      <c r="B656" s="169"/>
      <c r="C656" s="170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796"/>
      <c r="R656" s="169"/>
      <c r="S656" s="169"/>
      <c r="T656" s="169"/>
      <c r="U656" s="169"/>
      <c r="V656" s="169"/>
      <c r="W656" s="169"/>
      <c r="X656" s="169"/>
      <c r="Y656" s="169"/>
    </row>
    <row r="657" spans="1:25">
      <c r="A657" s="169"/>
      <c r="B657" s="169"/>
      <c r="C657" s="170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796"/>
      <c r="R657" s="169"/>
      <c r="S657" s="169"/>
      <c r="T657" s="169"/>
      <c r="U657" s="169"/>
      <c r="V657" s="169"/>
      <c r="W657" s="169"/>
      <c r="X657" s="169"/>
      <c r="Y657" s="169"/>
    </row>
    <row r="658" spans="1:25">
      <c r="A658" s="169"/>
      <c r="B658" s="169"/>
      <c r="C658" s="170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796"/>
      <c r="R658" s="169"/>
      <c r="S658" s="169"/>
      <c r="T658" s="169"/>
      <c r="U658" s="169"/>
      <c r="V658" s="169"/>
      <c r="W658" s="169"/>
      <c r="X658" s="169"/>
      <c r="Y658" s="169"/>
    </row>
    <row r="659" spans="1:25">
      <c r="A659" s="169"/>
      <c r="B659" s="169"/>
      <c r="C659" s="170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796"/>
      <c r="R659" s="169"/>
      <c r="S659" s="169"/>
      <c r="T659" s="169"/>
      <c r="U659" s="169"/>
      <c r="V659" s="169"/>
      <c r="W659" s="169"/>
      <c r="X659" s="169"/>
      <c r="Y659" s="169"/>
    </row>
    <row r="660" spans="1:25">
      <c r="A660" s="169"/>
      <c r="B660" s="169"/>
      <c r="C660" s="170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796"/>
      <c r="R660" s="169"/>
      <c r="S660" s="169"/>
      <c r="T660" s="169"/>
      <c r="U660" s="169"/>
      <c r="V660" s="169"/>
      <c r="W660" s="169"/>
      <c r="X660" s="169"/>
      <c r="Y660" s="169"/>
    </row>
    <row r="661" spans="1:25">
      <c r="A661" s="169"/>
      <c r="B661" s="169"/>
      <c r="C661" s="170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796"/>
      <c r="R661" s="169"/>
      <c r="S661" s="169"/>
      <c r="T661" s="169"/>
      <c r="U661" s="169"/>
      <c r="V661" s="169"/>
      <c r="W661" s="169"/>
      <c r="X661" s="169"/>
      <c r="Y661" s="169"/>
    </row>
    <row r="662" spans="1:25">
      <c r="A662" s="169"/>
      <c r="B662" s="169"/>
      <c r="C662" s="170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796"/>
      <c r="R662" s="169"/>
      <c r="S662" s="169"/>
      <c r="T662" s="169"/>
      <c r="U662" s="169"/>
      <c r="V662" s="169"/>
      <c r="W662" s="169"/>
      <c r="X662" s="169"/>
      <c r="Y662" s="169"/>
    </row>
    <row r="663" spans="1:25">
      <c r="A663" s="169"/>
      <c r="B663" s="169"/>
      <c r="C663" s="170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796"/>
      <c r="R663" s="169"/>
      <c r="S663" s="169"/>
      <c r="T663" s="169"/>
      <c r="U663" s="169"/>
      <c r="V663" s="169"/>
      <c r="W663" s="169"/>
      <c r="X663" s="169"/>
      <c r="Y663" s="169"/>
    </row>
    <row r="664" spans="1:25">
      <c r="A664" s="169"/>
      <c r="B664" s="169"/>
      <c r="C664" s="170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796"/>
      <c r="R664" s="169"/>
      <c r="S664" s="169"/>
      <c r="T664" s="169"/>
      <c r="U664" s="169"/>
      <c r="V664" s="169"/>
      <c r="W664" s="169"/>
      <c r="X664" s="169"/>
      <c r="Y664" s="169"/>
    </row>
    <row r="665" spans="1:25">
      <c r="A665" s="169"/>
      <c r="B665" s="169"/>
      <c r="C665" s="170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796"/>
      <c r="R665" s="169"/>
      <c r="S665" s="169"/>
      <c r="T665" s="169"/>
      <c r="U665" s="169"/>
      <c r="V665" s="169"/>
      <c r="W665" s="169"/>
      <c r="X665" s="169"/>
      <c r="Y665" s="169"/>
    </row>
    <row r="666" spans="1:25">
      <c r="A666" s="169"/>
      <c r="B666" s="169"/>
      <c r="C666" s="170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796"/>
      <c r="R666" s="169"/>
      <c r="S666" s="169"/>
      <c r="T666" s="169"/>
      <c r="U666" s="169"/>
      <c r="V666" s="169"/>
      <c r="W666" s="169"/>
      <c r="X666" s="169"/>
      <c r="Y666" s="169"/>
    </row>
    <row r="667" spans="1:25">
      <c r="A667" s="169"/>
      <c r="B667" s="169"/>
      <c r="C667" s="170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796"/>
      <c r="R667" s="169"/>
      <c r="S667" s="169"/>
      <c r="T667" s="169"/>
      <c r="U667" s="169"/>
      <c r="V667" s="169"/>
      <c r="W667" s="169"/>
      <c r="X667" s="169"/>
      <c r="Y667" s="169"/>
    </row>
    <row r="668" spans="1:25">
      <c r="A668" s="169"/>
      <c r="B668" s="169"/>
      <c r="C668" s="170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796"/>
      <c r="R668" s="169"/>
      <c r="S668" s="169"/>
      <c r="T668" s="169"/>
      <c r="U668" s="169"/>
      <c r="V668" s="169"/>
      <c r="W668" s="169"/>
      <c r="X668" s="169"/>
      <c r="Y668" s="169"/>
    </row>
    <row r="669" spans="1:25">
      <c r="A669" s="169"/>
      <c r="B669" s="169"/>
      <c r="C669" s="170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796"/>
      <c r="R669" s="169"/>
      <c r="S669" s="169"/>
      <c r="T669" s="169"/>
      <c r="U669" s="169"/>
      <c r="V669" s="169"/>
      <c r="W669" s="169"/>
      <c r="X669" s="169"/>
      <c r="Y669" s="169"/>
    </row>
    <row r="670" spans="1:25">
      <c r="A670" s="169"/>
      <c r="B670" s="169"/>
      <c r="C670" s="170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796"/>
      <c r="R670" s="169"/>
      <c r="S670" s="169"/>
      <c r="T670" s="169"/>
      <c r="U670" s="169"/>
      <c r="V670" s="169"/>
      <c r="W670" s="169"/>
      <c r="X670" s="169"/>
      <c r="Y670" s="169"/>
    </row>
    <row r="671" spans="1:25">
      <c r="A671" s="169"/>
      <c r="B671" s="169"/>
      <c r="C671" s="170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796"/>
      <c r="R671" s="169"/>
      <c r="S671" s="169"/>
      <c r="T671" s="169"/>
      <c r="U671" s="169"/>
      <c r="V671" s="169"/>
      <c r="W671" s="169"/>
      <c r="X671" s="169"/>
      <c r="Y671" s="169"/>
    </row>
    <row r="672" spans="1:25">
      <c r="A672" s="169"/>
      <c r="B672" s="169"/>
      <c r="C672" s="170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796"/>
      <c r="R672" s="169"/>
      <c r="S672" s="169"/>
      <c r="T672" s="169"/>
      <c r="U672" s="169"/>
      <c r="V672" s="169"/>
      <c r="W672" s="169"/>
      <c r="X672" s="169"/>
      <c r="Y672" s="169"/>
    </row>
    <row r="673" spans="1:25">
      <c r="A673" s="169"/>
      <c r="B673" s="169"/>
      <c r="C673" s="170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796"/>
      <c r="R673" s="169"/>
      <c r="S673" s="169"/>
      <c r="T673" s="169"/>
      <c r="U673" s="169"/>
      <c r="V673" s="169"/>
      <c r="W673" s="169"/>
      <c r="X673" s="169"/>
      <c r="Y673" s="169"/>
    </row>
    <row r="674" spans="1:25">
      <c r="A674" s="169"/>
      <c r="B674" s="169"/>
      <c r="C674" s="170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796"/>
      <c r="R674" s="169"/>
      <c r="S674" s="169"/>
      <c r="T674" s="169"/>
      <c r="U674" s="169"/>
      <c r="V674" s="169"/>
      <c r="W674" s="169"/>
      <c r="X674" s="169"/>
      <c r="Y674" s="169"/>
    </row>
    <row r="675" spans="1:25">
      <c r="A675" s="169"/>
      <c r="B675" s="169"/>
      <c r="C675" s="170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796"/>
      <c r="R675" s="169"/>
      <c r="S675" s="169"/>
      <c r="T675" s="169"/>
      <c r="U675" s="169"/>
      <c r="V675" s="169"/>
      <c r="W675" s="169"/>
      <c r="X675" s="169"/>
      <c r="Y675" s="169"/>
    </row>
    <row r="676" spans="1:25">
      <c r="A676" s="169"/>
      <c r="B676" s="169"/>
      <c r="C676" s="170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796"/>
      <c r="R676" s="169"/>
      <c r="S676" s="169"/>
      <c r="T676" s="169"/>
      <c r="U676" s="169"/>
      <c r="V676" s="169"/>
      <c r="W676" s="169"/>
      <c r="X676" s="169"/>
      <c r="Y676" s="169"/>
    </row>
    <row r="677" spans="1:25">
      <c r="A677" s="169"/>
      <c r="B677" s="169"/>
      <c r="C677" s="170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796"/>
      <c r="R677" s="169"/>
      <c r="S677" s="169"/>
      <c r="T677" s="169"/>
      <c r="U677" s="169"/>
      <c r="V677" s="169"/>
      <c r="W677" s="169"/>
      <c r="X677" s="169"/>
      <c r="Y677" s="169"/>
    </row>
    <row r="678" spans="1:25">
      <c r="A678" s="169"/>
      <c r="B678" s="169"/>
      <c r="C678" s="170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796"/>
      <c r="R678" s="169"/>
      <c r="S678" s="169"/>
      <c r="T678" s="169"/>
      <c r="U678" s="169"/>
      <c r="V678" s="169"/>
      <c r="W678" s="169"/>
      <c r="X678" s="169"/>
      <c r="Y678" s="169"/>
    </row>
    <row r="679" spans="1:25">
      <c r="A679" s="169"/>
      <c r="B679" s="169"/>
      <c r="C679" s="170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796"/>
      <c r="R679" s="169"/>
      <c r="S679" s="169"/>
      <c r="T679" s="169"/>
      <c r="U679" s="169"/>
      <c r="V679" s="169"/>
      <c r="W679" s="169"/>
      <c r="X679" s="169"/>
      <c r="Y679" s="169"/>
    </row>
    <row r="680" spans="1:25">
      <c r="A680" s="169"/>
      <c r="B680" s="169"/>
      <c r="C680" s="170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796"/>
      <c r="R680" s="169"/>
      <c r="S680" s="169"/>
      <c r="T680" s="169"/>
      <c r="U680" s="169"/>
      <c r="V680" s="169"/>
      <c r="W680" s="169"/>
      <c r="X680" s="169"/>
      <c r="Y680" s="169"/>
    </row>
    <row r="681" spans="1:25">
      <c r="A681" s="169"/>
      <c r="B681" s="169"/>
      <c r="C681" s="170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796"/>
      <c r="R681" s="169"/>
      <c r="S681" s="169"/>
      <c r="T681" s="169"/>
      <c r="U681" s="169"/>
      <c r="V681" s="169"/>
      <c r="W681" s="169"/>
      <c r="X681" s="169"/>
      <c r="Y681" s="169"/>
    </row>
    <row r="682" spans="1:25">
      <c r="A682" s="169"/>
      <c r="B682" s="169"/>
      <c r="C682" s="170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796"/>
      <c r="R682" s="169"/>
      <c r="S682" s="169"/>
      <c r="T682" s="169"/>
      <c r="U682" s="169"/>
      <c r="V682" s="169"/>
      <c r="W682" s="169"/>
      <c r="X682" s="169"/>
      <c r="Y682" s="169"/>
    </row>
    <row r="683" spans="1:25">
      <c r="A683" s="169"/>
      <c r="B683" s="169"/>
      <c r="C683" s="170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796"/>
      <c r="R683" s="169"/>
      <c r="S683" s="169"/>
      <c r="T683" s="169"/>
      <c r="U683" s="169"/>
      <c r="V683" s="169"/>
      <c r="W683" s="169"/>
      <c r="X683" s="169"/>
      <c r="Y683" s="169"/>
    </row>
    <row r="684" spans="1:25">
      <c r="A684" s="169"/>
      <c r="B684" s="169"/>
      <c r="C684" s="170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796"/>
      <c r="R684" s="169"/>
      <c r="S684" s="169"/>
      <c r="T684" s="169"/>
      <c r="U684" s="169"/>
      <c r="V684" s="169"/>
      <c r="W684" s="169"/>
      <c r="X684" s="169"/>
      <c r="Y684" s="169"/>
    </row>
    <row r="685" spans="1:25">
      <c r="A685" s="169"/>
      <c r="B685" s="169"/>
      <c r="C685" s="170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796"/>
      <c r="R685" s="169"/>
      <c r="S685" s="169"/>
      <c r="T685" s="169"/>
      <c r="U685" s="169"/>
      <c r="V685" s="169"/>
      <c r="W685" s="169"/>
      <c r="X685" s="169"/>
      <c r="Y685" s="169"/>
    </row>
    <row r="686" spans="1:25">
      <c r="A686" s="169"/>
      <c r="B686" s="169"/>
      <c r="C686" s="170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796"/>
      <c r="R686" s="169"/>
      <c r="S686" s="169"/>
      <c r="T686" s="169"/>
      <c r="U686" s="169"/>
      <c r="V686" s="169"/>
      <c r="W686" s="169"/>
      <c r="X686" s="169"/>
      <c r="Y686" s="169"/>
    </row>
    <row r="687" spans="1:25">
      <c r="A687" s="169"/>
      <c r="B687" s="169"/>
      <c r="C687" s="170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796"/>
      <c r="R687" s="169"/>
      <c r="S687" s="169"/>
      <c r="T687" s="169"/>
      <c r="U687" s="169"/>
      <c r="V687" s="169"/>
      <c r="W687" s="169"/>
      <c r="X687" s="169"/>
      <c r="Y687" s="169"/>
    </row>
    <row r="688" spans="1:25">
      <c r="A688" s="169"/>
      <c r="B688" s="169"/>
      <c r="C688" s="170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796"/>
      <c r="R688" s="169"/>
      <c r="S688" s="169"/>
      <c r="T688" s="169"/>
      <c r="U688" s="169"/>
      <c r="V688" s="169"/>
      <c r="W688" s="169"/>
      <c r="X688" s="169"/>
      <c r="Y688" s="169"/>
    </row>
    <row r="689" spans="1:25">
      <c r="A689" s="169"/>
      <c r="B689" s="169"/>
      <c r="C689" s="170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796"/>
      <c r="R689" s="169"/>
      <c r="S689" s="169"/>
      <c r="T689" s="169"/>
      <c r="U689" s="169"/>
      <c r="V689" s="169"/>
      <c r="W689" s="169"/>
      <c r="X689" s="169"/>
      <c r="Y689" s="169"/>
    </row>
    <row r="690" spans="1:25">
      <c r="A690" s="169"/>
      <c r="B690" s="169"/>
      <c r="C690" s="170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796"/>
      <c r="R690" s="169"/>
      <c r="S690" s="169"/>
      <c r="T690" s="169"/>
      <c r="U690" s="169"/>
      <c r="V690" s="169"/>
      <c r="W690" s="169"/>
      <c r="X690" s="169"/>
      <c r="Y690" s="169"/>
    </row>
    <row r="691" spans="1:25">
      <c r="A691" s="169"/>
      <c r="B691" s="169"/>
      <c r="C691" s="170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796"/>
      <c r="R691" s="169"/>
      <c r="S691" s="169"/>
      <c r="T691" s="169"/>
      <c r="U691" s="169"/>
      <c r="V691" s="169"/>
      <c r="W691" s="169"/>
      <c r="X691" s="169"/>
      <c r="Y691" s="169"/>
    </row>
    <row r="692" spans="1:25">
      <c r="A692" s="169"/>
      <c r="B692" s="169"/>
      <c r="C692" s="170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796"/>
      <c r="R692" s="169"/>
      <c r="S692" s="169"/>
      <c r="T692" s="169"/>
      <c r="U692" s="169"/>
      <c r="V692" s="169"/>
      <c r="W692" s="169"/>
      <c r="X692" s="169"/>
      <c r="Y692" s="169"/>
    </row>
    <row r="693" spans="1:25">
      <c r="A693" s="169"/>
      <c r="B693" s="169"/>
      <c r="C693" s="170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796"/>
      <c r="R693" s="169"/>
      <c r="S693" s="169"/>
      <c r="T693" s="169"/>
      <c r="U693" s="169"/>
      <c r="V693" s="169"/>
      <c r="W693" s="169"/>
      <c r="X693" s="169"/>
      <c r="Y693" s="169"/>
    </row>
    <row r="694" spans="1:25">
      <c r="A694" s="169"/>
      <c r="B694" s="169"/>
      <c r="C694" s="170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796"/>
      <c r="R694" s="169"/>
      <c r="S694" s="169"/>
      <c r="T694" s="169"/>
      <c r="U694" s="169"/>
      <c r="V694" s="169"/>
      <c r="W694" s="169"/>
      <c r="X694" s="169"/>
      <c r="Y694" s="169"/>
    </row>
    <row r="695" spans="1:25">
      <c r="A695" s="169"/>
      <c r="B695" s="169"/>
      <c r="C695" s="170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796"/>
      <c r="R695" s="169"/>
      <c r="S695" s="169"/>
      <c r="T695" s="169"/>
      <c r="U695" s="169"/>
      <c r="V695" s="169"/>
      <c r="W695" s="169"/>
      <c r="X695" s="169"/>
      <c r="Y695" s="169"/>
    </row>
    <row r="696" spans="1:25">
      <c r="A696" s="169"/>
      <c r="B696" s="169"/>
      <c r="C696" s="170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796"/>
      <c r="R696" s="169"/>
      <c r="S696" s="169"/>
      <c r="T696" s="169"/>
      <c r="U696" s="169"/>
      <c r="V696" s="169"/>
      <c r="W696" s="169"/>
      <c r="X696" s="169"/>
      <c r="Y696" s="169"/>
    </row>
    <row r="697" spans="1:25">
      <c r="A697" s="169"/>
      <c r="B697" s="169"/>
      <c r="C697" s="170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796"/>
      <c r="R697" s="169"/>
      <c r="S697" s="169"/>
      <c r="T697" s="169"/>
      <c r="U697" s="169"/>
      <c r="V697" s="169"/>
      <c r="W697" s="169"/>
      <c r="X697" s="169"/>
      <c r="Y697" s="169"/>
    </row>
    <row r="698" spans="1:25">
      <c r="A698" s="169"/>
      <c r="B698" s="169"/>
      <c r="C698" s="170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796"/>
      <c r="R698" s="169"/>
      <c r="S698" s="169"/>
      <c r="T698" s="169"/>
      <c r="U698" s="169"/>
      <c r="V698" s="169"/>
      <c r="W698" s="169"/>
      <c r="X698" s="169"/>
      <c r="Y698" s="169"/>
    </row>
    <row r="699" spans="1:25">
      <c r="A699" s="169"/>
      <c r="B699" s="169"/>
      <c r="C699" s="170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796"/>
      <c r="R699" s="169"/>
      <c r="S699" s="169"/>
      <c r="T699" s="169"/>
      <c r="U699" s="169"/>
      <c r="V699" s="169"/>
      <c r="W699" s="169"/>
      <c r="X699" s="169"/>
      <c r="Y699" s="169"/>
    </row>
    <row r="700" spans="1:25">
      <c r="A700" s="169"/>
      <c r="B700" s="169"/>
      <c r="C700" s="170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796"/>
      <c r="R700" s="169"/>
      <c r="S700" s="169"/>
      <c r="T700" s="169"/>
      <c r="U700" s="169"/>
      <c r="V700" s="169"/>
      <c r="W700" s="169"/>
      <c r="X700" s="169"/>
      <c r="Y700" s="169"/>
    </row>
    <row r="701" spans="1:25">
      <c r="A701" s="169"/>
      <c r="B701" s="169"/>
      <c r="C701" s="170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796"/>
      <c r="R701" s="169"/>
      <c r="S701" s="169"/>
      <c r="T701" s="169"/>
      <c r="U701" s="169"/>
      <c r="V701" s="169"/>
      <c r="W701" s="169"/>
      <c r="X701" s="169"/>
      <c r="Y701" s="169"/>
    </row>
    <row r="702" spans="1:25">
      <c r="A702" s="169"/>
      <c r="B702" s="169"/>
      <c r="C702" s="170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796"/>
      <c r="R702" s="169"/>
      <c r="S702" s="169"/>
      <c r="T702" s="169"/>
      <c r="U702" s="169"/>
      <c r="V702" s="169"/>
      <c r="W702" s="169"/>
      <c r="X702" s="169"/>
      <c r="Y702" s="169"/>
    </row>
    <row r="703" spans="1:25">
      <c r="A703" s="169"/>
      <c r="B703" s="169"/>
      <c r="C703" s="170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796"/>
      <c r="R703" s="169"/>
      <c r="S703" s="169"/>
      <c r="T703" s="169"/>
      <c r="U703" s="169"/>
      <c r="V703" s="169"/>
      <c r="W703" s="169"/>
      <c r="X703" s="169"/>
      <c r="Y703" s="169"/>
    </row>
    <row r="704" spans="1:25">
      <c r="A704" s="169"/>
      <c r="B704" s="169"/>
      <c r="C704" s="170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796"/>
      <c r="R704" s="169"/>
      <c r="S704" s="169"/>
      <c r="T704" s="169"/>
      <c r="U704" s="169"/>
      <c r="V704" s="169"/>
      <c r="W704" s="169"/>
      <c r="X704" s="169"/>
      <c r="Y704" s="169"/>
    </row>
    <row r="705" spans="1:25">
      <c r="A705" s="169"/>
      <c r="B705" s="169"/>
      <c r="C705" s="170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796"/>
      <c r="R705" s="169"/>
      <c r="S705" s="169"/>
      <c r="T705" s="169"/>
      <c r="U705" s="169"/>
      <c r="V705" s="169"/>
      <c r="W705" s="169"/>
      <c r="X705" s="169"/>
      <c r="Y705" s="169"/>
    </row>
    <row r="706" spans="1:25">
      <c r="A706" s="169"/>
      <c r="B706" s="169"/>
      <c r="C706" s="170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796"/>
      <c r="R706" s="169"/>
      <c r="S706" s="169"/>
      <c r="T706" s="169"/>
      <c r="U706" s="169"/>
      <c r="V706" s="169"/>
      <c r="W706" s="169"/>
      <c r="X706" s="169"/>
      <c r="Y706" s="169"/>
    </row>
    <row r="707" spans="1:25">
      <c r="A707" s="169"/>
      <c r="B707" s="169"/>
      <c r="C707" s="170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796"/>
      <c r="R707" s="169"/>
      <c r="S707" s="169"/>
      <c r="T707" s="169"/>
      <c r="U707" s="169"/>
      <c r="V707" s="169"/>
      <c r="W707" s="169"/>
      <c r="X707" s="169"/>
      <c r="Y707" s="169"/>
    </row>
    <row r="708" spans="1:25">
      <c r="A708" s="169"/>
      <c r="B708" s="169"/>
      <c r="C708" s="170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796"/>
      <c r="R708" s="169"/>
      <c r="S708" s="169"/>
      <c r="T708" s="169"/>
      <c r="U708" s="169"/>
      <c r="V708" s="169"/>
      <c r="W708" s="169"/>
      <c r="X708" s="169"/>
      <c r="Y708" s="169"/>
    </row>
    <row r="709" spans="1:25">
      <c r="A709" s="169"/>
      <c r="B709" s="169"/>
      <c r="C709" s="170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796"/>
      <c r="R709" s="169"/>
      <c r="S709" s="169"/>
      <c r="T709" s="169"/>
      <c r="U709" s="169"/>
      <c r="V709" s="169"/>
      <c r="W709" s="169"/>
      <c r="X709" s="169"/>
      <c r="Y709" s="169"/>
    </row>
    <row r="710" spans="1:25">
      <c r="A710" s="169"/>
      <c r="B710" s="169"/>
      <c r="C710" s="170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796"/>
      <c r="R710" s="169"/>
      <c r="S710" s="169"/>
      <c r="T710" s="169"/>
      <c r="U710" s="169"/>
      <c r="V710" s="169"/>
      <c r="W710" s="169"/>
      <c r="X710" s="169"/>
      <c r="Y710" s="169"/>
    </row>
    <row r="711" spans="1:25">
      <c r="A711" s="169"/>
      <c r="B711" s="169"/>
      <c r="C711" s="170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796"/>
      <c r="R711" s="169"/>
      <c r="S711" s="169"/>
      <c r="T711" s="169"/>
      <c r="U711" s="169"/>
      <c r="V711" s="169"/>
      <c r="W711" s="169"/>
      <c r="X711" s="169"/>
      <c r="Y711" s="169"/>
    </row>
    <row r="712" spans="1:25">
      <c r="A712" s="169"/>
      <c r="B712" s="169"/>
      <c r="C712" s="170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796"/>
      <c r="R712" s="169"/>
      <c r="S712" s="169"/>
      <c r="T712" s="169"/>
      <c r="U712" s="169"/>
      <c r="V712" s="169"/>
      <c r="W712" s="169"/>
      <c r="X712" s="169"/>
      <c r="Y712" s="169"/>
    </row>
    <row r="713" spans="1:25">
      <c r="A713" s="169"/>
      <c r="B713" s="169"/>
      <c r="C713" s="170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796"/>
      <c r="R713" s="169"/>
      <c r="S713" s="169"/>
      <c r="T713" s="169"/>
      <c r="U713" s="169"/>
      <c r="V713" s="169"/>
      <c r="W713" s="169"/>
      <c r="X713" s="169"/>
      <c r="Y713" s="169"/>
    </row>
    <row r="714" spans="1:25">
      <c r="A714" s="169"/>
      <c r="B714" s="169"/>
      <c r="C714" s="170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796"/>
      <c r="R714" s="169"/>
      <c r="S714" s="169"/>
      <c r="T714" s="169"/>
      <c r="U714" s="169"/>
      <c r="V714" s="169"/>
      <c r="W714" s="169"/>
      <c r="X714" s="169"/>
      <c r="Y714" s="169"/>
    </row>
    <row r="715" spans="1:25">
      <c r="A715" s="169"/>
      <c r="B715" s="169"/>
      <c r="C715" s="170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796"/>
      <c r="R715" s="169"/>
      <c r="S715" s="169"/>
      <c r="T715" s="169"/>
      <c r="U715" s="169"/>
      <c r="V715" s="169"/>
      <c r="W715" s="169"/>
      <c r="X715" s="169"/>
      <c r="Y715" s="169"/>
    </row>
    <row r="716" spans="1:25">
      <c r="A716" s="169"/>
      <c r="B716" s="169"/>
      <c r="C716" s="170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796"/>
      <c r="R716" s="169"/>
      <c r="S716" s="169"/>
      <c r="T716" s="169"/>
      <c r="U716" s="169"/>
      <c r="V716" s="169"/>
      <c r="W716" s="169"/>
      <c r="X716" s="169"/>
      <c r="Y716" s="169"/>
    </row>
    <row r="717" spans="1:25">
      <c r="A717" s="169"/>
      <c r="B717" s="169"/>
      <c r="C717" s="170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796"/>
      <c r="R717" s="169"/>
      <c r="S717" s="169"/>
      <c r="T717" s="169"/>
      <c r="U717" s="169"/>
      <c r="V717" s="169"/>
      <c r="W717" s="169"/>
      <c r="X717" s="169"/>
      <c r="Y717" s="169"/>
    </row>
    <row r="718" spans="1:25">
      <c r="A718" s="169"/>
      <c r="B718" s="169"/>
      <c r="C718" s="170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796"/>
      <c r="R718" s="169"/>
      <c r="S718" s="169"/>
      <c r="T718" s="169"/>
      <c r="U718" s="169"/>
      <c r="V718" s="169"/>
      <c r="W718" s="169"/>
      <c r="X718" s="169"/>
      <c r="Y718" s="169"/>
    </row>
    <row r="719" spans="1:25">
      <c r="A719" s="169"/>
      <c r="B719" s="169"/>
      <c r="C719" s="170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796"/>
      <c r="R719" s="169"/>
      <c r="S719" s="169"/>
      <c r="T719" s="169"/>
      <c r="U719" s="169"/>
      <c r="V719" s="169"/>
      <c r="W719" s="169"/>
      <c r="X719" s="169"/>
      <c r="Y719" s="169"/>
    </row>
    <row r="720" spans="1:25">
      <c r="A720" s="169"/>
      <c r="B720" s="169"/>
      <c r="C720" s="170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796"/>
      <c r="R720" s="169"/>
      <c r="S720" s="169"/>
      <c r="T720" s="169"/>
      <c r="U720" s="169"/>
      <c r="V720" s="169"/>
      <c r="W720" s="169"/>
      <c r="X720" s="169"/>
      <c r="Y720" s="169"/>
    </row>
    <row r="721" spans="1:25">
      <c r="A721" s="169"/>
      <c r="B721" s="169"/>
      <c r="C721" s="170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796"/>
      <c r="R721" s="169"/>
      <c r="S721" s="169"/>
      <c r="T721" s="169"/>
      <c r="U721" s="169"/>
      <c r="V721" s="169"/>
      <c r="W721" s="169"/>
      <c r="X721" s="169"/>
      <c r="Y721" s="169"/>
    </row>
    <row r="722" spans="1:25">
      <c r="A722" s="169"/>
      <c r="B722" s="169"/>
      <c r="C722" s="170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796"/>
      <c r="R722" s="169"/>
      <c r="S722" s="169"/>
      <c r="T722" s="169"/>
      <c r="U722" s="169"/>
      <c r="V722" s="169"/>
      <c r="W722" s="169"/>
      <c r="X722" s="169"/>
      <c r="Y722" s="169"/>
    </row>
    <row r="723" spans="1:25">
      <c r="A723" s="169"/>
      <c r="B723" s="169"/>
      <c r="C723" s="170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796"/>
      <c r="R723" s="169"/>
      <c r="S723" s="169"/>
      <c r="T723" s="169"/>
      <c r="U723" s="169"/>
      <c r="V723" s="169"/>
      <c r="W723" s="169"/>
      <c r="X723" s="169"/>
      <c r="Y723" s="169"/>
    </row>
    <row r="724" spans="1:25">
      <c r="A724" s="169"/>
      <c r="B724" s="169"/>
      <c r="C724" s="170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796"/>
      <c r="R724" s="169"/>
      <c r="S724" s="169"/>
      <c r="T724" s="169"/>
      <c r="U724" s="169"/>
      <c r="V724" s="169"/>
      <c r="W724" s="169"/>
      <c r="X724" s="169"/>
      <c r="Y724" s="169"/>
    </row>
    <row r="725" spans="1:25">
      <c r="A725" s="169"/>
      <c r="B725" s="169"/>
      <c r="C725" s="170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796"/>
      <c r="R725" s="169"/>
      <c r="S725" s="169"/>
      <c r="T725" s="169"/>
      <c r="U725" s="169"/>
      <c r="V725" s="169"/>
      <c r="W725" s="169"/>
      <c r="X725" s="169"/>
      <c r="Y725" s="169"/>
    </row>
    <row r="726" spans="1:25">
      <c r="A726" s="169"/>
      <c r="B726" s="169"/>
      <c r="C726" s="170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796"/>
      <c r="R726" s="169"/>
      <c r="S726" s="169"/>
      <c r="T726" s="169"/>
      <c r="U726" s="169"/>
      <c r="V726" s="169"/>
      <c r="W726" s="169"/>
      <c r="X726" s="169"/>
      <c r="Y726" s="169"/>
    </row>
    <row r="727" spans="1:25">
      <c r="A727" s="169"/>
      <c r="B727" s="169"/>
      <c r="C727" s="170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796"/>
      <c r="R727" s="169"/>
      <c r="S727" s="169"/>
      <c r="T727" s="169"/>
      <c r="U727" s="169"/>
      <c r="V727" s="169"/>
      <c r="W727" s="169"/>
      <c r="X727" s="169"/>
      <c r="Y727" s="169"/>
    </row>
    <row r="728" spans="1:25">
      <c r="A728" s="169"/>
      <c r="B728" s="169"/>
      <c r="C728" s="170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796"/>
      <c r="R728" s="169"/>
      <c r="S728" s="169"/>
      <c r="T728" s="169"/>
      <c r="U728" s="169"/>
      <c r="V728" s="169"/>
      <c r="W728" s="169"/>
      <c r="X728" s="169"/>
      <c r="Y728" s="169"/>
    </row>
    <row r="729" spans="1:25">
      <c r="A729" s="169"/>
      <c r="B729" s="169"/>
      <c r="C729" s="170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796"/>
      <c r="R729" s="169"/>
      <c r="S729" s="169"/>
      <c r="T729" s="169"/>
      <c r="U729" s="169"/>
      <c r="V729" s="169"/>
      <c r="W729" s="169"/>
      <c r="X729" s="169"/>
      <c r="Y729" s="169"/>
    </row>
    <row r="730" spans="1:25">
      <c r="A730" s="169"/>
      <c r="B730" s="169"/>
      <c r="C730" s="170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796"/>
      <c r="R730" s="169"/>
      <c r="S730" s="169"/>
      <c r="T730" s="169"/>
      <c r="U730" s="169"/>
      <c r="V730" s="169"/>
      <c r="W730" s="169"/>
      <c r="X730" s="169"/>
      <c r="Y730" s="169"/>
    </row>
    <row r="731" spans="1:25">
      <c r="A731" s="169"/>
      <c r="B731" s="169"/>
      <c r="C731" s="170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796"/>
      <c r="R731" s="169"/>
      <c r="S731" s="169"/>
      <c r="T731" s="169"/>
      <c r="U731" s="169"/>
      <c r="V731" s="169"/>
      <c r="W731" s="169"/>
      <c r="X731" s="169"/>
      <c r="Y731" s="169"/>
    </row>
    <row r="732" spans="1:25">
      <c r="A732" s="169"/>
      <c r="B732" s="169"/>
      <c r="C732" s="170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796"/>
      <c r="R732" s="169"/>
      <c r="S732" s="169"/>
      <c r="T732" s="169"/>
      <c r="U732" s="169"/>
      <c r="V732" s="169"/>
      <c r="W732" s="169"/>
      <c r="X732" s="169"/>
      <c r="Y732" s="169"/>
    </row>
    <row r="733" spans="1:25">
      <c r="A733" s="169"/>
      <c r="B733" s="169"/>
      <c r="C733" s="170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796"/>
      <c r="R733" s="169"/>
      <c r="S733" s="169"/>
      <c r="T733" s="169"/>
      <c r="U733" s="169"/>
      <c r="V733" s="169"/>
      <c r="W733" s="169"/>
      <c r="X733" s="169"/>
      <c r="Y733" s="169"/>
    </row>
    <row r="734" spans="1:25">
      <c r="A734" s="169"/>
      <c r="B734" s="169"/>
      <c r="C734" s="170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796"/>
      <c r="R734" s="169"/>
      <c r="S734" s="169"/>
      <c r="T734" s="169"/>
      <c r="U734" s="169"/>
      <c r="V734" s="169"/>
      <c r="W734" s="169"/>
      <c r="X734" s="169"/>
      <c r="Y734" s="169"/>
    </row>
    <row r="735" spans="1:25">
      <c r="A735" s="169"/>
      <c r="B735" s="169"/>
      <c r="C735" s="170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796"/>
      <c r="R735" s="169"/>
      <c r="S735" s="169"/>
      <c r="T735" s="169"/>
      <c r="U735" s="169"/>
      <c r="V735" s="169"/>
      <c r="W735" s="169"/>
      <c r="X735" s="169"/>
      <c r="Y735" s="169"/>
    </row>
    <row r="736" spans="1:25">
      <c r="A736" s="169"/>
      <c r="B736" s="169"/>
      <c r="C736" s="170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796"/>
      <c r="R736" s="169"/>
      <c r="S736" s="169"/>
      <c r="T736" s="169"/>
      <c r="U736" s="169"/>
      <c r="V736" s="169"/>
      <c r="W736" s="169"/>
      <c r="X736" s="169"/>
      <c r="Y736" s="169"/>
    </row>
    <row r="737" spans="1:25">
      <c r="A737" s="169"/>
      <c r="B737" s="169"/>
      <c r="C737" s="170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796"/>
      <c r="R737" s="169"/>
      <c r="S737" s="169"/>
      <c r="T737" s="169"/>
      <c r="U737" s="169"/>
      <c r="V737" s="169"/>
      <c r="W737" s="169"/>
      <c r="X737" s="169"/>
      <c r="Y737" s="169"/>
    </row>
    <row r="738" spans="1:25">
      <c r="A738" s="169"/>
      <c r="B738" s="169"/>
      <c r="C738" s="170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796"/>
      <c r="R738" s="169"/>
      <c r="S738" s="169"/>
      <c r="T738" s="169"/>
      <c r="U738" s="169"/>
      <c r="V738" s="169"/>
      <c r="W738" s="169"/>
      <c r="X738" s="169"/>
      <c r="Y738" s="169"/>
    </row>
    <row r="739" spans="1:25">
      <c r="A739" s="169"/>
      <c r="B739" s="169"/>
      <c r="C739" s="170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796"/>
      <c r="R739" s="169"/>
      <c r="S739" s="169"/>
      <c r="T739" s="169"/>
      <c r="U739" s="169"/>
      <c r="V739" s="169"/>
      <c r="W739" s="169"/>
      <c r="X739" s="169"/>
      <c r="Y739" s="169"/>
    </row>
    <row r="740" spans="1:25">
      <c r="A740" s="169"/>
      <c r="B740" s="169"/>
      <c r="C740" s="170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796"/>
      <c r="R740" s="169"/>
      <c r="S740" s="169"/>
      <c r="T740" s="169"/>
      <c r="U740" s="169"/>
      <c r="V740" s="169"/>
      <c r="W740" s="169"/>
      <c r="X740" s="169"/>
      <c r="Y740" s="169"/>
    </row>
    <row r="741" spans="1:25">
      <c r="A741" s="169"/>
      <c r="B741" s="169"/>
      <c r="C741" s="170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796"/>
      <c r="R741" s="169"/>
      <c r="S741" s="169"/>
      <c r="T741" s="169"/>
      <c r="U741" s="169"/>
      <c r="V741" s="169"/>
      <c r="W741" s="169"/>
      <c r="X741" s="169"/>
      <c r="Y741" s="169"/>
    </row>
    <row r="742" spans="1:25">
      <c r="A742" s="169"/>
      <c r="B742" s="169"/>
      <c r="C742" s="170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796"/>
      <c r="R742" s="169"/>
      <c r="S742" s="169"/>
      <c r="T742" s="169"/>
      <c r="U742" s="169"/>
      <c r="V742" s="169"/>
      <c r="W742" s="169"/>
      <c r="X742" s="169"/>
      <c r="Y742" s="169"/>
    </row>
    <row r="743" spans="1:25">
      <c r="A743" s="169"/>
      <c r="B743" s="169"/>
      <c r="C743" s="170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796"/>
      <c r="R743" s="169"/>
      <c r="S743" s="169"/>
      <c r="T743" s="169"/>
      <c r="U743" s="169"/>
      <c r="V743" s="169"/>
      <c r="W743" s="169"/>
      <c r="X743" s="169"/>
      <c r="Y743" s="169"/>
    </row>
    <row r="744" spans="1:25">
      <c r="A744" s="169"/>
      <c r="B744" s="169"/>
      <c r="C744" s="170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796"/>
      <c r="R744" s="169"/>
      <c r="S744" s="169"/>
      <c r="T744" s="169"/>
      <c r="U744" s="169"/>
      <c r="V744" s="169"/>
      <c r="W744" s="169"/>
      <c r="X744" s="169"/>
      <c r="Y744" s="169"/>
    </row>
    <row r="745" spans="1:25">
      <c r="A745" s="169"/>
      <c r="B745" s="169"/>
      <c r="C745" s="170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796"/>
      <c r="R745" s="169"/>
      <c r="S745" s="169"/>
      <c r="T745" s="169"/>
      <c r="U745" s="169"/>
      <c r="V745" s="169"/>
      <c r="W745" s="169"/>
      <c r="X745" s="169"/>
      <c r="Y745" s="169"/>
    </row>
    <row r="746" spans="1:25">
      <c r="A746" s="169"/>
      <c r="B746" s="169"/>
      <c r="C746" s="170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796"/>
      <c r="R746" s="169"/>
      <c r="S746" s="169"/>
      <c r="T746" s="169"/>
      <c r="U746" s="169"/>
      <c r="V746" s="169"/>
      <c r="W746" s="169"/>
      <c r="X746" s="169"/>
      <c r="Y746" s="169"/>
    </row>
    <row r="747" spans="1:25">
      <c r="A747" s="169"/>
      <c r="B747" s="169"/>
      <c r="C747" s="170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796"/>
      <c r="R747" s="169"/>
      <c r="S747" s="169"/>
      <c r="T747" s="169"/>
      <c r="U747" s="169"/>
      <c r="V747" s="169"/>
      <c r="W747" s="169"/>
      <c r="X747" s="169"/>
      <c r="Y747" s="169"/>
    </row>
    <row r="748" spans="1:25">
      <c r="A748" s="169"/>
      <c r="B748" s="169"/>
      <c r="C748" s="170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796"/>
      <c r="R748" s="169"/>
      <c r="S748" s="169"/>
      <c r="T748" s="169"/>
      <c r="U748" s="169"/>
      <c r="V748" s="169"/>
      <c r="W748" s="169"/>
      <c r="X748" s="169"/>
      <c r="Y748" s="169"/>
    </row>
    <row r="749" spans="1:25">
      <c r="A749" s="169"/>
      <c r="B749" s="169"/>
      <c r="C749" s="170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796"/>
      <c r="R749" s="169"/>
      <c r="S749" s="169"/>
      <c r="T749" s="169"/>
      <c r="U749" s="169"/>
      <c r="V749" s="169"/>
      <c r="W749" s="169"/>
      <c r="X749" s="169"/>
      <c r="Y749" s="169"/>
    </row>
    <row r="750" spans="1:25">
      <c r="A750" s="169"/>
      <c r="B750" s="169"/>
      <c r="C750" s="170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796"/>
      <c r="R750" s="169"/>
      <c r="S750" s="169"/>
      <c r="T750" s="169"/>
      <c r="U750" s="169"/>
      <c r="V750" s="169"/>
      <c r="W750" s="169"/>
      <c r="X750" s="169"/>
      <c r="Y750" s="169"/>
    </row>
    <row r="751" spans="1:25">
      <c r="A751" s="169"/>
      <c r="B751" s="169"/>
      <c r="C751" s="170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796"/>
      <c r="R751" s="169"/>
      <c r="S751" s="169"/>
      <c r="T751" s="169"/>
      <c r="U751" s="169"/>
      <c r="V751" s="169"/>
      <c r="W751" s="169"/>
      <c r="X751" s="169"/>
      <c r="Y751" s="169"/>
    </row>
    <row r="752" spans="1:25">
      <c r="A752" s="169"/>
      <c r="B752" s="169"/>
      <c r="C752" s="170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796"/>
      <c r="R752" s="169"/>
      <c r="S752" s="169"/>
      <c r="T752" s="169"/>
      <c r="U752" s="169"/>
      <c r="V752" s="169"/>
      <c r="W752" s="169"/>
      <c r="X752" s="169"/>
      <c r="Y752" s="169"/>
    </row>
    <row r="753" spans="1:25">
      <c r="A753" s="169"/>
      <c r="B753" s="169"/>
      <c r="C753" s="170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796"/>
      <c r="R753" s="169"/>
      <c r="S753" s="169"/>
      <c r="T753" s="169"/>
      <c r="U753" s="169"/>
      <c r="V753" s="169"/>
      <c r="W753" s="169"/>
      <c r="X753" s="169"/>
      <c r="Y753" s="169"/>
    </row>
    <row r="754" spans="1:25">
      <c r="A754" s="169"/>
      <c r="B754" s="169"/>
      <c r="C754" s="170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796"/>
      <c r="R754" s="169"/>
      <c r="S754" s="169"/>
      <c r="T754" s="169"/>
      <c r="U754" s="169"/>
      <c r="V754" s="169"/>
      <c r="W754" s="169"/>
      <c r="X754" s="169"/>
      <c r="Y754" s="169"/>
    </row>
    <row r="755" spans="1:25">
      <c r="A755" s="169"/>
      <c r="B755" s="169"/>
      <c r="C755" s="170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796"/>
      <c r="R755" s="169"/>
      <c r="S755" s="169"/>
      <c r="T755" s="169"/>
      <c r="U755" s="169"/>
      <c r="V755" s="169"/>
      <c r="W755" s="169"/>
      <c r="X755" s="169"/>
      <c r="Y755" s="169"/>
    </row>
    <row r="756" spans="1:25">
      <c r="A756" s="169"/>
      <c r="B756" s="169"/>
      <c r="C756" s="170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796"/>
      <c r="R756" s="169"/>
      <c r="S756" s="169"/>
      <c r="T756" s="169"/>
      <c r="U756" s="169"/>
      <c r="V756" s="169"/>
      <c r="W756" s="169"/>
      <c r="X756" s="169"/>
      <c r="Y756" s="169"/>
    </row>
    <row r="757" spans="1:25">
      <c r="A757" s="169"/>
      <c r="B757" s="169"/>
      <c r="C757" s="170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796"/>
      <c r="R757" s="169"/>
      <c r="S757" s="169"/>
      <c r="T757" s="169"/>
      <c r="U757" s="169"/>
      <c r="V757" s="169"/>
      <c r="W757" s="169"/>
      <c r="X757" s="169"/>
      <c r="Y757" s="169"/>
    </row>
    <row r="758" spans="1:25">
      <c r="A758" s="169"/>
      <c r="B758" s="169"/>
      <c r="C758" s="170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796"/>
      <c r="R758" s="169"/>
      <c r="S758" s="169"/>
      <c r="T758" s="169"/>
      <c r="U758" s="169"/>
      <c r="V758" s="169"/>
      <c r="W758" s="169"/>
      <c r="X758" s="169"/>
      <c r="Y758" s="169"/>
    </row>
    <row r="759" spans="1:25">
      <c r="A759" s="169"/>
      <c r="B759" s="169"/>
      <c r="C759" s="170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796"/>
      <c r="R759" s="169"/>
      <c r="S759" s="169"/>
      <c r="T759" s="169"/>
      <c r="U759" s="169"/>
      <c r="V759" s="169"/>
      <c r="W759" s="169"/>
      <c r="X759" s="169"/>
      <c r="Y759" s="169"/>
    </row>
    <row r="760" spans="1:25">
      <c r="A760" s="169"/>
      <c r="B760" s="169"/>
      <c r="C760" s="170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796"/>
      <c r="R760" s="169"/>
      <c r="S760" s="169"/>
      <c r="T760" s="169"/>
      <c r="U760" s="169"/>
      <c r="V760" s="169"/>
      <c r="W760" s="169"/>
      <c r="X760" s="169"/>
      <c r="Y760" s="169"/>
    </row>
    <row r="761" spans="1:25">
      <c r="A761" s="169"/>
      <c r="B761" s="169"/>
      <c r="C761" s="170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796"/>
      <c r="R761" s="169"/>
      <c r="S761" s="169"/>
      <c r="T761" s="169"/>
      <c r="U761" s="169"/>
      <c r="V761" s="169"/>
      <c r="W761" s="169"/>
      <c r="X761" s="169"/>
      <c r="Y761" s="169"/>
    </row>
    <row r="762" spans="1:25">
      <c r="A762" s="169"/>
      <c r="B762" s="169"/>
      <c r="C762" s="170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796"/>
      <c r="R762" s="169"/>
      <c r="S762" s="169"/>
      <c r="T762" s="169"/>
      <c r="U762" s="169"/>
      <c r="V762" s="169"/>
      <c r="W762" s="169"/>
      <c r="X762" s="169"/>
      <c r="Y762" s="169"/>
    </row>
    <row r="763" spans="1:25">
      <c r="A763" s="169"/>
      <c r="B763" s="169"/>
      <c r="C763" s="170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796"/>
      <c r="R763" s="169"/>
      <c r="S763" s="169"/>
      <c r="T763" s="169"/>
      <c r="U763" s="169"/>
      <c r="V763" s="169"/>
      <c r="W763" s="169"/>
      <c r="X763" s="169"/>
      <c r="Y763" s="169"/>
    </row>
    <row r="764" spans="1:25">
      <c r="A764" s="169"/>
      <c r="B764" s="169"/>
      <c r="C764" s="170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796"/>
      <c r="R764" s="169"/>
      <c r="S764" s="169"/>
      <c r="T764" s="169"/>
      <c r="U764" s="169"/>
      <c r="V764" s="169"/>
      <c r="W764" s="169"/>
      <c r="X764" s="169"/>
      <c r="Y764" s="169"/>
    </row>
    <row r="765" spans="1:25">
      <c r="A765" s="169"/>
      <c r="B765" s="169"/>
      <c r="C765" s="170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796"/>
      <c r="R765" s="169"/>
      <c r="S765" s="169"/>
      <c r="T765" s="169"/>
      <c r="U765" s="169"/>
      <c r="V765" s="169"/>
      <c r="W765" s="169"/>
      <c r="X765" s="169"/>
      <c r="Y765" s="169"/>
    </row>
    <row r="766" spans="1:25">
      <c r="A766" s="169"/>
      <c r="B766" s="169"/>
      <c r="C766" s="170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796"/>
      <c r="R766" s="169"/>
      <c r="S766" s="169"/>
      <c r="T766" s="169"/>
      <c r="U766" s="169"/>
      <c r="V766" s="169"/>
      <c r="W766" s="169"/>
      <c r="X766" s="169"/>
      <c r="Y766" s="169"/>
    </row>
    <row r="767" spans="1:25">
      <c r="A767" s="169"/>
      <c r="B767" s="169"/>
      <c r="C767" s="170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796"/>
      <c r="R767" s="169"/>
      <c r="S767" s="169"/>
      <c r="T767" s="169"/>
      <c r="U767" s="169"/>
      <c r="V767" s="169"/>
      <c r="W767" s="169"/>
      <c r="X767" s="169"/>
      <c r="Y767" s="169"/>
    </row>
    <row r="768" spans="1:25">
      <c r="A768" s="169"/>
      <c r="B768" s="169"/>
      <c r="C768" s="170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796"/>
      <c r="R768" s="169"/>
      <c r="S768" s="169"/>
      <c r="T768" s="169"/>
      <c r="U768" s="169"/>
      <c r="V768" s="169"/>
      <c r="W768" s="169"/>
      <c r="X768" s="169"/>
      <c r="Y768" s="169"/>
    </row>
    <row r="769" spans="1:25">
      <c r="A769" s="169"/>
      <c r="B769" s="169"/>
      <c r="C769" s="170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796"/>
      <c r="R769" s="169"/>
      <c r="S769" s="169"/>
      <c r="T769" s="169"/>
      <c r="U769" s="169"/>
      <c r="V769" s="169"/>
      <c r="W769" s="169"/>
      <c r="X769" s="169"/>
      <c r="Y769" s="169"/>
    </row>
    <row r="770" spans="1:25">
      <c r="A770" s="169"/>
      <c r="B770" s="169"/>
      <c r="C770" s="170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796"/>
      <c r="R770" s="169"/>
      <c r="S770" s="169"/>
      <c r="T770" s="169"/>
      <c r="U770" s="169"/>
      <c r="V770" s="169"/>
      <c r="W770" s="169"/>
      <c r="X770" s="169"/>
      <c r="Y770" s="169"/>
    </row>
    <row r="771" spans="1:25">
      <c r="A771" s="169"/>
      <c r="B771" s="169"/>
      <c r="C771" s="170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796"/>
      <c r="R771" s="169"/>
      <c r="S771" s="169"/>
      <c r="T771" s="169"/>
      <c r="U771" s="169"/>
      <c r="V771" s="169"/>
      <c r="W771" s="169"/>
      <c r="X771" s="169"/>
      <c r="Y771" s="169"/>
    </row>
    <row r="772" spans="1:25">
      <c r="A772" s="169"/>
      <c r="B772" s="169"/>
      <c r="C772" s="170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796"/>
      <c r="R772" s="169"/>
      <c r="S772" s="169"/>
      <c r="T772" s="169"/>
      <c r="U772" s="169"/>
      <c r="V772" s="169"/>
      <c r="W772" s="169"/>
      <c r="X772" s="169"/>
      <c r="Y772" s="169"/>
    </row>
    <row r="773" spans="1:25">
      <c r="A773" s="169"/>
      <c r="B773" s="169"/>
      <c r="C773" s="170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796"/>
      <c r="R773" s="169"/>
      <c r="S773" s="169"/>
      <c r="T773" s="169"/>
      <c r="U773" s="169"/>
      <c r="V773" s="169"/>
      <c r="W773" s="169"/>
      <c r="X773" s="169"/>
      <c r="Y773" s="169"/>
    </row>
    <row r="774" spans="1:25">
      <c r="A774" s="169"/>
      <c r="B774" s="169"/>
      <c r="C774" s="170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796"/>
      <c r="R774" s="169"/>
      <c r="S774" s="169"/>
      <c r="T774" s="169"/>
      <c r="U774" s="169"/>
      <c r="V774" s="169"/>
      <c r="W774" s="169"/>
      <c r="X774" s="169"/>
      <c r="Y774" s="169"/>
    </row>
    <row r="775" spans="1:25">
      <c r="A775" s="169"/>
      <c r="B775" s="169"/>
      <c r="C775" s="170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796"/>
      <c r="R775" s="169"/>
      <c r="S775" s="169"/>
      <c r="T775" s="169"/>
      <c r="U775" s="169"/>
      <c r="V775" s="169"/>
      <c r="W775" s="169"/>
      <c r="X775" s="169"/>
      <c r="Y775" s="169"/>
    </row>
    <row r="776" spans="1:25">
      <c r="A776" s="169"/>
      <c r="B776" s="169"/>
      <c r="C776" s="170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796"/>
      <c r="R776" s="169"/>
      <c r="S776" s="169"/>
      <c r="T776" s="169"/>
      <c r="U776" s="169"/>
      <c r="V776" s="169"/>
      <c r="W776" s="169"/>
      <c r="X776" s="169"/>
      <c r="Y776" s="169"/>
    </row>
    <row r="777" spans="1:25">
      <c r="A777" s="169"/>
      <c r="B777" s="169"/>
      <c r="C777" s="170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796"/>
      <c r="R777" s="169"/>
      <c r="S777" s="169"/>
      <c r="T777" s="169"/>
      <c r="U777" s="169"/>
      <c r="V777" s="169"/>
      <c r="W777" s="169"/>
      <c r="X777" s="169"/>
      <c r="Y777" s="169"/>
    </row>
    <row r="778" spans="1:25">
      <c r="A778" s="169"/>
      <c r="B778" s="169"/>
      <c r="C778" s="170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796"/>
      <c r="R778" s="169"/>
      <c r="S778" s="169"/>
      <c r="T778" s="169"/>
      <c r="U778" s="169"/>
      <c r="V778" s="169"/>
      <c r="W778" s="169"/>
      <c r="X778" s="169"/>
      <c r="Y778" s="169"/>
    </row>
    <row r="779" spans="1:25">
      <c r="A779" s="169"/>
      <c r="B779" s="169"/>
      <c r="C779" s="170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796"/>
      <c r="R779" s="169"/>
      <c r="S779" s="169"/>
      <c r="T779" s="169"/>
      <c r="U779" s="169"/>
      <c r="V779" s="169"/>
      <c r="W779" s="169"/>
      <c r="X779" s="169"/>
      <c r="Y779" s="169"/>
    </row>
    <row r="780" spans="1:25">
      <c r="A780" s="169"/>
      <c r="B780" s="169"/>
      <c r="C780" s="170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796"/>
      <c r="R780" s="169"/>
      <c r="S780" s="169"/>
      <c r="T780" s="169"/>
      <c r="U780" s="169"/>
      <c r="V780" s="169"/>
      <c r="W780" s="169"/>
      <c r="X780" s="169"/>
      <c r="Y780" s="169"/>
    </row>
    <row r="781" spans="1:25">
      <c r="A781" s="169"/>
      <c r="B781" s="169"/>
      <c r="C781" s="170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796"/>
      <c r="R781" s="169"/>
      <c r="S781" s="169"/>
      <c r="T781" s="169"/>
      <c r="U781" s="169"/>
      <c r="V781" s="169"/>
      <c r="W781" s="169"/>
      <c r="X781" s="169"/>
      <c r="Y781" s="169"/>
    </row>
    <row r="782" spans="1:25">
      <c r="A782" s="169"/>
      <c r="B782" s="169"/>
      <c r="C782" s="170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796"/>
      <c r="R782" s="169"/>
      <c r="S782" s="169"/>
      <c r="T782" s="169"/>
      <c r="U782" s="169"/>
      <c r="V782" s="169"/>
      <c r="W782" s="169"/>
      <c r="X782" s="169"/>
      <c r="Y782" s="169"/>
    </row>
    <row r="783" spans="1:25">
      <c r="A783" s="169"/>
      <c r="B783" s="169"/>
      <c r="C783" s="170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796"/>
      <c r="R783" s="169"/>
      <c r="S783" s="169"/>
      <c r="T783" s="169"/>
      <c r="U783" s="169"/>
      <c r="V783" s="169"/>
      <c r="W783" s="169"/>
      <c r="X783" s="169"/>
      <c r="Y783" s="169"/>
    </row>
    <row r="784" spans="1:25">
      <c r="A784" s="169"/>
      <c r="B784" s="169"/>
      <c r="C784" s="170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796"/>
      <c r="R784" s="169"/>
      <c r="S784" s="169"/>
      <c r="T784" s="169"/>
      <c r="U784" s="169"/>
      <c r="V784" s="169"/>
      <c r="W784" s="169"/>
      <c r="X784" s="169"/>
      <c r="Y784" s="169"/>
    </row>
    <row r="785" spans="1:25">
      <c r="A785" s="169"/>
      <c r="B785" s="169"/>
      <c r="C785" s="170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796"/>
      <c r="R785" s="169"/>
      <c r="S785" s="169"/>
      <c r="T785" s="169"/>
      <c r="U785" s="169"/>
      <c r="V785" s="169"/>
      <c r="W785" s="169"/>
      <c r="X785" s="169"/>
      <c r="Y785" s="169"/>
    </row>
    <row r="786" spans="1:25">
      <c r="A786" s="169"/>
      <c r="B786" s="169"/>
      <c r="C786" s="170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796"/>
      <c r="R786" s="169"/>
      <c r="S786" s="169"/>
      <c r="T786" s="169"/>
      <c r="U786" s="169"/>
      <c r="V786" s="169"/>
      <c r="W786" s="169"/>
      <c r="X786" s="169"/>
      <c r="Y786" s="169"/>
    </row>
    <row r="787" spans="1:25">
      <c r="A787" s="169"/>
      <c r="B787" s="169"/>
      <c r="C787" s="170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796"/>
      <c r="R787" s="169"/>
      <c r="S787" s="169"/>
      <c r="T787" s="169"/>
      <c r="U787" s="169"/>
      <c r="V787" s="169"/>
      <c r="W787" s="169"/>
      <c r="X787" s="169"/>
      <c r="Y787" s="169"/>
    </row>
    <row r="788" spans="1:25">
      <c r="A788" s="169"/>
      <c r="B788" s="169"/>
      <c r="C788" s="170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796"/>
      <c r="R788" s="169"/>
      <c r="S788" s="169"/>
      <c r="T788" s="169"/>
      <c r="U788" s="169"/>
      <c r="V788" s="169"/>
      <c r="W788" s="169"/>
      <c r="X788" s="169"/>
      <c r="Y788" s="169"/>
    </row>
    <row r="789" spans="1:25">
      <c r="A789" s="169"/>
      <c r="B789" s="169"/>
      <c r="C789" s="170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796"/>
      <c r="R789" s="169"/>
      <c r="S789" s="169"/>
      <c r="T789" s="169"/>
      <c r="U789" s="169"/>
      <c r="V789" s="169"/>
      <c r="W789" s="169"/>
      <c r="X789" s="169"/>
      <c r="Y789" s="169"/>
    </row>
    <row r="790" spans="1:25">
      <c r="A790" s="169"/>
      <c r="B790" s="169"/>
      <c r="C790" s="170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796"/>
      <c r="R790" s="169"/>
      <c r="S790" s="169"/>
      <c r="T790" s="169"/>
      <c r="U790" s="169"/>
      <c r="V790" s="169"/>
      <c r="W790" s="169"/>
      <c r="X790" s="169"/>
      <c r="Y790" s="169"/>
    </row>
    <row r="791" spans="1:25">
      <c r="A791" s="169"/>
      <c r="B791" s="169"/>
      <c r="C791" s="170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796"/>
      <c r="R791" s="169"/>
      <c r="S791" s="169"/>
      <c r="T791" s="169"/>
      <c r="U791" s="169"/>
      <c r="V791" s="169"/>
      <c r="W791" s="169"/>
      <c r="X791" s="169"/>
      <c r="Y791" s="169"/>
    </row>
    <row r="792" spans="1:25">
      <c r="A792" s="169"/>
      <c r="B792" s="169"/>
      <c r="C792" s="170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796"/>
      <c r="R792" s="169"/>
      <c r="S792" s="169"/>
      <c r="T792" s="169"/>
      <c r="U792" s="169"/>
      <c r="V792" s="169"/>
      <c r="W792" s="169"/>
      <c r="X792" s="169"/>
      <c r="Y792" s="169"/>
    </row>
    <row r="793" spans="1:25">
      <c r="A793" s="169"/>
      <c r="B793" s="169"/>
      <c r="C793" s="170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796"/>
      <c r="R793" s="169"/>
      <c r="S793" s="169"/>
      <c r="T793" s="169"/>
      <c r="U793" s="169"/>
      <c r="V793" s="169"/>
      <c r="W793" s="169"/>
      <c r="X793" s="169"/>
      <c r="Y793" s="169"/>
    </row>
    <row r="794" spans="1:25">
      <c r="A794" s="169"/>
      <c r="B794" s="169"/>
      <c r="C794" s="170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796"/>
      <c r="R794" s="169"/>
      <c r="S794" s="169"/>
      <c r="T794" s="169"/>
      <c r="U794" s="169"/>
      <c r="V794" s="169"/>
      <c r="W794" s="169"/>
      <c r="X794" s="169"/>
      <c r="Y794" s="169"/>
    </row>
    <row r="795" spans="1:25">
      <c r="A795" s="169"/>
      <c r="B795" s="169"/>
      <c r="C795" s="170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796"/>
      <c r="R795" s="169"/>
      <c r="S795" s="169"/>
      <c r="T795" s="169"/>
      <c r="U795" s="169"/>
      <c r="V795" s="169"/>
      <c r="W795" s="169"/>
      <c r="X795" s="169"/>
      <c r="Y795" s="169"/>
    </row>
    <row r="796" spans="1:25">
      <c r="A796" s="169"/>
      <c r="B796" s="169"/>
      <c r="C796" s="170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796"/>
      <c r="R796" s="169"/>
      <c r="S796" s="169"/>
      <c r="T796" s="169"/>
      <c r="U796" s="169"/>
      <c r="V796" s="169"/>
      <c r="W796" s="169"/>
      <c r="X796" s="169"/>
      <c r="Y796" s="169"/>
    </row>
    <row r="797" spans="1:25">
      <c r="A797" s="169"/>
      <c r="B797" s="169"/>
      <c r="C797" s="170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796"/>
      <c r="R797" s="169"/>
      <c r="S797" s="169"/>
      <c r="T797" s="169"/>
      <c r="U797" s="169"/>
      <c r="V797" s="169"/>
      <c r="W797" s="169"/>
      <c r="X797" s="169"/>
      <c r="Y797" s="169"/>
    </row>
    <row r="798" spans="1:25">
      <c r="A798" s="169"/>
      <c r="B798" s="169"/>
      <c r="C798" s="170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796"/>
      <c r="R798" s="169"/>
      <c r="S798" s="169"/>
      <c r="T798" s="169"/>
      <c r="U798" s="169"/>
      <c r="V798" s="169"/>
      <c r="W798" s="169"/>
      <c r="X798" s="169"/>
      <c r="Y798" s="169"/>
    </row>
    <row r="799" spans="1:25">
      <c r="A799" s="169"/>
      <c r="B799" s="169"/>
      <c r="C799" s="170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796"/>
      <c r="R799" s="169"/>
      <c r="S799" s="169"/>
      <c r="T799" s="169"/>
      <c r="U799" s="169"/>
      <c r="V799" s="169"/>
      <c r="W799" s="169"/>
      <c r="X799" s="169"/>
      <c r="Y799" s="169"/>
    </row>
    <row r="800" spans="1:25">
      <c r="A800" s="169"/>
      <c r="B800" s="169"/>
      <c r="C800" s="170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796"/>
      <c r="R800" s="169"/>
      <c r="S800" s="169"/>
      <c r="T800" s="169"/>
      <c r="U800" s="169"/>
      <c r="V800" s="169"/>
      <c r="W800" s="169"/>
      <c r="X800" s="169"/>
      <c r="Y800" s="169"/>
    </row>
    <row r="801" spans="1:25">
      <c r="A801" s="169"/>
      <c r="B801" s="169"/>
      <c r="C801" s="170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796"/>
      <c r="R801" s="169"/>
      <c r="S801" s="169"/>
      <c r="T801" s="169"/>
      <c r="U801" s="169"/>
      <c r="V801" s="169"/>
      <c r="W801" s="169"/>
      <c r="X801" s="169"/>
      <c r="Y801" s="169"/>
    </row>
    <row r="802" spans="1:25">
      <c r="A802" s="169"/>
      <c r="B802" s="169"/>
      <c r="C802" s="170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796"/>
      <c r="R802" s="169"/>
      <c r="S802" s="169"/>
      <c r="T802" s="169"/>
      <c r="U802" s="169"/>
      <c r="V802" s="169"/>
      <c r="W802" s="169"/>
      <c r="X802" s="169"/>
      <c r="Y802" s="169"/>
    </row>
    <row r="803" spans="1:25">
      <c r="A803" s="169"/>
      <c r="B803" s="169"/>
      <c r="C803" s="170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796"/>
      <c r="R803" s="169"/>
      <c r="S803" s="169"/>
      <c r="T803" s="169"/>
      <c r="U803" s="169"/>
      <c r="V803" s="169"/>
      <c r="W803" s="169"/>
      <c r="X803" s="169"/>
      <c r="Y803" s="169"/>
    </row>
    <row r="804" spans="1:25">
      <c r="A804" s="169"/>
      <c r="B804" s="169"/>
      <c r="C804" s="170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796"/>
      <c r="R804" s="169"/>
      <c r="S804" s="169"/>
      <c r="T804" s="169"/>
      <c r="U804" s="169"/>
      <c r="V804" s="169"/>
      <c r="W804" s="169"/>
      <c r="X804" s="169"/>
      <c r="Y804" s="169"/>
    </row>
    <row r="805" spans="1:25">
      <c r="A805" s="169"/>
      <c r="B805" s="169"/>
      <c r="C805" s="170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796"/>
      <c r="R805" s="169"/>
      <c r="S805" s="169"/>
      <c r="T805" s="169"/>
      <c r="U805" s="169"/>
      <c r="V805" s="169"/>
      <c r="W805" s="169"/>
      <c r="X805" s="169"/>
      <c r="Y805" s="169"/>
    </row>
    <row r="806" spans="1:25">
      <c r="A806" s="169"/>
      <c r="B806" s="169"/>
      <c r="C806" s="170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796"/>
      <c r="R806" s="169"/>
      <c r="S806" s="169"/>
      <c r="T806" s="169"/>
      <c r="U806" s="169"/>
      <c r="V806" s="169"/>
      <c r="W806" s="169"/>
      <c r="X806" s="169"/>
      <c r="Y806" s="169"/>
    </row>
    <row r="807" spans="1:25">
      <c r="A807" s="169"/>
      <c r="B807" s="169"/>
      <c r="C807" s="170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796"/>
      <c r="R807" s="169"/>
      <c r="S807" s="169"/>
      <c r="T807" s="169"/>
      <c r="U807" s="169"/>
      <c r="V807" s="169"/>
      <c r="W807" s="169"/>
      <c r="X807" s="169"/>
      <c r="Y807" s="169"/>
    </row>
    <row r="808" spans="1:25">
      <c r="A808" s="169"/>
      <c r="B808" s="169"/>
      <c r="C808" s="170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796"/>
      <c r="R808" s="169"/>
      <c r="S808" s="169"/>
      <c r="T808" s="169"/>
      <c r="U808" s="169"/>
      <c r="V808" s="169"/>
      <c r="W808" s="169"/>
      <c r="X808" s="169"/>
      <c r="Y808" s="169"/>
    </row>
    <row r="809" spans="1:25">
      <c r="A809" s="169"/>
      <c r="B809" s="169"/>
      <c r="C809" s="170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796"/>
      <c r="R809" s="169"/>
      <c r="S809" s="169"/>
      <c r="T809" s="169"/>
      <c r="U809" s="169"/>
      <c r="V809" s="169"/>
      <c r="W809" s="169"/>
      <c r="X809" s="169"/>
      <c r="Y809" s="169"/>
    </row>
    <row r="810" spans="1:25">
      <c r="A810" s="169"/>
      <c r="B810" s="169"/>
      <c r="C810" s="170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796"/>
      <c r="R810" s="169"/>
      <c r="S810" s="169"/>
      <c r="T810" s="169"/>
      <c r="U810" s="169"/>
      <c r="V810" s="169"/>
      <c r="W810" s="169"/>
      <c r="X810" s="169"/>
      <c r="Y810" s="169"/>
    </row>
    <row r="811" spans="1:25">
      <c r="A811" s="169"/>
      <c r="B811" s="169"/>
      <c r="C811" s="170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796"/>
      <c r="R811" s="169"/>
      <c r="S811" s="169"/>
      <c r="T811" s="169"/>
      <c r="U811" s="169"/>
      <c r="V811" s="169"/>
      <c r="W811" s="169"/>
      <c r="X811" s="169"/>
      <c r="Y811" s="169"/>
    </row>
    <row r="812" spans="1:25">
      <c r="A812" s="169"/>
      <c r="B812" s="169"/>
      <c r="C812" s="170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796"/>
      <c r="R812" s="169"/>
      <c r="S812" s="169"/>
      <c r="T812" s="169"/>
      <c r="U812" s="169"/>
      <c r="V812" s="169"/>
      <c r="W812" s="169"/>
      <c r="X812" s="169"/>
      <c r="Y812" s="169"/>
    </row>
    <row r="813" spans="1:25">
      <c r="A813" s="169"/>
      <c r="B813" s="169"/>
      <c r="C813" s="170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796"/>
      <c r="R813" s="169"/>
      <c r="S813" s="169"/>
      <c r="T813" s="169"/>
      <c r="U813" s="169"/>
      <c r="V813" s="169"/>
      <c r="W813" s="169"/>
      <c r="X813" s="169"/>
      <c r="Y813" s="169"/>
    </row>
    <row r="814" spans="1:25">
      <c r="A814" s="169"/>
      <c r="B814" s="169"/>
      <c r="C814" s="170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796"/>
      <c r="R814" s="169"/>
      <c r="S814" s="169"/>
      <c r="T814" s="169"/>
      <c r="U814" s="169"/>
      <c r="V814" s="169"/>
      <c r="W814" s="169"/>
      <c r="X814" s="169"/>
      <c r="Y814" s="169"/>
    </row>
    <row r="815" spans="1:25">
      <c r="A815" s="169"/>
      <c r="B815" s="169"/>
      <c r="C815" s="170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796"/>
      <c r="R815" s="169"/>
      <c r="S815" s="169"/>
      <c r="T815" s="169"/>
      <c r="U815" s="169"/>
      <c r="V815" s="169"/>
      <c r="W815" s="169"/>
      <c r="X815" s="169"/>
      <c r="Y815" s="169"/>
    </row>
    <row r="816" spans="1:25">
      <c r="A816" s="169"/>
      <c r="B816" s="169"/>
      <c r="C816" s="170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796"/>
      <c r="R816" s="169"/>
      <c r="S816" s="169"/>
      <c r="T816" s="169"/>
      <c r="U816" s="169"/>
      <c r="V816" s="169"/>
      <c r="W816" s="169"/>
      <c r="X816" s="169"/>
      <c r="Y816" s="169"/>
    </row>
    <row r="817" spans="1:25">
      <c r="A817" s="169"/>
      <c r="B817" s="169"/>
      <c r="C817" s="170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796"/>
      <c r="R817" s="169"/>
      <c r="S817" s="169"/>
      <c r="T817" s="169"/>
      <c r="U817" s="169"/>
      <c r="V817" s="169"/>
      <c r="W817" s="169"/>
      <c r="X817" s="169"/>
      <c r="Y817" s="169"/>
    </row>
    <row r="818" spans="1:25">
      <c r="A818" s="169"/>
      <c r="B818" s="169"/>
      <c r="C818" s="170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796"/>
      <c r="R818" s="169"/>
      <c r="S818" s="169"/>
      <c r="T818" s="169"/>
      <c r="U818" s="169"/>
      <c r="V818" s="169"/>
      <c r="W818" s="169"/>
      <c r="X818" s="169"/>
      <c r="Y818" s="169"/>
    </row>
    <row r="819" spans="1:25">
      <c r="A819" s="169"/>
      <c r="B819" s="169"/>
      <c r="C819" s="170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796"/>
      <c r="R819" s="169"/>
      <c r="S819" s="169"/>
      <c r="T819" s="169"/>
      <c r="U819" s="169"/>
      <c r="V819" s="169"/>
      <c r="W819" s="169"/>
      <c r="X819" s="169"/>
      <c r="Y819" s="169"/>
    </row>
    <row r="820" spans="1:25">
      <c r="A820" s="169"/>
      <c r="B820" s="169"/>
      <c r="C820" s="170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796"/>
      <c r="R820" s="169"/>
      <c r="S820" s="169"/>
      <c r="T820" s="169"/>
      <c r="U820" s="169"/>
      <c r="V820" s="169"/>
      <c r="W820" s="169"/>
      <c r="X820" s="169"/>
      <c r="Y820" s="169"/>
    </row>
    <row r="821" spans="1:25">
      <c r="A821" s="169"/>
      <c r="B821" s="169"/>
      <c r="C821" s="170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796"/>
      <c r="R821" s="169"/>
      <c r="S821" s="169"/>
      <c r="T821" s="169"/>
      <c r="U821" s="169"/>
      <c r="V821" s="169"/>
      <c r="W821" s="169"/>
      <c r="X821" s="169"/>
      <c r="Y821" s="169"/>
    </row>
    <row r="822" spans="1:25">
      <c r="A822" s="169"/>
      <c r="B822" s="169"/>
      <c r="C822" s="170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796"/>
      <c r="R822" s="169"/>
      <c r="S822" s="169"/>
      <c r="T822" s="169"/>
      <c r="U822" s="169"/>
      <c r="V822" s="169"/>
      <c r="W822" s="169"/>
      <c r="X822" s="169"/>
      <c r="Y822" s="169"/>
    </row>
    <row r="823" spans="1:25">
      <c r="A823" s="169"/>
      <c r="B823" s="169"/>
      <c r="C823" s="170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796"/>
      <c r="R823" s="169"/>
      <c r="S823" s="169"/>
      <c r="T823" s="169"/>
      <c r="U823" s="169"/>
      <c r="V823" s="169"/>
      <c r="W823" s="169"/>
      <c r="X823" s="169"/>
      <c r="Y823" s="169"/>
    </row>
    <row r="824" spans="1:25">
      <c r="A824" s="169"/>
      <c r="B824" s="169"/>
      <c r="C824" s="170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796"/>
      <c r="R824" s="169"/>
      <c r="S824" s="169"/>
      <c r="T824" s="169"/>
      <c r="U824" s="169"/>
      <c r="V824" s="169"/>
      <c r="W824" s="169"/>
      <c r="X824" s="169"/>
      <c r="Y824" s="169"/>
    </row>
    <row r="825" spans="1:25">
      <c r="A825" s="169"/>
      <c r="B825" s="169"/>
      <c r="C825" s="170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796"/>
      <c r="R825" s="169"/>
      <c r="S825" s="169"/>
      <c r="T825" s="169"/>
      <c r="U825" s="169"/>
      <c r="V825" s="169"/>
      <c r="W825" s="169"/>
      <c r="X825" s="169"/>
      <c r="Y825" s="169"/>
    </row>
    <row r="826" spans="1:25">
      <c r="A826" s="169"/>
      <c r="B826" s="169"/>
      <c r="C826" s="170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796"/>
      <c r="R826" s="169"/>
      <c r="S826" s="169"/>
      <c r="T826" s="169"/>
      <c r="U826" s="169"/>
      <c r="V826" s="169"/>
      <c r="W826" s="169"/>
      <c r="X826" s="169"/>
      <c r="Y826" s="169"/>
    </row>
    <row r="827" spans="1:25">
      <c r="A827" s="169"/>
      <c r="B827" s="169"/>
      <c r="C827" s="170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796"/>
      <c r="R827" s="169"/>
      <c r="S827" s="169"/>
      <c r="T827" s="169"/>
      <c r="U827" s="169"/>
      <c r="V827" s="169"/>
      <c r="W827" s="169"/>
      <c r="X827" s="169"/>
      <c r="Y827" s="169"/>
    </row>
    <row r="828" spans="1:25">
      <c r="A828" s="169"/>
      <c r="B828" s="169"/>
      <c r="C828" s="170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796"/>
      <c r="R828" s="169"/>
      <c r="S828" s="169"/>
      <c r="T828" s="169"/>
      <c r="U828" s="169"/>
      <c r="V828" s="169"/>
      <c r="W828" s="169"/>
      <c r="X828" s="169"/>
      <c r="Y828" s="169"/>
    </row>
    <row r="829" spans="1:25">
      <c r="A829" s="169"/>
      <c r="B829" s="169"/>
      <c r="C829" s="170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796"/>
      <c r="R829" s="169"/>
      <c r="S829" s="169"/>
      <c r="T829" s="169"/>
      <c r="U829" s="169"/>
      <c r="V829" s="169"/>
      <c r="W829" s="169"/>
      <c r="X829" s="169"/>
      <c r="Y829" s="169"/>
    </row>
    <row r="830" spans="1:25">
      <c r="A830" s="169"/>
      <c r="B830" s="169"/>
      <c r="C830" s="170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796"/>
      <c r="R830" s="169"/>
      <c r="S830" s="169"/>
      <c r="T830" s="169"/>
      <c r="U830" s="169"/>
      <c r="V830" s="169"/>
      <c r="W830" s="169"/>
      <c r="X830" s="169"/>
      <c r="Y830" s="169"/>
    </row>
    <row r="831" spans="1:25">
      <c r="A831" s="169"/>
      <c r="B831" s="169"/>
      <c r="C831" s="170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796"/>
      <c r="R831" s="169"/>
      <c r="S831" s="169"/>
      <c r="T831" s="169"/>
      <c r="U831" s="169"/>
      <c r="V831" s="169"/>
      <c r="W831" s="169"/>
      <c r="X831" s="169"/>
      <c r="Y831" s="169"/>
    </row>
    <row r="832" spans="1:25">
      <c r="A832" s="169"/>
      <c r="B832" s="169"/>
      <c r="C832" s="170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796"/>
      <c r="R832" s="169"/>
      <c r="S832" s="169"/>
      <c r="T832" s="169"/>
      <c r="U832" s="169"/>
      <c r="V832" s="169"/>
      <c r="W832" s="169"/>
      <c r="X832" s="169"/>
      <c r="Y832" s="169"/>
    </row>
    <row r="833" spans="1:25">
      <c r="A833" s="169"/>
      <c r="B833" s="169"/>
      <c r="C833" s="170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796"/>
      <c r="R833" s="169"/>
      <c r="S833" s="169"/>
      <c r="T833" s="169"/>
      <c r="U833" s="169"/>
      <c r="V833" s="169"/>
      <c r="W833" s="169"/>
      <c r="X833" s="169"/>
      <c r="Y833" s="169"/>
    </row>
    <row r="834" spans="1:25">
      <c r="A834" s="169"/>
      <c r="B834" s="169"/>
      <c r="C834" s="170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796"/>
      <c r="R834" s="169"/>
      <c r="S834" s="169"/>
      <c r="T834" s="169"/>
      <c r="U834" s="169"/>
      <c r="V834" s="169"/>
      <c r="W834" s="169"/>
      <c r="X834" s="169"/>
      <c r="Y834" s="169"/>
    </row>
    <row r="835" spans="1:25">
      <c r="A835" s="169"/>
      <c r="B835" s="169"/>
      <c r="C835" s="170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796"/>
      <c r="R835" s="169"/>
      <c r="S835" s="169"/>
      <c r="T835" s="169"/>
      <c r="U835" s="169"/>
      <c r="V835" s="169"/>
      <c r="W835" s="169"/>
      <c r="X835" s="169"/>
      <c r="Y835" s="169"/>
    </row>
    <row r="836" spans="1:25">
      <c r="A836" s="169"/>
      <c r="B836" s="169"/>
      <c r="C836" s="170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796"/>
      <c r="R836" s="169"/>
      <c r="S836" s="169"/>
      <c r="T836" s="169"/>
      <c r="U836" s="169"/>
      <c r="V836" s="169"/>
      <c r="W836" s="169"/>
      <c r="X836" s="169"/>
      <c r="Y836" s="169"/>
    </row>
    <row r="837" spans="1:25">
      <c r="A837" s="169"/>
      <c r="B837" s="169"/>
      <c r="C837" s="170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796"/>
      <c r="R837" s="169"/>
      <c r="S837" s="169"/>
      <c r="T837" s="169"/>
      <c r="U837" s="169"/>
      <c r="V837" s="169"/>
      <c r="W837" s="169"/>
      <c r="X837" s="169"/>
      <c r="Y837" s="169"/>
    </row>
    <row r="838" spans="1:25">
      <c r="A838" s="169"/>
      <c r="B838" s="169"/>
      <c r="C838" s="170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796"/>
      <c r="R838" s="169"/>
      <c r="S838" s="169"/>
      <c r="T838" s="169"/>
      <c r="U838" s="169"/>
      <c r="V838" s="169"/>
      <c r="W838" s="169"/>
      <c r="X838" s="169"/>
      <c r="Y838" s="169"/>
    </row>
    <row r="839" spans="1:25">
      <c r="A839" s="169"/>
      <c r="B839" s="169"/>
      <c r="C839" s="170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796"/>
      <c r="R839" s="169"/>
      <c r="S839" s="169"/>
      <c r="T839" s="169"/>
      <c r="U839" s="169"/>
      <c r="V839" s="169"/>
      <c r="W839" s="169"/>
      <c r="X839" s="169"/>
      <c r="Y839" s="169"/>
    </row>
    <row r="840" spans="1:25">
      <c r="A840" s="169"/>
      <c r="B840" s="169"/>
      <c r="C840" s="170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796"/>
      <c r="R840" s="169"/>
      <c r="S840" s="169"/>
      <c r="T840" s="169"/>
      <c r="U840" s="169"/>
      <c r="V840" s="169"/>
      <c r="W840" s="169"/>
      <c r="X840" s="169"/>
      <c r="Y840" s="169"/>
    </row>
    <row r="841" spans="1:25">
      <c r="A841" s="169"/>
      <c r="B841" s="169"/>
      <c r="C841" s="170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796"/>
      <c r="R841" s="169"/>
      <c r="S841" s="169"/>
      <c r="T841" s="169"/>
      <c r="U841" s="169"/>
      <c r="V841" s="169"/>
      <c r="W841" s="169"/>
      <c r="X841" s="169"/>
      <c r="Y841" s="169"/>
    </row>
    <row r="842" spans="1:25">
      <c r="A842" s="169"/>
      <c r="B842" s="169"/>
      <c r="C842" s="170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796"/>
      <c r="R842" s="169"/>
      <c r="S842" s="169"/>
      <c r="T842" s="169"/>
      <c r="U842" s="169"/>
      <c r="V842" s="169"/>
      <c r="W842" s="169"/>
      <c r="X842" s="169"/>
      <c r="Y842" s="169"/>
    </row>
    <row r="843" spans="1:25">
      <c r="A843" s="169"/>
      <c r="B843" s="169"/>
      <c r="C843" s="170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796"/>
      <c r="R843" s="169"/>
      <c r="S843" s="169"/>
      <c r="T843" s="169"/>
      <c r="U843" s="169"/>
      <c r="V843" s="169"/>
      <c r="W843" s="169"/>
      <c r="X843" s="169"/>
      <c r="Y843" s="169"/>
    </row>
    <row r="844" spans="1:25">
      <c r="A844" s="169"/>
      <c r="B844" s="169"/>
      <c r="C844" s="170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796"/>
      <c r="R844" s="169"/>
      <c r="S844" s="169"/>
      <c r="T844" s="169"/>
      <c r="U844" s="169"/>
      <c r="V844" s="169"/>
      <c r="W844" s="169"/>
      <c r="X844" s="169"/>
      <c r="Y844" s="169"/>
    </row>
    <row r="845" spans="1:25">
      <c r="A845" s="169"/>
      <c r="B845" s="169"/>
      <c r="C845" s="170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796"/>
      <c r="R845" s="169"/>
      <c r="S845" s="169"/>
      <c r="T845" s="169"/>
      <c r="U845" s="169"/>
      <c r="V845" s="169"/>
      <c r="W845" s="169"/>
      <c r="X845" s="169"/>
      <c r="Y845" s="169"/>
    </row>
    <row r="846" spans="1:25">
      <c r="A846" s="169"/>
      <c r="B846" s="169"/>
      <c r="C846" s="170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796"/>
      <c r="R846" s="169"/>
      <c r="S846" s="169"/>
      <c r="T846" s="169"/>
      <c r="U846" s="169"/>
      <c r="V846" s="169"/>
      <c r="W846" s="169"/>
      <c r="X846" s="169"/>
      <c r="Y846" s="169"/>
    </row>
    <row r="847" spans="1:25">
      <c r="A847" s="169"/>
      <c r="B847" s="169"/>
      <c r="C847" s="170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796"/>
      <c r="R847" s="169"/>
      <c r="S847" s="169"/>
      <c r="T847" s="169"/>
      <c r="U847" s="169"/>
      <c r="V847" s="169"/>
      <c r="W847" s="169"/>
      <c r="X847" s="169"/>
      <c r="Y847" s="169"/>
    </row>
    <row r="848" spans="1:25">
      <c r="A848" s="169"/>
      <c r="B848" s="169"/>
      <c r="C848" s="170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796"/>
      <c r="R848" s="169"/>
      <c r="S848" s="169"/>
      <c r="T848" s="169"/>
      <c r="U848" s="169"/>
      <c r="V848" s="169"/>
      <c r="W848" s="169"/>
      <c r="X848" s="169"/>
      <c r="Y848" s="169"/>
    </row>
    <row r="849" spans="1:25">
      <c r="A849" s="169"/>
      <c r="B849" s="169"/>
      <c r="C849" s="170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796"/>
      <c r="R849" s="169"/>
      <c r="S849" s="169"/>
      <c r="T849" s="169"/>
      <c r="U849" s="169"/>
      <c r="V849" s="169"/>
      <c r="W849" s="169"/>
      <c r="X849" s="169"/>
      <c r="Y849" s="169"/>
    </row>
    <row r="850" spans="1:25">
      <c r="A850" s="169"/>
      <c r="B850" s="169"/>
      <c r="C850" s="170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796"/>
      <c r="R850" s="169"/>
      <c r="S850" s="169"/>
      <c r="T850" s="169"/>
      <c r="U850" s="169"/>
      <c r="V850" s="169"/>
      <c r="W850" s="169"/>
      <c r="X850" s="169"/>
      <c r="Y850" s="169"/>
    </row>
    <row r="851" spans="1:25">
      <c r="A851" s="169"/>
      <c r="B851" s="169"/>
      <c r="C851" s="170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796"/>
      <c r="R851" s="169"/>
      <c r="S851" s="169"/>
      <c r="T851" s="169"/>
      <c r="U851" s="169"/>
      <c r="V851" s="169"/>
      <c r="W851" s="169"/>
      <c r="X851" s="169"/>
      <c r="Y851" s="169"/>
    </row>
    <row r="852" spans="1:25">
      <c r="A852" s="169"/>
      <c r="B852" s="169"/>
      <c r="C852" s="170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796"/>
      <c r="R852" s="169"/>
      <c r="S852" s="169"/>
      <c r="T852" s="169"/>
      <c r="U852" s="169"/>
      <c r="V852" s="169"/>
      <c r="W852" s="169"/>
      <c r="X852" s="169"/>
      <c r="Y852" s="169"/>
    </row>
    <row r="853" spans="1:25">
      <c r="A853" s="169"/>
      <c r="B853" s="169"/>
      <c r="C853" s="170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796"/>
      <c r="R853" s="169"/>
      <c r="S853" s="169"/>
      <c r="T853" s="169"/>
      <c r="U853" s="169"/>
      <c r="V853" s="169"/>
      <c r="W853" s="169"/>
      <c r="X853" s="169"/>
      <c r="Y853" s="169"/>
    </row>
    <row r="854" spans="1:25">
      <c r="A854" s="169"/>
      <c r="B854" s="169"/>
      <c r="C854" s="170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796"/>
      <c r="R854" s="169"/>
      <c r="S854" s="169"/>
      <c r="T854" s="169"/>
      <c r="U854" s="169"/>
      <c r="V854" s="169"/>
      <c r="W854" s="169"/>
      <c r="X854" s="169"/>
      <c r="Y854" s="169"/>
    </row>
    <row r="855" spans="1:25">
      <c r="A855" s="169"/>
      <c r="B855" s="169"/>
      <c r="C855" s="170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796"/>
      <c r="R855" s="169"/>
      <c r="S855" s="169"/>
      <c r="T855" s="169"/>
      <c r="U855" s="169"/>
      <c r="V855" s="169"/>
      <c r="W855" s="169"/>
      <c r="X855" s="169"/>
      <c r="Y855" s="169"/>
    </row>
    <row r="856" spans="1:25">
      <c r="A856" s="169"/>
      <c r="B856" s="169"/>
      <c r="C856" s="170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796"/>
      <c r="R856" s="169"/>
      <c r="S856" s="169"/>
      <c r="T856" s="169"/>
      <c r="U856" s="169"/>
      <c r="V856" s="169"/>
      <c r="W856" s="169"/>
      <c r="X856" s="169"/>
      <c r="Y856" s="169"/>
    </row>
    <row r="857" spans="1:25">
      <c r="A857" s="169"/>
      <c r="B857" s="169"/>
      <c r="C857" s="170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796"/>
      <c r="R857" s="169"/>
      <c r="S857" s="169"/>
      <c r="T857" s="169"/>
      <c r="U857" s="169"/>
      <c r="V857" s="169"/>
      <c r="W857" s="169"/>
      <c r="X857" s="169"/>
      <c r="Y857" s="169"/>
    </row>
    <row r="858" spans="1:25">
      <c r="A858" s="169"/>
      <c r="B858" s="169"/>
      <c r="C858" s="170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796"/>
      <c r="R858" s="169"/>
      <c r="S858" s="169"/>
      <c r="T858" s="169"/>
      <c r="U858" s="169"/>
      <c r="V858" s="169"/>
      <c r="W858" s="169"/>
      <c r="X858" s="169"/>
      <c r="Y858" s="169"/>
    </row>
    <row r="859" spans="1:25">
      <c r="A859" s="169"/>
      <c r="B859" s="169"/>
      <c r="C859" s="170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796"/>
      <c r="R859" s="169"/>
      <c r="S859" s="169"/>
      <c r="T859" s="169"/>
      <c r="U859" s="169"/>
      <c r="V859" s="169"/>
      <c r="W859" s="169"/>
      <c r="X859" s="169"/>
      <c r="Y859" s="169"/>
    </row>
    <row r="860" spans="1:25">
      <c r="A860" s="169"/>
      <c r="B860" s="169"/>
      <c r="C860" s="170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796"/>
      <c r="R860" s="169"/>
      <c r="S860" s="169"/>
      <c r="T860" s="169"/>
      <c r="U860" s="169"/>
      <c r="V860" s="169"/>
      <c r="W860" s="169"/>
      <c r="X860" s="169"/>
      <c r="Y860" s="169"/>
    </row>
    <row r="861" spans="1:25">
      <c r="A861" s="169"/>
      <c r="B861" s="169"/>
      <c r="C861" s="170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796"/>
      <c r="R861" s="169"/>
      <c r="S861" s="169"/>
      <c r="T861" s="169"/>
      <c r="U861" s="169"/>
      <c r="V861" s="169"/>
      <c r="W861" s="169"/>
      <c r="X861" s="169"/>
      <c r="Y861" s="169"/>
    </row>
    <row r="862" spans="1:25">
      <c r="A862" s="169"/>
      <c r="B862" s="169"/>
      <c r="C862" s="170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796"/>
      <c r="R862" s="169"/>
      <c r="S862" s="169"/>
      <c r="T862" s="169"/>
      <c r="U862" s="169"/>
      <c r="V862" s="169"/>
      <c r="W862" s="169"/>
      <c r="X862" s="169"/>
      <c r="Y862" s="169"/>
    </row>
    <row r="863" spans="1:25">
      <c r="A863" s="169"/>
      <c r="B863" s="169"/>
      <c r="C863" s="170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796"/>
      <c r="R863" s="169"/>
      <c r="S863" s="169"/>
      <c r="T863" s="169"/>
      <c r="U863" s="169"/>
      <c r="V863" s="169"/>
      <c r="W863" s="169"/>
      <c r="X863" s="169"/>
      <c r="Y863" s="169"/>
    </row>
    <row r="864" spans="1:25">
      <c r="A864" s="169"/>
      <c r="B864" s="169"/>
      <c r="C864" s="170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796"/>
      <c r="R864" s="169"/>
      <c r="S864" s="169"/>
      <c r="T864" s="169"/>
      <c r="U864" s="169"/>
      <c r="V864" s="169"/>
      <c r="W864" s="169"/>
      <c r="X864" s="169"/>
      <c r="Y864" s="169"/>
    </row>
    <row r="865" spans="1:25">
      <c r="A865" s="169"/>
      <c r="B865" s="169"/>
      <c r="C865" s="170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796"/>
      <c r="R865" s="169"/>
      <c r="S865" s="169"/>
      <c r="T865" s="169"/>
      <c r="U865" s="169"/>
      <c r="V865" s="169"/>
      <c r="W865" s="169"/>
      <c r="X865" s="169"/>
      <c r="Y865" s="169"/>
    </row>
    <row r="866" spans="1:25">
      <c r="A866" s="169"/>
      <c r="B866" s="169"/>
      <c r="C866" s="170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796"/>
      <c r="R866" s="169"/>
      <c r="S866" s="169"/>
      <c r="T866" s="169"/>
      <c r="U866" s="169"/>
      <c r="V866" s="169"/>
      <c r="W866" s="169"/>
      <c r="X866" s="169"/>
      <c r="Y866" s="169"/>
    </row>
    <row r="867" spans="1:25">
      <c r="A867" s="169"/>
      <c r="B867" s="169"/>
      <c r="C867" s="170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796"/>
      <c r="R867" s="169"/>
      <c r="S867" s="169"/>
      <c r="T867" s="169"/>
      <c r="U867" s="169"/>
      <c r="V867" s="169"/>
      <c r="W867" s="169"/>
      <c r="X867" s="169"/>
      <c r="Y867" s="169"/>
    </row>
    <row r="868" spans="1:25">
      <c r="A868" s="169"/>
      <c r="B868" s="169"/>
      <c r="C868" s="170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796"/>
      <c r="R868" s="169"/>
      <c r="S868" s="169"/>
      <c r="T868" s="169"/>
      <c r="U868" s="169"/>
      <c r="V868" s="169"/>
      <c r="W868" s="169"/>
      <c r="X868" s="169"/>
      <c r="Y868" s="169"/>
    </row>
    <row r="869" spans="1:25">
      <c r="A869" s="169"/>
      <c r="B869" s="169"/>
      <c r="C869" s="170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796"/>
      <c r="R869" s="169"/>
      <c r="S869" s="169"/>
      <c r="T869" s="169"/>
      <c r="U869" s="169"/>
      <c r="V869" s="169"/>
      <c r="W869" s="169"/>
      <c r="X869" s="169"/>
      <c r="Y869" s="169"/>
    </row>
    <row r="870" spans="1:25">
      <c r="A870" s="169"/>
      <c r="B870" s="169"/>
      <c r="C870" s="170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796"/>
      <c r="R870" s="169"/>
      <c r="S870" s="169"/>
      <c r="T870" s="169"/>
      <c r="U870" s="169"/>
      <c r="V870" s="169"/>
      <c r="W870" s="169"/>
      <c r="X870" s="169"/>
      <c r="Y870" s="169"/>
    </row>
    <row r="871" spans="1:25">
      <c r="A871" s="169"/>
      <c r="B871" s="169"/>
      <c r="C871" s="170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796"/>
      <c r="R871" s="169"/>
      <c r="S871" s="169"/>
      <c r="T871" s="169"/>
      <c r="U871" s="169"/>
      <c r="V871" s="169"/>
      <c r="W871" s="169"/>
      <c r="X871" s="169"/>
      <c r="Y871" s="169"/>
    </row>
    <row r="872" spans="1:25">
      <c r="A872" s="169"/>
      <c r="B872" s="169"/>
      <c r="C872" s="170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796"/>
      <c r="R872" s="169"/>
      <c r="S872" s="169"/>
      <c r="T872" s="169"/>
      <c r="U872" s="169"/>
      <c r="V872" s="169"/>
      <c r="W872" s="169"/>
      <c r="X872" s="169"/>
      <c r="Y872" s="169"/>
    </row>
    <row r="873" spans="1:25">
      <c r="A873" s="169"/>
      <c r="B873" s="169"/>
      <c r="C873" s="170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796"/>
      <c r="R873" s="169"/>
      <c r="S873" s="169"/>
      <c r="T873" s="169"/>
      <c r="U873" s="169"/>
      <c r="V873" s="169"/>
      <c r="W873" s="169"/>
      <c r="X873" s="169"/>
      <c r="Y873" s="169"/>
    </row>
    <row r="874" spans="1:25">
      <c r="A874" s="169"/>
      <c r="B874" s="169"/>
      <c r="C874" s="170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796"/>
      <c r="R874" s="169"/>
      <c r="S874" s="169"/>
      <c r="T874" s="169"/>
      <c r="U874" s="169"/>
      <c r="V874" s="169"/>
      <c r="W874" s="169"/>
      <c r="X874" s="169"/>
      <c r="Y874" s="169"/>
    </row>
    <row r="875" spans="1:25">
      <c r="A875" s="169"/>
      <c r="B875" s="169"/>
      <c r="C875" s="170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796"/>
      <c r="R875" s="169"/>
      <c r="S875" s="169"/>
      <c r="T875" s="169"/>
      <c r="U875" s="169"/>
      <c r="V875" s="169"/>
      <c r="W875" s="169"/>
      <c r="X875" s="169"/>
      <c r="Y875" s="169"/>
    </row>
    <row r="876" spans="1:25">
      <c r="A876" s="169"/>
      <c r="B876" s="169"/>
      <c r="C876" s="170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796"/>
      <c r="R876" s="169"/>
      <c r="S876" s="169"/>
      <c r="T876" s="169"/>
      <c r="U876" s="169"/>
      <c r="V876" s="169"/>
      <c r="W876" s="169"/>
      <c r="X876" s="169"/>
      <c r="Y876" s="169"/>
    </row>
    <row r="877" spans="1:25">
      <c r="A877" s="169"/>
      <c r="B877" s="169"/>
      <c r="C877" s="170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796"/>
      <c r="R877" s="169"/>
      <c r="S877" s="169"/>
      <c r="T877" s="169"/>
      <c r="U877" s="169"/>
      <c r="V877" s="169"/>
      <c r="W877" s="169"/>
      <c r="X877" s="169"/>
      <c r="Y877" s="169"/>
    </row>
    <row r="878" spans="1:25">
      <c r="A878" s="169"/>
      <c r="B878" s="169"/>
      <c r="C878" s="170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796"/>
      <c r="R878" s="169"/>
      <c r="S878" s="169"/>
      <c r="T878" s="169"/>
      <c r="U878" s="169"/>
      <c r="V878" s="169"/>
      <c r="W878" s="169"/>
      <c r="X878" s="169"/>
      <c r="Y878" s="169"/>
    </row>
    <row r="879" spans="1:25">
      <c r="A879" s="169"/>
      <c r="B879" s="169"/>
      <c r="C879" s="170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796"/>
      <c r="R879" s="169"/>
      <c r="S879" s="169"/>
      <c r="T879" s="169"/>
      <c r="U879" s="169"/>
      <c r="V879" s="169"/>
      <c r="W879" s="169"/>
      <c r="X879" s="169"/>
      <c r="Y879" s="169"/>
    </row>
    <row r="880" spans="1:25">
      <c r="A880" s="169"/>
      <c r="B880" s="169"/>
      <c r="C880" s="170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796"/>
      <c r="R880" s="169"/>
      <c r="S880" s="169"/>
      <c r="T880" s="169"/>
      <c r="U880" s="169"/>
      <c r="V880" s="169"/>
      <c r="W880" s="169"/>
      <c r="X880" s="169"/>
      <c r="Y880" s="169"/>
    </row>
    <row r="881" spans="1:25">
      <c r="A881" s="169"/>
      <c r="B881" s="169"/>
      <c r="C881" s="170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796"/>
      <c r="R881" s="169"/>
      <c r="S881" s="169"/>
      <c r="T881" s="169"/>
      <c r="U881" s="169"/>
      <c r="V881" s="169"/>
      <c r="W881" s="169"/>
      <c r="X881" s="169"/>
      <c r="Y881" s="169"/>
    </row>
    <row r="882" spans="1:25">
      <c r="A882" s="169"/>
      <c r="B882" s="169"/>
      <c r="C882" s="170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796"/>
      <c r="R882" s="169"/>
      <c r="S882" s="169"/>
      <c r="T882" s="169"/>
      <c r="U882" s="169"/>
      <c r="V882" s="169"/>
      <c r="W882" s="169"/>
      <c r="X882" s="169"/>
      <c r="Y882" s="169"/>
    </row>
    <row r="883" spans="1:25">
      <c r="A883" s="169"/>
      <c r="B883" s="169"/>
      <c r="C883" s="170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796"/>
      <c r="R883" s="169"/>
      <c r="S883" s="169"/>
      <c r="T883" s="169"/>
      <c r="U883" s="169"/>
      <c r="V883" s="169"/>
      <c r="W883" s="169"/>
      <c r="X883" s="169"/>
      <c r="Y883" s="169"/>
    </row>
    <row r="884" spans="1:25">
      <c r="A884" s="169"/>
      <c r="B884" s="169"/>
      <c r="C884" s="170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796"/>
      <c r="R884" s="169"/>
      <c r="S884" s="169"/>
      <c r="T884" s="169"/>
      <c r="U884" s="169"/>
      <c r="V884" s="169"/>
      <c r="W884" s="169"/>
      <c r="X884" s="169"/>
      <c r="Y884" s="169"/>
    </row>
    <row r="885" spans="1:25">
      <c r="A885" s="169"/>
      <c r="B885" s="169"/>
      <c r="C885" s="170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796"/>
      <c r="R885" s="169"/>
      <c r="S885" s="169"/>
      <c r="T885" s="169"/>
      <c r="U885" s="169"/>
      <c r="V885" s="169"/>
      <c r="W885" s="169"/>
      <c r="X885" s="169"/>
      <c r="Y885" s="169"/>
    </row>
    <row r="886" spans="1:25">
      <c r="A886" s="169"/>
      <c r="B886" s="169"/>
      <c r="C886" s="170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796"/>
      <c r="R886" s="169"/>
      <c r="S886" s="169"/>
      <c r="T886" s="169"/>
      <c r="U886" s="169"/>
      <c r="V886" s="169"/>
      <c r="W886" s="169"/>
      <c r="X886" s="169"/>
      <c r="Y886" s="169"/>
    </row>
    <row r="887" spans="1:25">
      <c r="A887" s="169"/>
      <c r="B887" s="169"/>
      <c r="C887" s="170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796"/>
      <c r="R887" s="169"/>
      <c r="S887" s="169"/>
      <c r="T887" s="169"/>
      <c r="U887" s="169"/>
      <c r="V887" s="169"/>
      <c r="W887" s="169"/>
      <c r="X887" s="169"/>
      <c r="Y887" s="169"/>
    </row>
    <row r="888" spans="1:25">
      <c r="A888" s="169"/>
      <c r="B888" s="169"/>
      <c r="C888" s="170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796"/>
      <c r="R888" s="169"/>
      <c r="S888" s="169"/>
      <c r="T888" s="169"/>
      <c r="U888" s="169"/>
      <c r="V888" s="169"/>
      <c r="W888" s="169"/>
      <c r="X888" s="169"/>
      <c r="Y888" s="169"/>
    </row>
    <row r="889" spans="1:25">
      <c r="A889" s="169"/>
      <c r="B889" s="169"/>
      <c r="C889" s="170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796"/>
      <c r="R889" s="169"/>
      <c r="S889" s="169"/>
      <c r="T889" s="169"/>
      <c r="U889" s="169"/>
      <c r="V889" s="169"/>
      <c r="W889" s="169"/>
      <c r="X889" s="169"/>
      <c r="Y889" s="169"/>
    </row>
    <row r="890" spans="1:25">
      <c r="A890" s="169"/>
      <c r="B890" s="169"/>
      <c r="C890" s="170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796"/>
      <c r="R890" s="169"/>
      <c r="S890" s="169"/>
      <c r="T890" s="169"/>
      <c r="U890" s="169"/>
      <c r="V890" s="169"/>
      <c r="W890" s="169"/>
      <c r="X890" s="169"/>
      <c r="Y890" s="169"/>
    </row>
    <row r="891" spans="1:25">
      <c r="A891" s="169"/>
      <c r="B891" s="169"/>
      <c r="C891" s="170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796"/>
      <c r="R891" s="169"/>
      <c r="S891" s="169"/>
      <c r="T891" s="169"/>
      <c r="U891" s="169"/>
      <c r="V891" s="169"/>
      <c r="W891" s="169"/>
      <c r="X891" s="169"/>
      <c r="Y891" s="169"/>
    </row>
    <row r="892" spans="1:25">
      <c r="A892" s="169"/>
      <c r="B892" s="169"/>
      <c r="C892" s="170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796"/>
      <c r="R892" s="169"/>
      <c r="S892" s="169"/>
      <c r="T892" s="169"/>
      <c r="U892" s="169"/>
      <c r="V892" s="169"/>
      <c r="W892" s="169"/>
      <c r="X892" s="169"/>
      <c r="Y892" s="169"/>
    </row>
    <row r="893" spans="1:25">
      <c r="A893" s="169"/>
      <c r="B893" s="169"/>
      <c r="C893" s="170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796"/>
      <c r="R893" s="169"/>
      <c r="S893" s="169"/>
      <c r="T893" s="169"/>
      <c r="U893" s="169"/>
      <c r="V893" s="169"/>
      <c r="W893" s="169"/>
      <c r="X893" s="169"/>
      <c r="Y893" s="169"/>
    </row>
    <row r="894" spans="1:25">
      <c r="A894" s="169"/>
      <c r="B894" s="169"/>
      <c r="C894" s="170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796"/>
      <c r="R894" s="169"/>
      <c r="S894" s="169"/>
      <c r="T894" s="169"/>
      <c r="U894" s="169"/>
      <c r="V894" s="169"/>
      <c r="W894" s="169"/>
      <c r="X894" s="169"/>
      <c r="Y894" s="169"/>
    </row>
    <row r="895" spans="1:25">
      <c r="A895" s="169"/>
      <c r="B895" s="169"/>
      <c r="C895" s="170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796"/>
      <c r="R895" s="169"/>
      <c r="S895" s="169"/>
      <c r="T895" s="169"/>
      <c r="U895" s="169"/>
      <c r="V895" s="169"/>
      <c r="W895" s="169"/>
      <c r="X895" s="169"/>
      <c r="Y895" s="169"/>
    </row>
    <row r="896" spans="1:25">
      <c r="A896" s="169"/>
      <c r="B896" s="169"/>
      <c r="C896" s="170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796"/>
      <c r="R896" s="169"/>
      <c r="S896" s="169"/>
      <c r="T896" s="169"/>
      <c r="U896" s="169"/>
      <c r="V896" s="169"/>
      <c r="W896" s="169"/>
      <c r="X896" s="169"/>
      <c r="Y896" s="169"/>
    </row>
    <row r="897" spans="1:25">
      <c r="A897" s="169"/>
      <c r="B897" s="169"/>
      <c r="C897" s="170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796"/>
      <c r="R897" s="169"/>
      <c r="S897" s="169"/>
      <c r="T897" s="169"/>
      <c r="U897" s="169"/>
      <c r="V897" s="169"/>
      <c r="W897" s="169"/>
      <c r="X897" s="169"/>
      <c r="Y897" s="169"/>
    </row>
    <row r="898" spans="1:25">
      <c r="A898" s="169"/>
      <c r="B898" s="169"/>
      <c r="C898" s="170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796"/>
      <c r="R898" s="169"/>
      <c r="S898" s="169"/>
      <c r="T898" s="169"/>
      <c r="U898" s="169"/>
      <c r="V898" s="169"/>
      <c r="W898" s="169"/>
      <c r="X898" s="169"/>
      <c r="Y898" s="169"/>
    </row>
    <row r="899" spans="1:25">
      <c r="A899" s="169"/>
      <c r="B899" s="169"/>
      <c r="C899" s="170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796"/>
      <c r="R899" s="169"/>
      <c r="S899" s="169"/>
      <c r="T899" s="169"/>
      <c r="U899" s="169"/>
      <c r="V899" s="169"/>
      <c r="W899" s="169"/>
      <c r="X899" s="169"/>
      <c r="Y899" s="169"/>
    </row>
    <row r="900" spans="1:25">
      <c r="A900" s="169"/>
      <c r="B900" s="169"/>
      <c r="C900" s="170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796"/>
      <c r="R900" s="169"/>
      <c r="S900" s="169"/>
      <c r="T900" s="169"/>
      <c r="U900" s="169"/>
      <c r="V900" s="169"/>
      <c r="W900" s="169"/>
      <c r="X900" s="169"/>
      <c r="Y900" s="169"/>
    </row>
    <row r="901" spans="1:25">
      <c r="A901" s="169"/>
      <c r="B901" s="169"/>
      <c r="C901" s="170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796"/>
      <c r="R901" s="169"/>
      <c r="S901" s="169"/>
      <c r="T901" s="169"/>
      <c r="U901" s="169"/>
      <c r="V901" s="169"/>
      <c r="W901" s="169"/>
      <c r="X901" s="169"/>
      <c r="Y901" s="169"/>
    </row>
    <row r="902" spans="1:25">
      <c r="A902" s="169"/>
      <c r="B902" s="169"/>
      <c r="C902" s="170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796"/>
      <c r="R902" s="169"/>
      <c r="S902" s="169"/>
      <c r="T902" s="169"/>
      <c r="U902" s="169"/>
      <c r="V902" s="169"/>
      <c r="W902" s="169"/>
      <c r="X902" s="169"/>
      <c r="Y902" s="169"/>
    </row>
    <row r="903" spans="1:25">
      <c r="A903" s="169"/>
      <c r="B903" s="169"/>
      <c r="C903" s="170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796"/>
      <c r="R903" s="169"/>
      <c r="S903" s="169"/>
      <c r="T903" s="169"/>
      <c r="U903" s="169"/>
      <c r="V903" s="169"/>
      <c r="W903" s="169"/>
      <c r="X903" s="169"/>
      <c r="Y903" s="169"/>
    </row>
    <row r="904" spans="1:25">
      <c r="A904" s="169"/>
      <c r="B904" s="169"/>
      <c r="C904" s="170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796"/>
      <c r="R904" s="169"/>
      <c r="S904" s="169"/>
      <c r="T904" s="169"/>
      <c r="U904" s="169"/>
      <c r="V904" s="169"/>
      <c r="W904" s="169"/>
      <c r="X904" s="169"/>
      <c r="Y904" s="169"/>
    </row>
    <row r="905" spans="1:25">
      <c r="A905" s="169"/>
      <c r="B905" s="169"/>
      <c r="C905" s="170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796"/>
      <c r="R905" s="169"/>
      <c r="S905" s="169"/>
      <c r="T905" s="169"/>
      <c r="U905" s="169"/>
      <c r="V905" s="169"/>
      <c r="W905" s="169"/>
      <c r="X905" s="169"/>
      <c r="Y905" s="169"/>
    </row>
    <row r="906" spans="1:25">
      <c r="A906" s="169"/>
      <c r="B906" s="169"/>
      <c r="C906" s="170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796"/>
      <c r="R906" s="169"/>
      <c r="S906" s="169"/>
      <c r="T906" s="169"/>
      <c r="U906" s="169"/>
      <c r="V906" s="169"/>
      <c r="W906" s="169"/>
      <c r="X906" s="169"/>
      <c r="Y906" s="169"/>
    </row>
    <row r="907" spans="1:25">
      <c r="A907" s="169"/>
      <c r="B907" s="169"/>
      <c r="C907" s="170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796"/>
      <c r="R907" s="169"/>
      <c r="S907" s="169"/>
      <c r="T907" s="169"/>
      <c r="U907" s="169"/>
      <c r="V907" s="169"/>
      <c r="W907" s="169"/>
      <c r="X907" s="169"/>
      <c r="Y907" s="169"/>
    </row>
    <row r="908" spans="1:25">
      <c r="A908" s="169"/>
      <c r="B908" s="169"/>
      <c r="C908" s="170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796"/>
      <c r="R908" s="169"/>
      <c r="S908" s="169"/>
      <c r="T908" s="169"/>
      <c r="U908" s="169"/>
      <c r="V908" s="169"/>
      <c r="W908" s="169"/>
      <c r="X908" s="169"/>
      <c r="Y908" s="169"/>
    </row>
    <row r="909" spans="1:25">
      <c r="A909" s="169"/>
      <c r="B909" s="169"/>
      <c r="C909" s="170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796"/>
      <c r="R909" s="169"/>
      <c r="S909" s="169"/>
      <c r="T909" s="169"/>
      <c r="U909" s="169"/>
      <c r="V909" s="169"/>
      <c r="W909" s="169"/>
      <c r="X909" s="169"/>
      <c r="Y909" s="169"/>
    </row>
    <row r="910" spans="1:25">
      <c r="A910" s="169"/>
      <c r="B910" s="169"/>
      <c r="C910" s="170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796"/>
      <c r="R910" s="169"/>
      <c r="S910" s="169"/>
      <c r="T910" s="169"/>
      <c r="U910" s="169"/>
      <c r="V910" s="169"/>
      <c r="W910" s="169"/>
      <c r="X910" s="169"/>
      <c r="Y910" s="169"/>
    </row>
    <row r="911" spans="1:25">
      <c r="A911" s="169"/>
      <c r="B911" s="169"/>
      <c r="C911" s="170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796"/>
      <c r="R911" s="169"/>
      <c r="S911" s="169"/>
      <c r="T911" s="169"/>
      <c r="U911" s="169"/>
      <c r="V911" s="169"/>
      <c r="W911" s="169"/>
      <c r="X911" s="169"/>
      <c r="Y911" s="169"/>
    </row>
    <row r="912" spans="1:25">
      <c r="A912" s="169"/>
      <c r="B912" s="169"/>
      <c r="C912" s="170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796"/>
      <c r="R912" s="169"/>
      <c r="S912" s="169"/>
      <c r="T912" s="169"/>
      <c r="U912" s="169"/>
      <c r="V912" s="169"/>
      <c r="W912" s="169"/>
      <c r="X912" s="169"/>
      <c r="Y912" s="169"/>
    </row>
    <row r="913" spans="1:25">
      <c r="A913" s="169"/>
      <c r="B913" s="169"/>
      <c r="C913" s="170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796"/>
      <c r="R913" s="169"/>
      <c r="S913" s="169"/>
      <c r="T913" s="169"/>
      <c r="U913" s="169"/>
      <c r="V913" s="169"/>
      <c r="W913" s="169"/>
      <c r="X913" s="169"/>
      <c r="Y913" s="169"/>
    </row>
    <row r="914" spans="1:25">
      <c r="A914" s="169"/>
      <c r="B914" s="169"/>
      <c r="C914" s="170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796"/>
      <c r="R914" s="169"/>
      <c r="S914" s="169"/>
      <c r="T914" s="169"/>
      <c r="U914" s="169"/>
      <c r="V914" s="169"/>
      <c r="W914" s="169"/>
      <c r="X914" s="169"/>
      <c r="Y914" s="169"/>
    </row>
    <row r="915" spans="1:25">
      <c r="A915" s="169"/>
      <c r="B915" s="169"/>
      <c r="C915" s="170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796"/>
      <c r="R915" s="169"/>
      <c r="S915" s="169"/>
      <c r="T915" s="169"/>
      <c r="U915" s="169"/>
      <c r="V915" s="169"/>
      <c r="W915" s="169"/>
      <c r="X915" s="169"/>
      <c r="Y915" s="169"/>
    </row>
    <row r="916" spans="1:25">
      <c r="A916" s="169"/>
      <c r="B916" s="169"/>
      <c r="C916" s="170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796"/>
      <c r="R916" s="169"/>
      <c r="S916" s="169"/>
      <c r="T916" s="169"/>
      <c r="U916" s="169"/>
      <c r="V916" s="169"/>
      <c r="W916" s="169"/>
      <c r="X916" s="169"/>
      <c r="Y916" s="169"/>
    </row>
    <row r="917" spans="1:25">
      <c r="A917" s="169"/>
      <c r="B917" s="169"/>
      <c r="C917" s="170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796"/>
      <c r="R917" s="169"/>
      <c r="S917" s="169"/>
      <c r="T917" s="169"/>
      <c r="U917" s="169"/>
      <c r="V917" s="169"/>
      <c r="W917" s="169"/>
      <c r="X917" s="169"/>
      <c r="Y917" s="169"/>
    </row>
    <row r="918" spans="1:25">
      <c r="A918" s="169"/>
      <c r="B918" s="169"/>
      <c r="C918" s="170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796"/>
      <c r="R918" s="169"/>
      <c r="S918" s="169"/>
      <c r="T918" s="169"/>
      <c r="U918" s="169"/>
      <c r="V918" s="169"/>
      <c r="W918" s="169"/>
      <c r="X918" s="169"/>
      <c r="Y918" s="169"/>
    </row>
    <row r="919" spans="1:25">
      <c r="A919" s="169"/>
      <c r="B919" s="169"/>
      <c r="C919" s="170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796"/>
      <c r="R919" s="169"/>
      <c r="S919" s="169"/>
      <c r="T919" s="169"/>
      <c r="U919" s="169"/>
      <c r="V919" s="169"/>
      <c r="W919" s="169"/>
      <c r="X919" s="169"/>
      <c r="Y919" s="169"/>
    </row>
    <row r="920" spans="1:25">
      <c r="A920" s="169"/>
      <c r="B920" s="169"/>
      <c r="C920" s="170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796"/>
      <c r="R920" s="169"/>
      <c r="S920" s="169"/>
      <c r="T920" s="169"/>
      <c r="U920" s="169"/>
      <c r="V920" s="169"/>
      <c r="W920" s="169"/>
      <c r="X920" s="169"/>
      <c r="Y920" s="169"/>
    </row>
    <row r="921" spans="1:25">
      <c r="A921" s="169"/>
      <c r="B921" s="169"/>
      <c r="C921" s="170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796"/>
      <c r="R921" s="169"/>
      <c r="S921" s="169"/>
      <c r="T921" s="169"/>
      <c r="U921" s="169"/>
      <c r="V921" s="169"/>
      <c r="W921" s="169"/>
      <c r="X921" s="169"/>
      <c r="Y921" s="169"/>
    </row>
    <row r="922" spans="1:25">
      <c r="A922" s="169"/>
      <c r="B922" s="169"/>
      <c r="C922" s="170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796"/>
      <c r="R922" s="169"/>
      <c r="S922" s="169"/>
      <c r="T922" s="169"/>
      <c r="U922" s="169"/>
      <c r="V922" s="169"/>
      <c r="W922" s="169"/>
      <c r="X922" s="169"/>
      <c r="Y922" s="169"/>
    </row>
    <row r="923" spans="1:25">
      <c r="A923" s="169"/>
      <c r="B923" s="169"/>
      <c r="C923" s="170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796"/>
      <c r="R923" s="169"/>
      <c r="S923" s="169"/>
      <c r="T923" s="169"/>
      <c r="U923" s="169"/>
      <c r="V923" s="169"/>
      <c r="W923" s="169"/>
      <c r="X923" s="169"/>
      <c r="Y923" s="169"/>
    </row>
    <row r="924" spans="1:25">
      <c r="A924" s="169"/>
      <c r="B924" s="169"/>
      <c r="C924" s="170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796"/>
      <c r="R924" s="169"/>
      <c r="S924" s="169"/>
      <c r="T924" s="169"/>
      <c r="U924" s="169"/>
      <c r="V924" s="169"/>
      <c r="W924" s="169"/>
      <c r="X924" s="169"/>
      <c r="Y924" s="169"/>
    </row>
    <row r="925" spans="1:25">
      <c r="A925" s="169"/>
      <c r="B925" s="169"/>
      <c r="C925" s="170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796"/>
      <c r="R925" s="169"/>
      <c r="S925" s="169"/>
      <c r="T925" s="169"/>
      <c r="U925" s="169"/>
      <c r="V925" s="169"/>
      <c r="W925" s="169"/>
      <c r="X925" s="169"/>
      <c r="Y925" s="169"/>
    </row>
    <row r="926" spans="1:25">
      <c r="A926" s="169"/>
      <c r="B926" s="169"/>
      <c r="C926" s="170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796"/>
      <c r="R926" s="169"/>
      <c r="S926" s="169"/>
      <c r="T926" s="169"/>
      <c r="U926" s="169"/>
      <c r="V926" s="169"/>
      <c r="W926" s="169"/>
      <c r="X926" s="169"/>
      <c r="Y926" s="169"/>
    </row>
    <row r="927" spans="1:25">
      <c r="A927" s="169"/>
      <c r="B927" s="169"/>
      <c r="C927" s="170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796"/>
      <c r="R927" s="169"/>
      <c r="S927" s="169"/>
      <c r="T927" s="169"/>
      <c r="U927" s="169"/>
      <c r="V927" s="169"/>
      <c r="W927" s="169"/>
      <c r="X927" s="169"/>
      <c r="Y927" s="169"/>
    </row>
    <row r="928" spans="1:25">
      <c r="A928" s="169"/>
      <c r="B928" s="169"/>
      <c r="C928" s="170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796"/>
      <c r="R928" s="169"/>
      <c r="S928" s="169"/>
      <c r="T928" s="169"/>
      <c r="U928" s="169"/>
      <c r="V928" s="169"/>
      <c r="W928" s="169"/>
      <c r="X928" s="169"/>
      <c r="Y928" s="169"/>
    </row>
    <row r="929" spans="1:25">
      <c r="A929" s="169"/>
      <c r="B929" s="169"/>
      <c r="C929" s="170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796"/>
      <c r="R929" s="169"/>
      <c r="S929" s="169"/>
      <c r="T929" s="169"/>
      <c r="U929" s="169"/>
      <c r="V929" s="169"/>
      <c r="W929" s="169"/>
      <c r="X929" s="169"/>
      <c r="Y929" s="169"/>
    </row>
    <row r="930" spans="1:25">
      <c r="A930" s="169"/>
      <c r="B930" s="169"/>
      <c r="C930" s="170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796"/>
      <c r="R930" s="169"/>
      <c r="S930" s="169"/>
      <c r="T930" s="169"/>
      <c r="U930" s="169"/>
      <c r="V930" s="169"/>
      <c r="W930" s="169"/>
      <c r="X930" s="169"/>
      <c r="Y930" s="169"/>
    </row>
    <row r="931" spans="1:25">
      <c r="A931" s="169"/>
      <c r="B931" s="169"/>
      <c r="C931" s="170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796"/>
      <c r="R931" s="169"/>
      <c r="S931" s="169"/>
      <c r="T931" s="169"/>
      <c r="U931" s="169"/>
      <c r="V931" s="169"/>
      <c r="W931" s="169"/>
      <c r="X931" s="169"/>
      <c r="Y931" s="169"/>
    </row>
    <row r="932" spans="1:25">
      <c r="A932" s="169"/>
      <c r="B932" s="169"/>
      <c r="C932" s="170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796"/>
      <c r="R932" s="169"/>
      <c r="S932" s="169"/>
      <c r="T932" s="169"/>
      <c r="U932" s="169"/>
      <c r="V932" s="169"/>
      <c r="W932" s="169"/>
      <c r="X932" s="169"/>
      <c r="Y932" s="169"/>
    </row>
    <row r="933" spans="1:25">
      <c r="A933" s="169"/>
      <c r="B933" s="169"/>
      <c r="C933" s="170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796"/>
      <c r="R933" s="169"/>
      <c r="S933" s="169"/>
      <c r="T933" s="169"/>
      <c r="U933" s="169"/>
      <c r="V933" s="169"/>
      <c r="W933" s="169"/>
      <c r="X933" s="169"/>
      <c r="Y933" s="169"/>
    </row>
    <row r="934" spans="1:25">
      <c r="A934" s="169"/>
      <c r="B934" s="169"/>
      <c r="C934" s="170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796"/>
      <c r="R934" s="169"/>
      <c r="S934" s="169"/>
      <c r="T934" s="169"/>
      <c r="U934" s="169"/>
      <c r="V934" s="169"/>
      <c r="W934" s="169"/>
      <c r="X934" s="169"/>
      <c r="Y934" s="169"/>
    </row>
    <row r="935" spans="1:25">
      <c r="A935" s="169"/>
      <c r="B935" s="169"/>
      <c r="C935" s="170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796"/>
      <c r="R935" s="169"/>
      <c r="S935" s="169"/>
      <c r="T935" s="169"/>
      <c r="U935" s="169"/>
      <c r="V935" s="169"/>
      <c r="W935" s="169"/>
      <c r="X935" s="169"/>
      <c r="Y935" s="169"/>
    </row>
    <row r="936" spans="1:25">
      <c r="A936" s="169"/>
      <c r="B936" s="169"/>
      <c r="C936" s="170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796"/>
      <c r="R936" s="169"/>
      <c r="S936" s="169"/>
      <c r="T936" s="169"/>
      <c r="U936" s="169"/>
      <c r="V936" s="169"/>
      <c r="W936" s="169"/>
      <c r="X936" s="169"/>
      <c r="Y936" s="169"/>
    </row>
    <row r="937" spans="1:25">
      <c r="A937" s="169"/>
      <c r="B937" s="169"/>
      <c r="C937" s="170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796"/>
      <c r="R937" s="169"/>
      <c r="S937" s="169"/>
      <c r="T937" s="169"/>
      <c r="U937" s="169"/>
      <c r="V937" s="169"/>
      <c r="W937" s="169"/>
      <c r="X937" s="169"/>
      <c r="Y937" s="169"/>
    </row>
    <row r="938" spans="1:25">
      <c r="A938" s="169"/>
      <c r="B938" s="169"/>
      <c r="C938" s="170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796"/>
      <c r="R938" s="169"/>
      <c r="S938" s="169"/>
      <c r="T938" s="169"/>
      <c r="U938" s="169"/>
      <c r="V938" s="169"/>
      <c r="W938" s="169"/>
      <c r="X938" s="169"/>
      <c r="Y938" s="169"/>
    </row>
    <row r="939" spans="1:25">
      <c r="A939" s="169"/>
      <c r="B939" s="169"/>
      <c r="C939" s="170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796"/>
      <c r="R939" s="169"/>
      <c r="S939" s="169"/>
      <c r="T939" s="169"/>
      <c r="U939" s="169"/>
      <c r="V939" s="169"/>
      <c r="W939" s="169"/>
      <c r="X939" s="169"/>
      <c r="Y939" s="169"/>
    </row>
    <row r="940" spans="1:25">
      <c r="A940" s="169"/>
      <c r="B940" s="169"/>
      <c r="C940" s="170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796"/>
      <c r="R940" s="169"/>
      <c r="S940" s="169"/>
      <c r="T940" s="169"/>
      <c r="U940" s="169"/>
      <c r="V940" s="169"/>
      <c r="W940" s="169"/>
      <c r="X940" s="169"/>
      <c r="Y940" s="169"/>
    </row>
    <row r="941" spans="1:25">
      <c r="A941" s="169"/>
      <c r="B941" s="169"/>
      <c r="C941" s="170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796"/>
      <c r="R941" s="169"/>
      <c r="S941" s="169"/>
      <c r="T941" s="169"/>
      <c r="U941" s="169"/>
      <c r="V941" s="169"/>
      <c r="W941" s="169"/>
      <c r="X941" s="169"/>
      <c r="Y941" s="169"/>
    </row>
    <row r="942" spans="1:25">
      <c r="A942" s="169"/>
      <c r="B942" s="169"/>
      <c r="C942" s="170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796"/>
      <c r="R942" s="169"/>
      <c r="S942" s="169"/>
      <c r="T942" s="169"/>
      <c r="U942" s="169"/>
      <c r="V942" s="169"/>
      <c r="W942" s="169"/>
      <c r="X942" s="169"/>
      <c r="Y942" s="169"/>
    </row>
    <row r="943" spans="1:25">
      <c r="A943" s="169"/>
      <c r="B943" s="169"/>
      <c r="C943" s="170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796"/>
      <c r="R943" s="169"/>
      <c r="S943" s="169"/>
      <c r="T943" s="169"/>
      <c r="U943" s="169"/>
      <c r="V943" s="169"/>
      <c r="W943" s="169"/>
      <c r="X943" s="169"/>
      <c r="Y943" s="169"/>
    </row>
    <row r="944" spans="1:25">
      <c r="A944" s="169"/>
      <c r="B944" s="169"/>
      <c r="C944" s="170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796"/>
      <c r="R944" s="169"/>
      <c r="S944" s="169"/>
      <c r="T944" s="169"/>
      <c r="U944" s="169"/>
      <c r="V944" s="169"/>
      <c r="W944" s="169"/>
      <c r="X944" s="169"/>
      <c r="Y944" s="169"/>
    </row>
    <row r="945" spans="1:25">
      <c r="A945" s="169"/>
      <c r="B945" s="169"/>
      <c r="C945" s="170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796"/>
      <c r="R945" s="169"/>
      <c r="S945" s="169"/>
      <c r="T945" s="169"/>
      <c r="U945" s="169"/>
      <c r="V945" s="169"/>
      <c r="W945" s="169"/>
      <c r="X945" s="169"/>
      <c r="Y945" s="169"/>
    </row>
    <row r="946" spans="1:25">
      <c r="A946" s="169"/>
      <c r="B946" s="169"/>
      <c r="C946" s="170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796"/>
      <c r="R946" s="169"/>
      <c r="S946" s="169"/>
      <c r="T946" s="169"/>
      <c r="U946" s="169"/>
      <c r="V946" s="169"/>
      <c r="W946" s="169"/>
      <c r="X946" s="169"/>
      <c r="Y946" s="169"/>
    </row>
    <row r="947" spans="1:25">
      <c r="A947" s="169"/>
      <c r="B947" s="169"/>
      <c r="C947" s="170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796"/>
      <c r="R947" s="169"/>
      <c r="S947" s="169"/>
      <c r="T947" s="169"/>
      <c r="U947" s="169"/>
      <c r="V947" s="169"/>
      <c r="W947" s="169"/>
      <c r="X947" s="169"/>
      <c r="Y947" s="169"/>
    </row>
    <row r="948" spans="1:25">
      <c r="A948" s="169"/>
      <c r="B948" s="169"/>
      <c r="C948" s="170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796"/>
      <c r="R948" s="169"/>
      <c r="S948" s="169"/>
      <c r="T948" s="169"/>
      <c r="U948" s="169"/>
      <c r="V948" s="169"/>
      <c r="W948" s="169"/>
      <c r="X948" s="169"/>
      <c r="Y948" s="169"/>
    </row>
    <row r="949" spans="1:25">
      <c r="A949" s="169"/>
      <c r="B949" s="169"/>
      <c r="C949" s="170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796"/>
      <c r="R949" s="169"/>
      <c r="S949" s="169"/>
      <c r="T949" s="169"/>
      <c r="U949" s="169"/>
      <c r="V949" s="169"/>
      <c r="W949" s="169"/>
      <c r="X949" s="169"/>
      <c r="Y949" s="169"/>
    </row>
    <row r="950" spans="1:25">
      <c r="A950" s="169"/>
      <c r="B950" s="169"/>
      <c r="C950" s="170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796"/>
      <c r="R950" s="169"/>
      <c r="S950" s="169"/>
      <c r="T950" s="169"/>
      <c r="U950" s="169"/>
      <c r="V950" s="169"/>
      <c r="W950" s="169"/>
      <c r="X950" s="169"/>
      <c r="Y950" s="169"/>
    </row>
    <row r="951" spans="1:25">
      <c r="A951" s="169"/>
      <c r="B951" s="169"/>
      <c r="C951" s="170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796"/>
      <c r="R951" s="169"/>
      <c r="S951" s="169"/>
      <c r="T951" s="169"/>
      <c r="U951" s="169"/>
      <c r="V951" s="169"/>
      <c r="W951" s="169"/>
      <c r="X951" s="169"/>
      <c r="Y951" s="169"/>
    </row>
    <row r="952" spans="1:25">
      <c r="A952" s="169"/>
      <c r="B952" s="169"/>
      <c r="C952" s="170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796"/>
      <c r="R952" s="169"/>
      <c r="S952" s="169"/>
      <c r="T952" s="169"/>
      <c r="U952" s="169"/>
      <c r="V952" s="169"/>
      <c r="W952" s="169"/>
      <c r="X952" s="169"/>
      <c r="Y952" s="169"/>
    </row>
    <row r="953" spans="1:25">
      <c r="A953" s="169"/>
      <c r="B953" s="169"/>
      <c r="C953" s="170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796"/>
      <c r="R953" s="169"/>
      <c r="S953" s="169"/>
      <c r="T953" s="169"/>
      <c r="U953" s="169"/>
      <c r="V953" s="169"/>
      <c r="W953" s="169"/>
      <c r="X953" s="169"/>
      <c r="Y953" s="169"/>
    </row>
    <row r="954" spans="1:25">
      <c r="A954" s="169"/>
      <c r="B954" s="169"/>
      <c r="C954" s="170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796"/>
      <c r="R954" s="169"/>
      <c r="S954" s="169"/>
      <c r="T954" s="169"/>
      <c r="U954" s="169"/>
      <c r="V954" s="169"/>
      <c r="W954" s="169"/>
      <c r="X954" s="169"/>
      <c r="Y954" s="169"/>
    </row>
    <row r="955" spans="1:25">
      <c r="A955" s="169"/>
      <c r="B955" s="169"/>
      <c r="C955" s="170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796"/>
      <c r="R955" s="169"/>
      <c r="S955" s="169"/>
      <c r="T955" s="169"/>
      <c r="U955" s="169"/>
      <c r="V955" s="169"/>
      <c r="W955" s="169"/>
      <c r="X955" s="169"/>
      <c r="Y955" s="169"/>
    </row>
    <row r="956" spans="1:25">
      <c r="A956" s="169"/>
      <c r="B956" s="169"/>
      <c r="C956" s="170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796"/>
      <c r="R956" s="169"/>
      <c r="S956" s="169"/>
      <c r="T956" s="169"/>
      <c r="U956" s="169"/>
      <c r="V956" s="169"/>
      <c r="W956" s="169"/>
      <c r="X956" s="169"/>
      <c r="Y956" s="169"/>
    </row>
    <row r="957" spans="1:25">
      <c r="A957" s="169"/>
      <c r="B957" s="169"/>
      <c r="C957" s="170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796"/>
      <c r="R957" s="169"/>
      <c r="S957" s="169"/>
      <c r="T957" s="169"/>
      <c r="U957" s="169"/>
      <c r="V957" s="169"/>
      <c r="W957" s="169"/>
      <c r="X957" s="169"/>
      <c r="Y957" s="169"/>
    </row>
    <row r="958" spans="1:25">
      <c r="A958" s="169"/>
      <c r="B958" s="169"/>
      <c r="C958" s="170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796"/>
      <c r="R958" s="169"/>
      <c r="S958" s="169"/>
      <c r="T958" s="169"/>
      <c r="U958" s="169"/>
      <c r="V958" s="169"/>
      <c r="W958" s="169"/>
      <c r="X958" s="169"/>
      <c r="Y958" s="169"/>
    </row>
    <row r="959" spans="1:25">
      <c r="A959" s="169"/>
      <c r="B959" s="169"/>
      <c r="C959" s="170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796"/>
      <c r="R959" s="169"/>
      <c r="S959" s="169"/>
      <c r="T959" s="169"/>
      <c r="U959" s="169"/>
      <c r="V959" s="169"/>
      <c r="W959" s="169"/>
      <c r="X959" s="169"/>
      <c r="Y959" s="169"/>
    </row>
    <row r="960" spans="1:25">
      <c r="A960" s="169"/>
      <c r="B960" s="169"/>
      <c r="C960" s="170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796"/>
      <c r="R960" s="169"/>
      <c r="S960" s="169"/>
      <c r="T960" s="169"/>
      <c r="U960" s="169"/>
      <c r="V960" s="169"/>
      <c r="W960" s="169"/>
      <c r="X960" s="169"/>
      <c r="Y960" s="169"/>
    </row>
    <row r="961" spans="1:25">
      <c r="A961" s="169"/>
      <c r="B961" s="169"/>
      <c r="C961" s="170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796"/>
      <c r="R961" s="169"/>
      <c r="S961" s="169"/>
      <c r="T961" s="169"/>
      <c r="U961" s="169"/>
      <c r="V961" s="169"/>
      <c r="W961" s="169"/>
      <c r="X961" s="169"/>
      <c r="Y961" s="169"/>
    </row>
    <row r="962" spans="1:25">
      <c r="A962" s="169"/>
      <c r="B962" s="169"/>
      <c r="C962" s="170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796"/>
      <c r="R962" s="169"/>
      <c r="S962" s="169"/>
      <c r="T962" s="169"/>
      <c r="U962" s="169"/>
      <c r="V962" s="169"/>
      <c r="W962" s="169"/>
      <c r="X962" s="169"/>
      <c r="Y962" s="169"/>
    </row>
    <row r="963" spans="1:25">
      <c r="A963" s="169"/>
      <c r="B963" s="169"/>
      <c r="C963" s="170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796"/>
      <c r="R963" s="169"/>
      <c r="S963" s="169"/>
      <c r="T963" s="169"/>
      <c r="U963" s="169"/>
      <c r="V963" s="169"/>
      <c r="W963" s="169"/>
      <c r="X963" s="169"/>
      <c r="Y963" s="169"/>
    </row>
    <row r="964" spans="1:25">
      <c r="A964" s="169"/>
      <c r="B964" s="169"/>
      <c r="C964" s="170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796"/>
      <c r="R964" s="169"/>
      <c r="S964" s="169"/>
      <c r="T964" s="169"/>
      <c r="U964" s="169"/>
      <c r="V964" s="169"/>
      <c r="W964" s="169"/>
      <c r="X964" s="169"/>
      <c r="Y964" s="169"/>
    </row>
    <row r="965" spans="1:25">
      <c r="A965" s="169"/>
      <c r="B965" s="169"/>
      <c r="C965" s="170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796"/>
      <c r="R965" s="169"/>
      <c r="S965" s="169"/>
      <c r="T965" s="169"/>
      <c r="U965" s="169"/>
      <c r="V965" s="169"/>
      <c r="W965" s="169"/>
      <c r="X965" s="169"/>
      <c r="Y965" s="169"/>
    </row>
    <row r="966" spans="1:25">
      <c r="A966" s="169"/>
      <c r="B966" s="169"/>
      <c r="C966" s="170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796"/>
      <c r="R966" s="169"/>
      <c r="S966" s="169"/>
      <c r="T966" s="169"/>
      <c r="U966" s="169"/>
      <c r="V966" s="169"/>
      <c r="W966" s="169"/>
      <c r="X966" s="169"/>
      <c r="Y966" s="169"/>
    </row>
    <row r="967" spans="1:25">
      <c r="A967" s="169"/>
      <c r="B967" s="169"/>
      <c r="C967" s="170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796"/>
      <c r="R967" s="169"/>
      <c r="S967" s="169"/>
      <c r="T967" s="169"/>
      <c r="U967" s="169"/>
      <c r="V967" s="169"/>
      <c r="W967" s="169"/>
      <c r="X967" s="169"/>
      <c r="Y967" s="169"/>
    </row>
    <row r="968" spans="1:25">
      <c r="A968" s="169"/>
      <c r="B968" s="169"/>
      <c r="C968" s="170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796"/>
      <c r="R968" s="169"/>
      <c r="S968" s="169"/>
      <c r="T968" s="169"/>
      <c r="U968" s="169"/>
      <c r="V968" s="169"/>
      <c r="W968" s="169"/>
      <c r="X968" s="169"/>
      <c r="Y968" s="169"/>
    </row>
    <row r="969" spans="1:25">
      <c r="A969" s="169"/>
      <c r="B969" s="169"/>
      <c r="C969" s="170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796"/>
      <c r="R969" s="169"/>
      <c r="S969" s="169"/>
      <c r="T969" s="169"/>
      <c r="U969" s="169"/>
      <c r="V969" s="169"/>
      <c r="W969" s="169"/>
      <c r="X969" s="169"/>
      <c r="Y969" s="169"/>
    </row>
    <row r="970" spans="1:25">
      <c r="A970" s="169"/>
      <c r="B970" s="169"/>
      <c r="C970" s="170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796"/>
      <c r="R970" s="169"/>
      <c r="S970" s="169"/>
      <c r="T970" s="169"/>
      <c r="U970" s="169"/>
      <c r="V970" s="169"/>
      <c r="W970" s="169"/>
      <c r="X970" s="169"/>
      <c r="Y970" s="169"/>
    </row>
    <row r="971" spans="1:25">
      <c r="A971" s="169"/>
      <c r="B971" s="169"/>
      <c r="C971" s="170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796"/>
      <c r="R971" s="169"/>
      <c r="S971" s="169"/>
      <c r="T971" s="169"/>
      <c r="U971" s="169"/>
      <c r="V971" s="169"/>
      <c r="W971" s="169"/>
      <c r="X971" s="169"/>
      <c r="Y971" s="169"/>
    </row>
    <row r="972" spans="1:25">
      <c r="A972" s="169"/>
      <c r="B972" s="169"/>
      <c r="C972" s="170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796"/>
      <c r="R972" s="169"/>
      <c r="S972" s="169"/>
      <c r="T972" s="169"/>
      <c r="U972" s="169"/>
      <c r="V972" s="169"/>
      <c r="W972" s="169"/>
      <c r="X972" s="169"/>
      <c r="Y972" s="169"/>
    </row>
    <row r="973" spans="1:25">
      <c r="A973" s="169"/>
      <c r="B973" s="169"/>
      <c r="C973" s="170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796"/>
      <c r="R973" s="169"/>
      <c r="S973" s="169"/>
      <c r="T973" s="169"/>
      <c r="U973" s="169"/>
      <c r="V973" s="169"/>
      <c r="W973" s="169"/>
      <c r="X973" s="169"/>
      <c r="Y973" s="169"/>
    </row>
    <row r="974" spans="1:25">
      <c r="A974" s="169"/>
      <c r="B974" s="169"/>
      <c r="C974" s="170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796"/>
      <c r="R974" s="169"/>
      <c r="S974" s="169"/>
      <c r="T974" s="169"/>
      <c r="U974" s="169"/>
      <c r="V974" s="169"/>
      <c r="W974" s="169"/>
      <c r="X974" s="169"/>
      <c r="Y974" s="169"/>
    </row>
    <row r="975" spans="1:25">
      <c r="A975" s="169"/>
      <c r="B975" s="169"/>
      <c r="C975" s="170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796"/>
      <c r="R975" s="169"/>
      <c r="S975" s="169"/>
      <c r="T975" s="169"/>
      <c r="U975" s="169"/>
      <c r="V975" s="169"/>
      <c r="W975" s="169"/>
      <c r="X975" s="169"/>
      <c r="Y975" s="169"/>
    </row>
    <row r="976" spans="1:25">
      <c r="A976" s="169"/>
      <c r="B976" s="169"/>
      <c r="C976" s="170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796"/>
      <c r="R976" s="169"/>
      <c r="S976" s="169"/>
      <c r="T976" s="169"/>
      <c r="U976" s="169"/>
      <c r="V976" s="169"/>
      <c r="W976" s="169"/>
      <c r="X976" s="169"/>
      <c r="Y976" s="169"/>
    </row>
    <row r="977" spans="1:25">
      <c r="A977" s="169"/>
      <c r="B977" s="169"/>
      <c r="C977" s="170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796"/>
      <c r="R977" s="169"/>
      <c r="S977" s="169"/>
      <c r="T977" s="169"/>
      <c r="U977" s="169"/>
      <c r="V977" s="169"/>
      <c r="W977" s="169"/>
      <c r="X977" s="169"/>
      <c r="Y977" s="169"/>
    </row>
    <row r="978" spans="1:25">
      <c r="A978" s="169"/>
      <c r="B978" s="169"/>
      <c r="C978" s="170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796"/>
      <c r="R978" s="169"/>
      <c r="S978" s="169"/>
      <c r="T978" s="169"/>
      <c r="U978" s="169"/>
      <c r="V978" s="169"/>
      <c r="W978" s="169"/>
      <c r="X978" s="169"/>
      <c r="Y978" s="169"/>
    </row>
    <row r="979" spans="1:25">
      <c r="A979" s="169"/>
      <c r="B979" s="169"/>
      <c r="C979" s="170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796"/>
      <c r="R979" s="169"/>
      <c r="S979" s="169"/>
      <c r="T979" s="169"/>
      <c r="U979" s="169"/>
      <c r="V979" s="169"/>
      <c r="W979" s="169"/>
      <c r="X979" s="169"/>
      <c r="Y979" s="169"/>
    </row>
    <row r="980" spans="1:25">
      <c r="A980" s="169"/>
      <c r="B980" s="169"/>
      <c r="C980" s="170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796"/>
      <c r="R980" s="169"/>
      <c r="S980" s="169"/>
      <c r="T980" s="169"/>
      <c r="U980" s="169"/>
      <c r="V980" s="169"/>
      <c r="W980" s="169"/>
      <c r="X980" s="169"/>
      <c r="Y980" s="169"/>
    </row>
    <row r="981" spans="1:25">
      <c r="A981" s="169"/>
      <c r="B981" s="169"/>
      <c r="C981" s="170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796"/>
      <c r="R981" s="169"/>
      <c r="S981" s="169"/>
      <c r="T981" s="169"/>
      <c r="U981" s="169"/>
      <c r="V981" s="169"/>
      <c r="W981" s="169"/>
      <c r="X981" s="169"/>
      <c r="Y981" s="169"/>
    </row>
    <row r="982" spans="1:25">
      <c r="A982" s="169"/>
      <c r="B982" s="169"/>
      <c r="C982" s="170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796"/>
      <c r="R982" s="169"/>
      <c r="S982" s="169"/>
      <c r="T982" s="169"/>
      <c r="U982" s="169"/>
      <c r="V982" s="169"/>
      <c r="W982" s="169"/>
      <c r="X982" s="169"/>
      <c r="Y982" s="169"/>
    </row>
    <row r="983" spans="1:25">
      <c r="A983" s="169"/>
      <c r="B983" s="169"/>
      <c r="C983" s="170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796"/>
      <c r="R983" s="169"/>
      <c r="S983" s="169"/>
      <c r="T983" s="169"/>
      <c r="U983" s="169"/>
      <c r="V983" s="169"/>
      <c r="W983" s="169"/>
      <c r="X983" s="169"/>
      <c r="Y983" s="169"/>
    </row>
    <row r="984" spans="1:25">
      <c r="A984" s="169"/>
      <c r="B984" s="169"/>
      <c r="C984" s="170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796"/>
      <c r="R984" s="169"/>
      <c r="S984" s="169"/>
      <c r="T984" s="169"/>
      <c r="U984" s="169"/>
      <c r="V984" s="169"/>
      <c r="W984" s="169"/>
      <c r="X984" s="169"/>
      <c r="Y984" s="169"/>
    </row>
    <row r="985" spans="1:25">
      <c r="A985" s="169"/>
      <c r="B985" s="169"/>
      <c r="C985" s="170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796"/>
      <c r="R985" s="169"/>
      <c r="S985" s="169"/>
      <c r="T985" s="169"/>
      <c r="U985" s="169"/>
      <c r="V985" s="169"/>
      <c r="W985" s="169"/>
      <c r="X985" s="169"/>
      <c r="Y985" s="169"/>
    </row>
    <row r="986" spans="1:25">
      <c r="A986" s="169"/>
      <c r="B986" s="169"/>
      <c r="C986" s="170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796"/>
      <c r="R986" s="169"/>
      <c r="S986" s="169"/>
      <c r="T986" s="169"/>
      <c r="U986" s="169"/>
      <c r="V986" s="169"/>
      <c r="W986" s="169"/>
      <c r="X986" s="169"/>
      <c r="Y986" s="169"/>
    </row>
    <row r="987" spans="1:25">
      <c r="A987" s="169"/>
      <c r="B987" s="169"/>
      <c r="C987" s="170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796"/>
      <c r="R987" s="169"/>
      <c r="S987" s="169"/>
      <c r="T987" s="169"/>
      <c r="U987" s="169"/>
      <c r="V987" s="169"/>
      <c r="W987" s="169"/>
      <c r="X987" s="169"/>
      <c r="Y987" s="169"/>
    </row>
    <row r="988" spans="1:25">
      <c r="A988" s="169"/>
      <c r="B988" s="169"/>
      <c r="C988" s="170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796"/>
      <c r="R988" s="169"/>
      <c r="S988" s="169"/>
      <c r="T988" s="169"/>
      <c r="U988" s="169"/>
      <c r="V988" s="169"/>
      <c r="W988" s="169"/>
      <c r="X988" s="169"/>
      <c r="Y988" s="169"/>
    </row>
  </sheetData>
  <sheetProtection password="CA9F" sheet="1"/>
  <mergeCells count="14">
    <mergeCell ref="F1:K3"/>
    <mergeCell ref="A5:K5"/>
    <mergeCell ref="G7:K7"/>
    <mergeCell ref="J8:K8"/>
    <mergeCell ref="A9:A10"/>
    <mergeCell ref="B9:B10"/>
    <mergeCell ref="C9:C10"/>
    <mergeCell ref="D9:G9"/>
    <mergeCell ref="H9:K9"/>
    <mergeCell ref="A15:A17"/>
    <mergeCell ref="A18:B18"/>
    <mergeCell ref="A19:B19"/>
    <mergeCell ref="A7:D7"/>
    <mergeCell ref="A12:A14"/>
  </mergeCells>
  <dataValidations count="1">
    <dataValidation type="decimal" allowBlank="1" showInputMessage="1" showErrorMessage="1" sqref="H12:J18">
      <formula1>0</formula1>
      <formula2>1000000000000000000</formula2>
    </dataValidation>
  </dataValidations>
  <pageMargins left="0.35" right="0.32" top="0.75" bottom="0.75" header="0.3" footer="0.3"/>
  <pageSetup scale="8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i.04101a</vt:lpstr>
      <vt:lpstr>i.04101</vt:lpstr>
      <vt:lpstr>i.04102a</vt:lpstr>
      <vt:lpstr>i.04102</vt:lpstr>
      <vt:lpstr>i.04103</vt:lpstr>
      <vt:lpstr>i.04104</vt:lpstr>
      <vt:lpstr>i.04105</vt:lpstr>
      <vt:lpstr>i.04106</vt:lpstr>
      <vt:lpstr>i.04107</vt:lpstr>
      <vt:lpstr>i.04108</vt:lpstr>
      <vt:lpstr>i.04109</vt:lpstr>
      <vt:lpstr>i.04110</vt:lpstr>
      <vt:lpstr>i.04111</vt:lpstr>
      <vt:lpstr>i.04112</vt:lpstr>
      <vt:lpstr>i.04113</vt:lpstr>
      <vt:lpstr>i.04114</vt:lpstr>
      <vt:lpstr>i.04115</vt:lpstr>
      <vt:lpstr>i.04116</vt:lpstr>
      <vt:lpstr>i.04117</vt:lpstr>
      <vt:lpstr>i.04118a</vt:lpstr>
      <vt:lpstr>i.04118b</vt:lpstr>
      <vt:lpstr>i.04144a</vt:lpstr>
      <vt:lpstr>i.04144</vt:lpstr>
      <vt:lpstr>i.04145</vt:lpstr>
      <vt:lpstr>i.04148</vt:lpstr>
      <vt:lpstr>i.04152</vt:lpstr>
      <vt:lpstr>i.04153</vt:lpstr>
      <vt:lpstr>i.04off1</vt:lpstr>
      <vt:lpstr>i.04off2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Battsetseg N</dc:creator>
  <cp:lastModifiedBy>Munkhjavkhlan</cp:lastModifiedBy>
  <cp:lastPrinted>2019-06-22T04:39:33Z</cp:lastPrinted>
  <dcterms:created xsi:type="dcterms:W3CDTF">2016-10-20T05:41:43Z</dcterms:created>
  <dcterms:modified xsi:type="dcterms:W3CDTF">2021-01-18T09:59:43Z</dcterms:modified>
</cp:coreProperties>
</file>