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Bilguun_ch\Desktop\Фина\Давхар\"/>
    </mc:Choice>
  </mc:AlternateContent>
  <xr:revisionPtr revIDLastSave="0" documentId="13_ncr:1_{CB773B30-7645-43F3-ABA0-1AFAD1E9F1DB}" xr6:coauthVersionLast="40" xr6:coauthVersionMax="40" xr10:uidLastSave="{00000000-0000-0000-0000-000000000000}"/>
  <bookViews>
    <workbookView xWindow="0" yWindow="0" windowWidth="20490" windowHeight="7545" firstSheet="10" activeTab="18" xr2:uid="{00000000-000D-0000-FFFF-FFFF00000000}"/>
  </bookViews>
  <sheets>
    <sheet name="i.04103" sheetId="1" r:id="rId1"/>
    <sheet name="i.04104" sheetId="2" r:id="rId2"/>
    <sheet name="i.04105" sheetId="3" r:id="rId3"/>
    <sheet name="i.04106" sheetId="4" r:id="rId4"/>
    <sheet name="i.04116" sheetId="5" r:id="rId5"/>
    <sheet name="i.04117" sheetId="6" r:id="rId6"/>
    <sheet name="i.04118a" sheetId="7" r:id="rId7"/>
    <sheet name="i.04118b" sheetId="8" r:id="rId8"/>
    <sheet name="i.04130a" sheetId="16" r:id="rId9"/>
    <sheet name="i.04130" sheetId="17" r:id="rId10"/>
    <sheet name="i.04131a" sheetId="19" r:id="rId11"/>
    <sheet name="i.04131" sheetId="20" r:id="rId12"/>
    <sheet name="i.04132" sheetId="11" r:id="rId13"/>
    <sheet name="i.04133" sheetId="12" r:id="rId14"/>
    <sheet name="i.04151" sheetId="23" r:id="rId15"/>
    <sheet name="i.04152" sheetId="24" r:id="rId16"/>
    <sheet name="i.04153a" sheetId="25" r:id="rId17"/>
    <sheet name="i.04154" sheetId="26" r:id="rId18"/>
    <sheet name="i.04144a" sheetId="21" r:id="rId19"/>
    <sheet name="i.04144" sheetId="22" r:id="rId20"/>
    <sheet name="i.04145" sheetId="15" r:id="rId21"/>
  </sheets>
  <calcPr calcId="191029"/>
  <extLst>
    <ext xmlns:loext="http://schemas.libreoffice.org/" uri="{7626C862-2A13-11E5-B345-FEFF819CDC9F}">
      <loext:extCalcPr stringRefSyntax="CalcA1ExcelA1"/>
    </ext>
  </extLst>
</workbook>
</file>

<file path=xl/calcChain.xml><?xml version="1.0" encoding="utf-8"?>
<calcChain xmlns="http://schemas.openxmlformats.org/spreadsheetml/2006/main">
  <c r="C165" i="16" l="1"/>
  <c r="K31" i="22" l="1"/>
  <c r="K26" i="22"/>
  <c r="K21" i="22"/>
  <c r="D15" i="21"/>
  <c r="E15" i="21" s="1"/>
  <c r="C9" i="21"/>
  <c r="C55" i="24"/>
  <c r="C56" i="24"/>
  <c r="C57" i="24"/>
  <c r="C43" i="24"/>
  <c r="C44" i="24"/>
  <c r="C29" i="24"/>
  <c r="C30" i="24"/>
  <c r="C31" i="24" s="1"/>
  <c r="C16" i="24"/>
  <c r="C17" i="24"/>
  <c r="C18" i="24" s="1"/>
  <c r="C19" i="24" s="1"/>
  <c r="D20" i="4" l="1"/>
  <c r="H67" i="4"/>
  <c r="G67" i="4"/>
  <c r="F67" i="4"/>
  <c r="E67" i="4"/>
  <c r="D67" i="4"/>
  <c r="H53" i="4"/>
  <c r="G53" i="4"/>
  <c r="F53" i="4"/>
  <c r="E53" i="4"/>
  <c r="D53" i="4"/>
  <c r="E40" i="4"/>
  <c r="D40" i="4"/>
  <c r="H40" i="4"/>
  <c r="G40" i="4"/>
  <c r="F40" i="4"/>
  <c r="I20" i="4"/>
  <c r="H20" i="4"/>
  <c r="G20" i="4"/>
  <c r="F20" i="4"/>
  <c r="E20" i="4"/>
  <c r="J26" i="26" l="1"/>
  <c r="K26" i="26"/>
  <c r="L26" i="26"/>
  <c r="M26" i="26"/>
  <c r="N26" i="26"/>
  <c r="O26" i="26"/>
  <c r="P26" i="26"/>
  <c r="Q26" i="26"/>
  <c r="R26" i="26"/>
  <c r="S26" i="26"/>
  <c r="T26" i="26"/>
  <c r="U26" i="26"/>
  <c r="V26" i="26"/>
  <c r="W26" i="26"/>
  <c r="X26" i="26"/>
  <c r="Y26" i="26"/>
  <c r="Z26" i="26"/>
  <c r="I26" i="26"/>
  <c r="G26" i="26"/>
  <c r="D26" i="26"/>
  <c r="E26" i="26"/>
  <c r="F26" i="26"/>
  <c r="C26" i="26"/>
  <c r="T26" i="25"/>
  <c r="U26" i="25"/>
  <c r="V26" i="25"/>
  <c r="W26" i="25"/>
  <c r="S26" i="25"/>
  <c r="R26" i="25"/>
  <c r="Q26" i="25"/>
  <c r="P26" i="25"/>
  <c r="E26" i="25"/>
  <c r="F26" i="25"/>
  <c r="G26" i="25"/>
  <c r="H26" i="25"/>
  <c r="I26" i="25"/>
  <c r="J26" i="25"/>
  <c r="K26" i="25"/>
  <c r="L26" i="25"/>
  <c r="M26" i="25"/>
  <c r="N26" i="25"/>
  <c r="O26" i="25"/>
  <c r="D164" i="16" l="1"/>
  <c r="E14" i="20"/>
  <c r="E15" i="20"/>
  <c r="D15" i="20"/>
  <c r="D14" i="20"/>
  <c r="D77" i="17"/>
  <c r="C67" i="23"/>
  <c r="C10" i="23"/>
  <c r="A30" i="6" l="1"/>
  <c r="A31" i="6"/>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C146" i="16"/>
  <c r="C145" i="16"/>
  <c r="C144" i="16"/>
  <c r="C143" i="16"/>
  <c r="Q41" i="5" l="1"/>
  <c r="D41" i="5"/>
  <c r="E41" i="5"/>
  <c r="L41" i="5"/>
  <c r="K41" i="5"/>
  <c r="G41" i="5"/>
  <c r="E26" i="17" l="1"/>
  <c r="F83" i="24" l="1"/>
  <c r="A83" i="24"/>
  <c r="F82" i="24"/>
  <c r="F81" i="24"/>
  <c r="F80" i="24"/>
  <c r="F79" i="24"/>
  <c r="F78" i="24"/>
  <c r="F77" i="24"/>
  <c r="F76" i="24"/>
  <c r="F75" i="24"/>
  <c r="F74" i="24"/>
  <c r="A74" i="24"/>
  <c r="A75" i="24" s="1"/>
  <c r="A76" i="24" s="1"/>
  <c r="A77" i="24" s="1"/>
  <c r="A78" i="24" s="1"/>
  <c r="A79" i="24" s="1"/>
  <c r="A80" i="24" s="1"/>
  <c r="A81" i="24" s="1"/>
  <c r="F73" i="24"/>
  <c r="E72" i="24"/>
  <c r="F72" i="24" s="1"/>
  <c r="F71" i="24"/>
  <c r="F70" i="24"/>
  <c r="F69" i="24"/>
  <c r="F68" i="24"/>
  <c r="F67" i="24"/>
  <c r="F66" i="24"/>
  <c r="F65" i="24"/>
  <c r="F64" i="24"/>
  <c r="F63" i="24"/>
  <c r="F62" i="24"/>
  <c r="E61" i="24"/>
  <c r="D61" i="24"/>
  <c r="A61" i="24"/>
  <c r="A71" i="24" s="1"/>
  <c r="F60" i="24"/>
  <c r="B60" i="24"/>
  <c r="F59" i="24"/>
  <c r="B59" i="24"/>
  <c r="F58" i="24"/>
  <c r="B58" i="24"/>
  <c r="F57" i="24"/>
  <c r="B57" i="24"/>
  <c r="F56" i="24"/>
  <c r="B56" i="24"/>
  <c r="F55" i="24"/>
  <c r="B55" i="24"/>
  <c r="F54" i="24"/>
  <c r="B54" i="24"/>
  <c r="F53" i="24"/>
  <c r="B53" i="24"/>
  <c r="F52" i="24"/>
  <c r="B52" i="24"/>
  <c r="F51" i="24"/>
  <c r="B51" i="24"/>
  <c r="F50" i="24"/>
  <c r="B50" i="24"/>
  <c r="F49" i="24"/>
  <c r="B49" i="24"/>
  <c r="E48" i="24"/>
  <c r="D48" i="24"/>
  <c r="F47" i="24"/>
  <c r="B47" i="24"/>
  <c r="F46" i="24"/>
  <c r="B46" i="24"/>
  <c r="F45" i="24"/>
  <c r="B45" i="24"/>
  <c r="F44" i="24"/>
  <c r="B44" i="24"/>
  <c r="F43" i="24"/>
  <c r="B43" i="24"/>
  <c r="F42" i="24"/>
  <c r="B42" i="24"/>
  <c r="F41" i="24"/>
  <c r="B41" i="24"/>
  <c r="F40" i="24"/>
  <c r="B40" i="24"/>
  <c r="F39" i="24"/>
  <c r="B39" i="24"/>
  <c r="F38" i="24"/>
  <c r="B38" i="24"/>
  <c r="F37" i="24"/>
  <c r="B37" i="24"/>
  <c r="F36" i="24"/>
  <c r="B36" i="24"/>
  <c r="E35" i="24"/>
  <c r="D35" i="24"/>
  <c r="F34" i="24"/>
  <c r="B34" i="24"/>
  <c r="F33" i="24"/>
  <c r="B33" i="24"/>
  <c r="F32" i="24"/>
  <c r="B32" i="24"/>
  <c r="F31" i="24"/>
  <c r="B31" i="24"/>
  <c r="F30" i="24"/>
  <c r="B30" i="24"/>
  <c r="F29" i="24"/>
  <c r="B29" i="24"/>
  <c r="F28" i="24"/>
  <c r="B28" i="24"/>
  <c r="F27" i="24"/>
  <c r="B27" i="24"/>
  <c r="F26" i="24"/>
  <c r="B26" i="24"/>
  <c r="F25" i="24"/>
  <c r="B25" i="24"/>
  <c r="F24" i="24"/>
  <c r="B24" i="24"/>
  <c r="F23" i="24"/>
  <c r="B23" i="24"/>
  <c r="E22" i="24"/>
  <c r="D22" i="24"/>
  <c r="A22" i="24"/>
  <c r="F21" i="24"/>
  <c r="B21" i="24"/>
  <c r="F20" i="24"/>
  <c r="B20" i="24"/>
  <c r="F19" i="24"/>
  <c r="B19" i="24"/>
  <c r="F18" i="24"/>
  <c r="B18" i="24"/>
  <c r="F17" i="24"/>
  <c r="B17" i="24"/>
  <c r="F16" i="24"/>
  <c r="B16" i="24"/>
  <c r="F15" i="24"/>
  <c r="B15" i="24"/>
  <c r="F14" i="24"/>
  <c r="B14" i="24"/>
  <c r="F13" i="24"/>
  <c r="B13" i="24"/>
  <c r="F12" i="24"/>
  <c r="B12" i="24"/>
  <c r="F11" i="24"/>
  <c r="B11" i="24"/>
  <c r="F10" i="24"/>
  <c r="B10" i="24"/>
  <c r="E9" i="24"/>
  <c r="D9" i="24"/>
  <c r="F9" i="24" s="1"/>
  <c r="C9" i="24"/>
  <c r="C10" i="24" s="1"/>
  <c r="C11" i="24" s="1"/>
  <c r="C12" i="24" s="1"/>
  <c r="C13" i="24" s="1"/>
  <c r="C14" i="24" s="1"/>
  <c r="C15" i="24" s="1"/>
  <c r="C20" i="24" s="1"/>
  <c r="C21" i="24" s="1"/>
  <c r="C22" i="24" s="1"/>
  <c r="C23" i="24" s="1"/>
  <c r="C24" i="24" s="1"/>
  <c r="C25" i="24" s="1"/>
  <c r="C26" i="24" s="1"/>
  <c r="C27" i="24" s="1"/>
  <c r="C28" i="24" s="1"/>
  <c r="C32" i="24" s="1"/>
  <c r="C33" i="24" s="1"/>
  <c r="C34" i="24" s="1"/>
  <c r="C35" i="24" s="1"/>
  <c r="C36" i="24" s="1"/>
  <c r="C37" i="24" s="1"/>
  <c r="C38" i="24" s="1"/>
  <c r="C39" i="24" s="1"/>
  <c r="C40" i="24" s="1"/>
  <c r="C41" i="24" s="1"/>
  <c r="C42" i="24" s="1"/>
  <c r="C45" i="24" s="1"/>
  <c r="C46" i="24" s="1"/>
  <c r="C47" i="24" s="1"/>
  <c r="C48" i="24" s="1"/>
  <c r="C49" i="24" s="1"/>
  <c r="C50" i="24" s="1"/>
  <c r="C51" i="24" s="1"/>
  <c r="C52" i="24" s="1"/>
  <c r="C53" i="24" s="1"/>
  <c r="C54" i="24" s="1"/>
  <c r="C58" i="24" s="1"/>
  <c r="C59" i="24" s="1"/>
  <c r="C60" i="24" s="1"/>
  <c r="C61" i="24" s="1"/>
  <c r="C62" i="24" s="1"/>
  <c r="C63" i="24" s="1"/>
  <c r="C64" i="24" s="1"/>
  <c r="C65" i="24" s="1"/>
  <c r="C66" i="24" s="1"/>
  <c r="C67" i="24" s="1"/>
  <c r="C68" i="24" s="1"/>
  <c r="C69" i="24" s="1"/>
  <c r="C70" i="24" s="1"/>
  <c r="C71" i="24" s="1"/>
  <c r="C72" i="24" s="1"/>
  <c r="C73" i="24" s="1"/>
  <c r="C74" i="24" s="1"/>
  <c r="C75" i="24" s="1"/>
  <c r="C76" i="24" s="1"/>
  <c r="C77" i="24" s="1"/>
  <c r="C78" i="24" s="1"/>
  <c r="C79" i="24" s="1"/>
  <c r="C80" i="24" s="1"/>
  <c r="C81" i="24" s="1"/>
  <c r="C82" i="24" s="1"/>
  <c r="C83" i="24" s="1"/>
  <c r="C84" i="24" s="1"/>
  <c r="F8" i="24"/>
  <c r="C32" i="23"/>
  <c r="C47" i="23"/>
  <c r="B61" i="23"/>
  <c r="B60" i="23"/>
  <c r="B59" i="23"/>
  <c r="B58" i="23"/>
  <c r="B57" i="23"/>
  <c r="B56" i="23"/>
  <c r="B55" i="23"/>
  <c r="B54" i="23"/>
  <c r="B53" i="23"/>
  <c r="B52" i="23"/>
  <c r="B51" i="23"/>
  <c r="B50" i="23"/>
  <c r="B49" i="23"/>
  <c r="B48" i="23"/>
  <c r="B46" i="23"/>
  <c r="B45" i="23"/>
  <c r="B44" i="23"/>
  <c r="B43" i="23"/>
  <c r="B42" i="23"/>
  <c r="B41" i="23"/>
  <c r="B40" i="23"/>
  <c r="B39" i="23"/>
  <c r="B38" i="23"/>
  <c r="B37" i="23"/>
  <c r="B36" i="23"/>
  <c r="B35" i="23"/>
  <c r="B34" i="23"/>
  <c r="B33" i="23"/>
  <c r="D12" i="23"/>
  <c r="E12" i="23" s="1"/>
  <c r="B24" i="23"/>
  <c r="B23" i="23"/>
  <c r="B22" i="23"/>
  <c r="B21" i="23"/>
  <c r="B20" i="23"/>
  <c r="B19" i="23"/>
  <c r="B18" i="23"/>
  <c r="B17" i="23"/>
  <c r="B16" i="23"/>
  <c r="B15" i="23"/>
  <c r="B14" i="23"/>
  <c r="B13" i="23"/>
  <c r="B12" i="23"/>
  <c r="B11" i="23"/>
  <c r="E84" i="24" l="1"/>
  <c r="F61" i="24"/>
  <c r="F35" i="24"/>
  <c r="F48" i="24"/>
  <c r="C31" i="23"/>
  <c r="C76" i="23" s="1"/>
  <c r="D84" i="24"/>
  <c r="F22" i="24"/>
  <c r="D29" i="23"/>
  <c r="E29" i="23" s="1"/>
  <c r="D26" i="23"/>
  <c r="E26" i="23" s="1"/>
  <c r="D18" i="23"/>
  <c r="E18" i="23" s="1"/>
  <c r="D14" i="23"/>
  <c r="E14" i="23" s="1"/>
  <c r="D30" i="23"/>
  <c r="E30" i="23" s="1"/>
  <c r="D21" i="23"/>
  <c r="E21" i="23" s="1"/>
  <c r="D22" i="23"/>
  <c r="E22" i="23" s="1"/>
  <c r="D13" i="23"/>
  <c r="E13" i="23" s="1"/>
  <c r="D25" i="23"/>
  <c r="E25" i="23" s="1"/>
  <c r="D17" i="23"/>
  <c r="E17" i="23" s="1"/>
  <c r="D11" i="23"/>
  <c r="E11" i="23" s="1"/>
  <c r="D27" i="23"/>
  <c r="E27" i="23" s="1"/>
  <c r="D23" i="23"/>
  <c r="E23" i="23" s="1"/>
  <c r="D19" i="23"/>
  <c r="E19" i="23" s="1"/>
  <c r="D15" i="23"/>
  <c r="E15" i="23" s="1"/>
  <c r="D28" i="23"/>
  <c r="E28" i="23" s="1"/>
  <c r="D24" i="23"/>
  <c r="E24" i="23" s="1"/>
  <c r="D20" i="23"/>
  <c r="E20" i="23" s="1"/>
  <c r="D16" i="23"/>
  <c r="E16" i="23" s="1"/>
  <c r="F84" i="24" l="1"/>
  <c r="G27" i="24" s="1"/>
  <c r="G65" i="24"/>
  <c r="H65" i="24" s="1"/>
  <c r="G54" i="24"/>
  <c r="G28" i="24"/>
  <c r="G53" i="24"/>
  <c r="G76" i="24"/>
  <c r="G29" i="24"/>
  <c r="G42" i="24"/>
  <c r="G40" i="24"/>
  <c r="G60" i="24"/>
  <c r="G44" i="24"/>
  <c r="G73" i="24"/>
  <c r="G31" i="24"/>
  <c r="G78" i="24"/>
  <c r="G55" i="24"/>
  <c r="G63" i="24"/>
  <c r="H63" i="24" s="1"/>
  <c r="G50" i="24"/>
  <c r="G58" i="24"/>
  <c r="G51" i="24"/>
  <c r="G26" i="24"/>
  <c r="G79" i="24"/>
  <c r="G70" i="24"/>
  <c r="G38" i="24"/>
  <c r="G59" i="24"/>
  <c r="G47" i="24"/>
  <c r="G56" i="24"/>
  <c r="G49" i="24"/>
  <c r="G64" i="24"/>
  <c r="H64" i="24" s="1"/>
  <c r="G22" i="24"/>
  <c r="G84" i="24"/>
  <c r="G19" i="24"/>
  <c r="G12" i="24"/>
  <c r="G17" i="24"/>
  <c r="G10" i="24"/>
  <c r="G18" i="24"/>
  <c r="G11" i="24"/>
  <c r="G20" i="24"/>
  <c r="G13" i="24"/>
  <c r="G21" i="24"/>
  <c r="G14" i="24"/>
  <c r="G48" i="24"/>
  <c r="H48" i="24" s="1"/>
  <c r="G15" i="24"/>
  <c r="G36" i="24"/>
  <c r="G61" i="24"/>
  <c r="G43" i="24"/>
  <c r="G9" i="24"/>
  <c r="D38" i="23"/>
  <c r="E38" i="23" s="1"/>
  <c r="D76" i="23"/>
  <c r="D37" i="23"/>
  <c r="E37" i="23" s="1"/>
  <c r="D53" i="23"/>
  <c r="E53" i="23" s="1"/>
  <c r="D69" i="23"/>
  <c r="E69" i="23" s="1"/>
  <c r="D46" i="23"/>
  <c r="E46" i="23" s="1"/>
  <c r="D57" i="23"/>
  <c r="E57" i="23" s="1"/>
  <c r="D50" i="23"/>
  <c r="E50" i="23" s="1"/>
  <c r="D35" i="23"/>
  <c r="E35" i="23" s="1"/>
  <c r="D36" i="23"/>
  <c r="E36" i="23" s="1"/>
  <c r="D68" i="23"/>
  <c r="E68" i="23" s="1"/>
  <c r="D45" i="23"/>
  <c r="E45" i="23" s="1"/>
  <c r="D61" i="23"/>
  <c r="E61" i="23" s="1"/>
  <c r="D34" i="23"/>
  <c r="E34" i="23" s="1"/>
  <c r="D54" i="23"/>
  <c r="E54" i="23" s="1"/>
  <c r="D70" i="23"/>
  <c r="E70" i="23" s="1"/>
  <c r="D39" i="23"/>
  <c r="E39" i="23" s="1"/>
  <c r="D55" i="23"/>
  <c r="E55" i="23" s="1"/>
  <c r="D71" i="23"/>
  <c r="E71" i="23" s="1"/>
  <c r="D40" i="23"/>
  <c r="E40" i="23" s="1"/>
  <c r="D56" i="23"/>
  <c r="E56" i="23" s="1"/>
  <c r="D72" i="23"/>
  <c r="E72" i="23" s="1"/>
  <c r="D62" i="23"/>
  <c r="D31" i="23"/>
  <c r="D47" i="23"/>
  <c r="D63" i="23"/>
  <c r="E63" i="23" s="1"/>
  <c r="D10" i="23"/>
  <c r="E10" i="23" s="1"/>
  <c r="D48" i="23"/>
  <c r="E48" i="23" s="1"/>
  <c r="D64" i="23"/>
  <c r="E64" i="23" s="1"/>
  <c r="D41" i="23"/>
  <c r="E41" i="23" s="1"/>
  <c r="D73" i="23"/>
  <c r="E73" i="23" s="1"/>
  <c r="D66" i="23"/>
  <c r="E66" i="23" s="1"/>
  <c r="D51" i="23"/>
  <c r="E51" i="23" s="1"/>
  <c r="D67" i="23"/>
  <c r="E67" i="23" s="1"/>
  <c r="D52" i="23"/>
  <c r="E52" i="23" s="1"/>
  <c r="D33" i="23"/>
  <c r="E33" i="23" s="1"/>
  <c r="D49" i="23"/>
  <c r="E49" i="23" s="1"/>
  <c r="D65" i="23"/>
  <c r="E65" i="23" s="1"/>
  <c r="D42" i="23"/>
  <c r="E42" i="23" s="1"/>
  <c r="D58" i="23"/>
  <c r="E58" i="23" s="1"/>
  <c r="D74" i="23"/>
  <c r="E74" i="23" s="1"/>
  <c r="D43" i="23"/>
  <c r="E43" i="23" s="1"/>
  <c r="D59" i="23"/>
  <c r="E59" i="23" s="1"/>
  <c r="D75" i="23"/>
  <c r="E75" i="23" s="1"/>
  <c r="D44" i="23"/>
  <c r="E44" i="23" s="1"/>
  <c r="D60" i="23"/>
  <c r="E60" i="23" s="1"/>
  <c r="D32" i="23"/>
  <c r="G45" i="24" l="1"/>
  <c r="G8" i="24"/>
  <c r="H8" i="24" s="1"/>
  <c r="G69" i="24"/>
  <c r="H69" i="24" s="1"/>
  <c r="G75" i="24"/>
  <c r="G34" i="24"/>
  <c r="G72" i="24"/>
  <c r="H72" i="24" s="1"/>
  <c r="G74" i="24"/>
  <c r="G35" i="24"/>
  <c r="G57" i="24"/>
  <c r="G81" i="24"/>
  <c r="G30" i="24"/>
  <c r="G83" i="24"/>
  <c r="H83" i="24" s="1"/>
  <c r="G66" i="24"/>
  <c r="H66" i="24" s="1"/>
  <c r="G46" i="24"/>
  <c r="G71" i="24"/>
  <c r="H71" i="24" s="1"/>
  <c r="G16" i="24"/>
  <c r="G77" i="24"/>
  <c r="G39" i="24"/>
  <c r="G80" i="24"/>
  <c r="G68" i="24"/>
  <c r="H68" i="24" s="1"/>
  <c r="G52" i="24"/>
  <c r="G25" i="24"/>
  <c r="G23" i="24"/>
  <c r="G32" i="24"/>
  <c r="G33" i="24"/>
  <c r="G82" i="24"/>
  <c r="G67" i="24"/>
  <c r="H67" i="24" s="1"/>
  <c r="G41" i="24"/>
  <c r="G37" i="24"/>
  <c r="G24" i="24"/>
  <c r="G62" i="24"/>
  <c r="G12" i="11"/>
  <c r="D145" i="16" s="1"/>
  <c r="B22" i="15" l="1"/>
  <c r="B21" i="15"/>
  <c r="B20" i="15"/>
  <c r="B19" i="15"/>
  <c r="C18" i="15"/>
  <c r="B18" i="15"/>
  <c r="C17" i="15"/>
  <c r="B17" i="15"/>
  <c r="E16" i="15"/>
  <c r="B16" i="15"/>
  <c r="E15" i="15"/>
  <c r="B15" i="15"/>
  <c r="C14" i="15"/>
  <c r="B14" i="15"/>
  <c r="E13" i="15"/>
  <c r="B13" i="15"/>
  <c r="E12" i="15"/>
  <c r="B12" i="15"/>
  <c r="C11" i="15"/>
  <c r="B11" i="15"/>
  <c r="C10" i="15"/>
  <c r="B10" i="15"/>
  <c r="H19" i="22"/>
  <c r="H27" i="22"/>
  <c r="H28" i="22"/>
  <c r="H29" i="22"/>
  <c r="H30" i="22"/>
  <c r="H32" i="22"/>
  <c r="H33" i="22"/>
  <c r="H34" i="22"/>
  <c r="H35" i="22"/>
  <c r="G19" i="22"/>
  <c r="D254" i="21"/>
  <c r="D244" i="21"/>
  <c r="D233" i="21"/>
  <c r="D234" i="21"/>
  <c r="E234" i="21" s="1"/>
  <c r="D235" i="21"/>
  <c r="E235" i="21" s="1"/>
  <c r="D236" i="21"/>
  <c r="D237" i="21"/>
  <c r="E237" i="21" s="1"/>
  <c r="D238" i="21"/>
  <c r="D239" i="21"/>
  <c r="E239" i="21" s="1"/>
  <c r="D240" i="21"/>
  <c r="D241" i="21"/>
  <c r="E241" i="21" s="1"/>
  <c r="D242" i="21"/>
  <c r="D232" i="21"/>
  <c r="D102" i="21"/>
  <c r="B57" i="22"/>
  <c r="B56" i="22"/>
  <c r="B55" i="22"/>
  <c r="B54" i="22"/>
  <c r="B53" i="22"/>
  <c r="B52" i="22"/>
  <c r="B51" i="22"/>
  <c r="B50" i="22"/>
  <c r="B49" i="22"/>
  <c r="B48" i="22"/>
  <c r="B47" i="22"/>
  <c r="B46" i="22"/>
  <c r="B45" i="22"/>
  <c r="B44" i="22"/>
  <c r="B43" i="22"/>
  <c r="B42" i="22"/>
  <c r="B41" i="22"/>
  <c r="B40" i="22"/>
  <c r="B39" i="22"/>
  <c r="B38" i="22"/>
  <c r="B37" i="22"/>
  <c r="B36" i="22"/>
  <c r="K35" i="22"/>
  <c r="G35" i="22"/>
  <c r="E35" i="22"/>
  <c r="K34" i="22"/>
  <c r="G34" i="22"/>
  <c r="E34" i="22"/>
  <c r="K33" i="22"/>
  <c r="G33" i="22"/>
  <c r="E33" i="22"/>
  <c r="K32" i="22"/>
  <c r="G32" i="22"/>
  <c r="E32" i="22"/>
  <c r="B31" i="22"/>
  <c r="K30" i="22"/>
  <c r="G30" i="22"/>
  <c r="E30" i="22"/>
  <c r="K29" i="22"/>
  <c r="G29" i="22"/>
  <c r="E29" i="22"/>
  <c r="K28" i="22"/>
  <c r="G28" i="22"/>
  <c r="E28" i="22"/>
  <c r="K27" i="22"/>
  <c r="G27" i="22"/>
  <c r="E27" i="22"/>
  <c r="B26" i="22"/>
  <c r="K25" i="22"/>
  <c r="K24" i="22"/>
  <c r="K23" i="22"/>
  <c r="B21" i="22"/>
  <c r="B20" i="22"/>
  <c r="B19" i="22"/>
  <c r="B18" i="22"/>
  <c r="B17" i="22"/>
  <c r="B16" i="22"/>
  <c r="B15" i="22"/>
  <c r="B14" i="22"/>
  <c r="B13" i="22"/>
  <c r="B12" i="22"/>
  <c r="B11" i="22"/>
  <c r="B10" i="22"/>
  <c r="B9" i="22"/>
  <c r="B351" i="21"/>
  <c r="B350" i="21"/>
  <c r="B349" i="21"/>
  <c r="C338" i="21"/>
  <c r="B338" i="21"/>
  <c r="B337" i="21"/>
  <c r="C326" i="21"/>
  <c r="B326" i="21"/>
  <c r="B325" i="21"/>
  <c r="C314" i="21"/>
  <c r="B314" i="21"/>
  <c r="B313" i="21"/>
  <c r="C302" i="21"/>
  <c r="B302" i="21"/>
  <c r="B301" i="21"/>
  <c r="C295" i="21"/>
  <c r="B295" i="21"/>
  <c r="B294" i="21"/>
  <c r="C288" i="21"/>
  <c r="B288" i="21"/>
  <c r="B287" i="21"/>
  <c r="C281" i="21"/>
  <c r="B281" i="21"/>
  <c r="B280" i="21"/>
  <c r="C274" i="21"/>
  <c r="B274" i="21"/>
  <c r="B273" i="21"/>
  <c r="C267" i="21"/>
  <c r="B267" i="21"/>
  <c r="B266" i="21"/>
  <c r="C255" i="21"/>
  <c r="B255" i="21"/>
  <c r="B254" i="21"/>
  <c r="D253" i="21"/>
  <c r="E253" i="21" s="1"/>
  <c r="D252" i="21"/>
  <c r="E252" i="21" s="1"/>
  <c r="D251" i="21"/>
  <c r="E251" i="21" s="1"/>
  <c r="E250" i="21"/>
  <c r="D250" i="21"/>
  <c r="D249" i="21"/>
  <c r="E249" i="21" s="1"/>
  <c r="D248" i="21"/>
  <c r="E248" i="21" s="1"/>
  <c r="D247" i="21"/>
  <c r="E247" i="21" s="1"/>
  <c r="D246" i="21"/>
  <c r="E246" i="21" s="1"/>
  <c r="D245" i="21"/>
  <c r="E245" i="21" s="1"/>
  <c r="E244" i="21"/>
  <c r="C243" i="21"/>
  <c r="B243" i="21"/>
  <c r="E242" i="21"/>
  <c r="B242" i="21"/>
  <c r="E240" i="21"/>
  <c r="E238" i="21"/>
  <c r="E236" i="21"/>
  <c r="E233" i="21"/>
  <c r="E232" i="21"/>
  <c r="C231" i="21"/>
  <c r="B231" i="21"/>
  <c r="B230" i="21"/>
  <c r="C219" i="21"/>
  <c r="B219" i="21"/>
  <c r="B218" i="21"/>
  <c r="C207" i="21"/>
  <c r="B207" i="21"/>
  <c r="B206" i="21"/>
  <c r="C195" i="21"/>
  <c r="B195" i="21"/>
  <c r="B194" i="21"/>
  <c r="C183" i="21"/>
  <c r="B183" i="21"/>
  <c r="B182" i="21"/>
  <c r="C171" i="21"/>
  <c r="B171" i="21"/>
  <c r="B170" i="21"/>
  <c r="C159" i="21"/>
  <c r="B159" i="21"/>
  <c r="B158" i="21"/>
  <c r="C147" i="21"/>
  <c r="B147" i="21"/>
  <c r="B146" i="21"/>
  <c r="C135" i="21"/>
  <c r="B135" i="21"/>
  <c r="B134" i="21"/>
  <c r="C123" i="21"/>
  <c r="B123" i="21"/>
  <c r="B122" i="21"/>
  <c r="C111" i="21"/>
  <c r="B111" i="21"/>
  <c r="B110" i="21"/>
  <c r="C104" i="21"/>
  <c r="B104" i="21"/>
  <c r="B103" i="21"/>
  <c r="E102" i="21"/>
  <c r="B102" i="21"/>
  <c r="B101" i="21"/>
  <c r="C90" i="21"/>
  <c r="B90" i="21"/>
  <c r="B89" i="21"/>
  <c r="C83" i="21"/>
  <c r="B83" i="21"/>
  <c r="B82" i="21"/>
  <c r="C76" i="21"/>
  <c r="B76" i="21"/>
  <c r="B75" i="21"/>
  <c r="C69" i="21"/>
  <c r="B69" i="21"/>
  <c r="B68" i="21"/>
  <c r="C62" i="21"/>
  <c r="B62" i="21"/>
  <c r="B61" i="21"/>
  <c r="C55" i="21"/>
  <c r="B55" i="21"/>
  <c r="B54" i="21"/>
  <c r="B53" i="21"/>
  <c r="C42" i="21"/>
  <c r="B42" i="21"/>
  <c r="B41" i="21"/>
  <c r="C30" i="21"/>
  <c r="B30" i="21"/>
  <c r="B23" i="21"/>
  <c r="B22" i="21"/>
  <c r="B21" i="21"/>
  <c r="B20" i="21"/>
  <c r="B19" i="21"/>
  <c r="B18" i="21"/>
  <c r="B17" i="21"/>
  <c r="B16" i="21"/>
  <c r="B14" i="21"/>
  <c r="B13" i="21"/>
  <c r="B12" i="21"/>
  <c r="B11" i="21"/>
  <c r="B10" i="21"/>
  <c r="B9" i="21"/>
  <c r="E36" i="12"/>
  <c r="F36" i="12"/>
  <c r="D6" i="19" s="1"/>
  <c r="E10" i="20" s="1"/>
  <c r="F38" i="12" s="1"/>
  <c r="G36" i="12"/>
  <c r="H36" i="12"/>
  <c r="D7" i="19" s="1"/>
  <c r="E11" i="20" s="1"/>
  <c r="H38" i="12" s="1"/>
  <c r="I36" i="12"/>
  <c r="D27" i="19" s="1"/>
  <c r="J36" i="12"/>
  <c r="K36" i="12"/>
  <c r="D31" i="19" s="1"/>
  <c r="E17" i="20" s="1"/>
  <c r="K38" i="12" s="1"/>
  <c r="D36" i="12"/>
  <c r="F14" i="11"/>
  <c r="E14" i="11"/>
  <c r="D14" i="11"/>
  <c r="G13" i="11"/>
  <c r="D146" i="16" s="1"/>
  <c r="E82" i="17" s="1"/>
  <c r="H13" i="11" s="1"/>
  <c r="G11" i="11"/>
  <c r="D144" i="16" s="1"/>
  <c r="C11" i="11"/>
  <c r="G10" i="11"/>
  <c r="D143" i="16" s="1"/>
  <c r="E20" i="20"/>
  <c r="E23" i="20" s="1"/>
  <c r="E21" i="20"/>
  <c r="E22" i="20"/>
  <c r="D21" i="20"/>
  <c r="D22" i="20"/>
  <c r="D20" i="20"/>
  <c r="E59" i="20"/>
  <c r="D59" i="20"/>
  <c r="E50" i="20"/>
  <c r="E52" i="20"/>
  <c r="E56" i="20"/>
  <c r="D56" i="20"/>
  <c r="D52" i="20"/>
  <c r="D50" i="20"/>
  <c r="E31" i="20"/>
  <c r="E32" i="20"/>
  <c r="E33" i="20"/>
  <c r="E34" i="20"/>
  <c r="E35" i="20"/>
  <c r="E36" i="20"/>
  <c r="E37" i="20"/>
  <c r="E38" i="20"/>
  <c r="E39" i="20"/>
  <c r="E40" i="20"/>
  <c r="E41" i="20"/>
  <c r="E42" i="20"/>
  <c r="E43" i="20"/>
  <c r="E44" i="20"/>
  <c r="E45" i="20"/>
  <c r="D45" i="20"/>
  <c r="D44" i="20"/>
  <c r="D43" i="20"/>
  <c r="D42" i="20"/>
  <c r="D41" i="20"/>
  <c r="D40" i="20"/>
  <c r="D39" i="20"/>
  <c r="D38" i="20"/>
  <c r="D37" i="20"/>
  <c r="D36" i="20"/>
  <c r="D35" i="20"/>
  <c r="D34" i="20"/>
  <c r="D33" i="20"/>
  <c r="D32" i="20"/>
  <c r="D31" i="20"/>
  <c r="E25" i="20"/>
  <c r="E26" i="20"/>
  <c r="E27" i="20"/>
  <c r="D27" i="20"/>
  <c r="D26" i="20"/>
  <c r="D25" i="20"/>
  <c r="D17" i="20"/>
  <c r="E12" i="20"/>
  <c r="I38" i="12" s="1"/>
  <c r="D12" i="20"/>
  <c r="D10" i="20"/>
  <c r="D13" i="20" s="1"/>
  <c r="D16" i="20" s="1"/>
  <c r="D18" i="20" s="1"/>
  <c r="D11" i="20"/>
  <c r="C11" i="20"/>
  <c r="E86" i="17"/>
  <c r="E87" i="17"/>
  <c r="E88" i="17"/>
  <c r="E89" i="17"/>
  <c r="E90" i="17"/>
  <c r="E91" i="17"/>
  <c r="E92" i="17"/>
  <c r="D93" i="17"/>
  <c r="D92" i="17"/>
  <c r="D91" i="17"/>
  <c r="D90" i="17"/>
  <c r="D89" i="17"/>
  <c r="D88" i="17"/>
  <c r="D87" i="17"/>
  <c r="D86" i="17"/>
  <c r="E75" i="17"/>
  <c r="E76" i="17"/>
  <c r="E77" i="17"/>
  <c r="D76" i="17"/>
  <c r="D75" i="17"/>
  <c r="E79" i="17"/>
  <c r="E80" i="17"/>
  <c r="E81" i="17"/>
  <c r="H12" i="11" s="1"/>
  <c r="D80" i="17"/>
  <c r="D81" i="17"/>
  <c r="D82" i="17"/>
  <c r="D79" i="17"/>
  <c r="E63" i="17"/>
  <c r="E64" i="17"/>
  <c r="E65" i="17"/>
  <c r="E66" i="17"/>
  <c r="E67" i="17"/>
  <c r="E68" i="17"/>
  <c r="E69" i="17"/>
  <c r="E70" i="17"/>
  <c r="E71" i="17"/>
  <c r="E72" i="17"/>
  <c r="E73" i="17"/>
  <c r="D73" i="17"/>
  <c r="D72" i="17"/>
  <c r="D71" i="17"/>
  <c r="D70" i="17"/>
  <c r="D69" i="17"/>
  <c r="D68" i="17"/>
  <c r="D67" i="17"/>
  <c r="D66" i="17"/>
  <c r="D65" i="17"/>
  <c r="D64" i="17"/>
  <c r="D63" i="17"/>
  <c r="E55" i="17"/>
  <c r="E56" i="17"/>
  <c r="E57" i="17"/>
  <c r="E58" i="17"/>
  <c r="E59" i="17"/>
  <c r="E60" i="17"/>
  <c r="D60" i="17"/>
  <c r="D59" i="17"/>
  <c r="D58" i="17"/>
  <c r="D57" i="17"/>
  <c r="D56" i="17"/>
  <c r="D55" i="17"/>
  <c r="E50" i="17"/>
  <c r="E51" i="17"/>
  <c r="E52" i="17"/>
  <c r="D52" i="17"/>
  <c r="D51" i="17"/>
  <c r="D50" i="17"/>
  <c r="E43" i="17"/>
  <c r="G43" i="5" s="1"/>
  <c r="E44" i="17"/>
  <c r="E45" i="17"/>
  <c r="D45" i="17"/>
  <c r="D44" i="17"/>
  <c r="D43" i="17"/>
  <c r="E39" i="17"/>
  <c r="E40" i="17"/>
  <c r="E41" i="17"/>
  <c r="D40" i="17"/>
  <c r="D41" i="17"/>
  <c r="D39" i="17"/>
  <c r="E33" i="17"/>
  <c r="E34" i="17"/>
  <c r="E35" i="17"/>
  <c r="E36" i="17"/>
  <c r="D36" i="17"/>
  <c r="D35" i="17"/>
  <c r="D34" i="17"/>
  <c r="D33" i="17"/>
  <c r="E25" i="17"/>
  <c r="E27" i="17"/>
  <c r="E28" i="17"/>
  <c r="E29" i="17"/>
  <c r="E30" i="17"/>
  <c r="D30" i="17"/>
  <c r="D29" i="17"/>
  <c r="D28" i="17"/>
  <c r="D27" i="17"/>
  <c r="D26" i="17"/>
  <c r="D25" i="17"/>
  <c r="E22" i="17"/>
  <c r="D22" i="17"/>
  <c r="D23" i="17" s="1"/>
  <c r="E18" i="17"/>
  <c r="E19" i="17"/>
  <c r="D19" i="17"/>
  <c r="D18" i="17"/>
  <c r="E12" i="17"/>
  <c r="E13" i="17"/>
  <c r="E14" i="17"/>
  <c r="E15" i="17"/>
  <c r="D15" i="17"/>
  <c r="D14" i="17"/>
  <c r="D13" i="17"/>
  <c r="D12" i="17"/>
  <c r="E23" i="17"/>
  <c r="C15" i="17"/>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13" i="17"/>
  <c r="C11" i="17"/>
  <c r="C164" i="16"/>
  <c r="J62" i="8"/>
  <c r="J61" i="8"/>
  <c r="J60" i="8"/>
  <c r="J59" i="8"/>
  <c r="J58" i="8"/>
  <c r="J57" i="8"/>
  <c r="J56" i="8"/>
  <c r="J55" i="8"/>
  <c r="J54" i="8"/>
  <c r="J53" i="8"/>
  <c r="J52" i="8"/>
  <c r="J51" i="8"/>
  <c r="J50" i="8"/>
  <c r="J49" i="8"/>
  <c r="J48" i="8"/>
  <c r="J47" i="8"/>
  <c r="J46" i="8"/>
  <c r="J45" i="8"/>
  <c r="J44" i="8"/>
  <c r="J43" i="8"/>
  <c r="J42" i="8"/>
  <c r="J41" i="8"/>
  <c r="J40" i="8"/>
  <c r="J39" i="8"/>
  <c r="J38" i="8"/>
  <c r="J37" i="8"/>
  <c r="J36" i="8"/>
  <c r="J35" i="8"/>
  <c r="J34" i="8"/>
  <c r="J33" i="8"/>
  <c r="J32" i="8"/>
  <c r="J31" i="8"/>
  <c r="J30" i="8"/>
  <c r="J29" i="8"/>
  <c r="J28" i="8"/>
  <c r="J27" i="8"/>
  <c r="J26" i="8"/>
  <c r="J25" i="8"/>
  <c r="J24" i="8"/>
  <c r="J23" i="8"/>
  <c r="J22" i="8"/>
  <c r="J21" i="8"/>
  <c r="J20" i="8"/>
  <c r="J19" i="8"/>
  <c r="J18" i="8"/>
  <c r="J17" i="8"/>
  <c r="J16" i="8"/>
  <c r="J15" i="8"/>
  <c r="J14" i="8"/>
  <c r="J13" i="8"/>
  <c r="K12" i="8"/>
  <c r="I12" i="8"/>
  <c r="H12" i="8"/>
  <c r="G12" i="8"/>
  <c r="F12" i="8"/>
  <c r="E12" i="8"/>
  <c r="D12" i="8"/>
  <c r="C12" i="8"/>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2" i="7" s="1"/>
  <c r="J13" i="7"/>
  <c r="K12" i="7"/>
  <c r="I12" i="7"/>
  <c r="H12" i="7"/>
  <c r="G12" i="7"/>
  <c r="F12" i="7"/>
  <c r="E12" i="7"/>
  <c r="D12" i="7"/>
  <c r="C12" i="7"/>
  <c r="A12" i="6"/>
  <c r="A13" i="6" s="1"/>
  <c r="A14" i="6" s="1"/>
  <c r="A15" i="6" s="1"/>
  <c r="A16" i="6" s="1"/>
  <c r="A17" i="6" s="1"/>
  <c r="A18" i="6" s="1"/>
  <c r="A19" i="6" s="1"/>
  <c r="A20" i="6" s="1"/>
  <c r="A21" i="6" s="1"/>
  <c r="A22" i="6" s="1"/>
  <c r="A23" i="6" s="1"/>
  <c r="A24" i="6" s="1"/>
  <c r="A25" i="6" s="1"/>
  <c r="A26" i="6" s="1"/>
  <c r="A27" i="6" s="1"/>
  <c r="A28" i="6" s="1"/>
  <c r="A29" i="6" s="1"/>
  <c r="A11" i="6"/>
  <c r="G9" i="6"/>
  <c r="F9" i="6"/>
  <c r="E9" i="6"/>
  <c r="S41" i="5"/>
  <c r="R41" i="5"/>
  <c r="P41" i="5"/>
  <c r="O41" i="5"/>
  <c r="N41" i="5"/>
  <c r="M41" i="5"/>
  <c r="J41" i="5"/>
  <c r="I41" i="5"/>
  <c r="H41" i="5"/>
  <c r="F41" i="5"/>
  <c r="A11" i="5"/>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F9" i="5"/>
  <c r="G9" i="5" s="1"/>
  <c r="H9" i="5" s="1"/>
  <c r="I9" i="5" s="1"/>
  <c r="J9" i="5" s="1"/>
  <c r="K9" i="5" s="1"/>
  <c r="L9" i="5" s="1"/>
  <c r="M9" i="5" s="1"/>
  <c r="N9" i="5" s="1"/>
  <c r="O9" i="5" s="1"/>
  <c r="P9" i="5" s="1"/>
  <c r="Q9" i="5" s="1"/>
  <c r="R9" i="5" s="1"/>
  <c r="S9" i="5" s="1"/>
  <c r="E9" i="5"/>
  <c r="H68" i="4"/>
  <c r="F68" i="4"/>
  <c r="D68" i="4"/>
  <c r="I67" i="4"/>
  <c r="H66" i="4"/>
  <c r="G66" i="4"/>
  <c r="G68" i="4" s="1"/>
  <c r="F66" i="4"/>
  <c r="E66" i="4"/>
  <c r="E68" i="4" s="1"/>
  <c r="D66" i="4"/>
  <c r="I65" i="4"/>
  <c r="I64" i="4"/>
  <c r="I63" i="4"/>
  <c r="I62" i="4"/>
  <c r="I61" i="4"/>
  <c r="I60" i="4"/>
  <c r="I59" i="4"/>
  <c r="I58" i="4"/>
  <c r="I57" i="4"/>
  <c r="I56" i="4"/>
  <c r="G54" i="4"/>
  <c r="E54" i="4"/>
  <c r="I53" i="4"/>
  <c r="H52" i="4"/>
  <c r="H54" i="4" s="1"/>
  <c r="G52" i="4"/>
  <c r="F52" i="4"/>
  <c r="F54" i="4" s="1"/>
  <c r="E52" i="4"/>
  <c r="D52" i="4"/>
  <c r="D54" i="4" s="1"/>
  <c r="I51" i="4"/>
  <c r="I50" i="4"/>
  <c r="I49" i="4"/>
  <c r="E41" i="4"/>
  <c r="I40" i="4"/>
  <c r="H39" i="4"/>
  <c r="H41" i="4" s="1"/>
  <c r="G39" i="4"/>
  <c r="G41" i="4" s="1"/>
  <c r="F39" i="4"/>
  <c r="F41" i="4" s="1"/>
  <c r="E39" i="4"/>
  <c r="D39" i="4"/>
  <c r="D41" i="4" s="1"/>
  <c r="I38" i="4"/>
  <c r="I37" i="4"/>
  <c r="I36" i="4"/>
  <c r="I35" i="4"/>
  <c r="I34" i="4"/>
  <c r="I33" i="4"/>
  <c r="I32" i="4"/>
  <c r="I31" i="4"/>
  <c r="I30" i="4"/>
  <c r="I29" i="4"/>
  <c r="H21" i="4"/>
  <c r="F21" i="4"/>
  <c r="H19" i="4"/>
  <c r="G19" i="4"/>
  <c r="G21" i="4" s="1"/>
  <c r="F19" i="4"/>
  <c r="E19" i="4"/>
  <c r="D19" i="4"/>
  <c r="D21" i="4" s="1"/>
  <c r="I18" i="4"/>
  <c r="I17" i="4"/>
  <c r="I16" i="4"/>
  <c r="I15" i="4"/>
  <c r="I14" i="4"/>
  <c r="F94" i="3"/>
  <c r="F89" i="3"/>
  <c r="E86" i="3"/>
  <c r="D86" i="3"/>
  <c r="F86" i="3" s="1"/>
  <c r="F85" i="3"/>
  <c r="F77" i="3"/>
  <c r="F76" i="3"/>
  <c r="E75" i="3"/>
  <c r="D75" i="3"/>
  <c r="F75" i="3" s="1"/>
  <c r="F74" i="3"/>
  <c r="F73" i="3"/>
  <c r="F72" i="3"/>
  <c r="F71" i="3"/>
  <c r="F70" i="3"/>
  <c r="F69" i="3"/>
  <c r="F68" i="3"/>
  <c r="F67" i="3"/>
  <c r="F66" i="3"/>
  <c r="F65" i="3"/>
  <c r="F64" i="3"/>
  <c r="F63" i="3"/>
  <c r="E62" i="3"/>
  <c r="D62" i="3"/>
  <c r="F62" i="3" s="1"/>
  <c r="F61" i="3"/>
  <c r="F60" i="3"/>
  <c r="F59" i="3"/>
  <c r="F58" i="3"/>
  <c r="F57" i="3"/>
  <c r="F56" i="3"/>
  <c r="F55" i="3"/>
  <c r="F54" i="3"/>
  <c r="F53" i="3"/>
  <c r="F52" i="3"/>
  <c r="F51" i="3"/>
  <c r="F50" i="3"/>
  <c r="E49" i="3"/>
  <c r="D49" i="3"/>
  <c r="F49" i="3" s="1"/>
  <c r="F48" i="3"/>
  <c r="F47" i="3"/>
  <c r="F46" i="3"/>
  <c r="F45" i="3"/>
  <c r="F44" i="3"/>
  <c r="F43" i="3"/>
  <c r="F42" i="3"/>
  <c r="F41" i="3"/>
  <c r="F40" i="3"/>
  <c r="F39" i="3"/>
  <c r="F38" i="3"/>
  <c r="F37" i="3"/>
  <c r="E36" i="3"/>
  <c r="D36" i="3"/>
  <c r="F36" i="3" s="1"/>
  <c r="F35" i="3"/>
  <c r="F34" i="3"/>
  <c r="F33" i="3"/>
  <c r="F32" i="3"/>
  <c r="F31" i="3"/>
  <c r="F30" i="3"/>
  <c r="F29" i="3"/>
  <c r="F28" i="3"/>
  <c r="F27" i="3"/>
  <c r="F26" i="3"/>
  <c r="F25" i="3"/>
  <c r="F24" i="3"/>
  <c r="E23" i="3"/>
  <c r="D23" i="3"/>
  <c r="F23" i="3" s="1"/>
  <c r="F22" i="3"/>
  <c r="F21" i="3"/>
  <c r="F20" i="3"/>
  <c r="F19" i="3"/>
  <c r="F18" i="3"/>
  <c r="F17" i="3"/>
  <c r="F16" i="3"/>
  <c r="F15" i="3"/>
  <c r="F14" i="3"/>
  <c r="F13" i="3"/>
  <c r="F12" i="3"/>
  <c r="F11" i="3"/>
  <c r="E10" i="3"/>
  <c r="D10" i="3"/>
  <c r="F10" i="3" s="1"/>
  <c r="F9" i="3"/>
  <c r="E58" i="2"/>
  <c r="D58" i="2"/>
  <c r="E53" i="2"/>
  <c r="E64" i="2" s="1"/>
  <c r="D53" i="2"/>
  <c r="D64" i="2" s="1"/>
  <c r="E45" i="2"/>
  <c r="D45" i="2"/>
  <c r="E37" i="2"/>
  <c r="E51" i="2" s="1"/>
  <c r="D37" i="2"/>
  <c r="D51" i="2" s="1"/>
  <c r="E18" i="2"/>
  <c r="D18" i="2"/>
  <c r="E10" i="2"/>
  <c r="E35" i="2" s="1"/>
  <c r="D10" i="2"/>
  <c r="D35" i="2" s="1"/>
  <c r="K22" i="1"/>
  <c r="K21" i="1"/>
  <c r="K20" i="1"/>
  <c r="K19" i="1"/>
  <c r="K16" i="1"/>
  <c r="K14" i="1"/>
  <c r="K13" i="1"/>
  <c r="K12" i="1"/>
  <c r="K11" i="1"/>
  <c r="K10" i="1"/>
  <c r="J9" i="1"/>
  <c r="J15" i="1" s="1"/>
  <c r="J17" i="1" s="1"/>
  <c r="I9" i="1"/>
  <c r="I15" i="1" s="1"/>
  <c r="I17" i="1" s="1"/>
  <c r="I23" i="1" s="1"/>
  <c r="I25" i="1" s="1"/>
  <c r="H9" i="1"/>
  <c r="H15" i="1" s="1"/>
  <c r="H17" i="1" s="1"/>
  <c r="H23" i="1" s="1"/>
  <c r="G9" i="1"/>
  <c r="G15" i="1" s="1"/>
  <c r="G17" i="1" s="1"/>
  <c r="G23" i="1" s="1"/>
  <c r="G25" i="1" s="1"/>
  <c r="F9" i="1"/>
  <c r="F15" i="1" s="1"/>
  <c r="F17" i="1" s="1"/>
  <c r="F23" i="1" s="1"/>
  <c r="F25" i="1" s="1"/>
  <c r="E9" i="1"/>
  <c r="E15" i="1" s="1"/>
  <c r="E17" i="1" s="1"/>
  <c r="E23" i="1" s="1"/>
  <c r="E25" i="1" s="1"/>
  <c r="D9" i="1"/>
  <c r="D15" i="1" s="1"/>
  <c r="D17" i="1" s="1"/>
  <c r="D23" i="1" s="1"/>
  <c r="C9" i="1"/>
  <c r="K8" i="1"/>
  <c r="K7" i="1"/>
  <c r="D53" i="17" l="1"/>
  <c r="J43" i="5"/>
  <c r="D46" i="20"/>
  <c r="D28" i="20"/>
  <c r="D23" i="20"/>
  <c r="C167" i="16"/>
  <c r="D42" i="17"/>
  <c r="D25" i="1"/>
  <c r="H25" i="1"/>
  <c r="E42" i="17"/>
  <c r="J12" i="8"/>
  <c r="D57" i="20"/>
  <c r="E57" i="20"/>
  <c r="H43" i="5"/>
  <c r="I19" i="4"/>
  <c r="E13" i="20"/>
  <c r="E16" i="20" s="1"/>
  <c r="E18" i="20" s="1"/>
  <c r="H11" i="11"/>
  <c r="H10" i="11"/>
  <c r="G14" i="11"/>
  <c r="E11" i="15"/>
  <c r="E14" i="15"/>
  <c r="D231" i="21"/>
  <c r="E254" i="21"/>
  <c r="D243" i="21"/>
  <c r="C351" i="21"/>
  <c r="E28" i="20"/>
  <c r="E46" i="20"/>
  <c r="C166" i="16"/>
  <c r="E31" i="17"/>
  <c r="E37" i="17"/>
  <c r="F43" i="5" s="1"/>
  <c r="D61" i="17"/>
  <c r="E83" i="17"/>
  <c r="C79" i="17"/>
  <c r="C80" i="17" s="1"/>
  <c r="C83" i="17" s="1"/>
  <c r="C84" i="17" s="1"/>
  <c r="C85" i="17" s="1"/>
  <c r="C86" i="17" s="1"/>
  <c r="C87" i="17" s="1"/>
  <c r="C88" i="17" s="1"/>
  <c r="C91" i="17" s="1"/>
  <c r="C92" i="17" s="1"/>
  <c r="C93" i="17" s="1"/>
  <c r="C94" i="17" s="1"/>
  <c r="C95" i="17" s="1"/>
  <c r="D31" i="17"/>
  <c r="E16" i="17"/>
  <c r="E43" i="5" s="1"/>
  <c r="D20" i="17"/>
  <c r="D16" i="17"/>
  <c r="E20" i="17"/>
  <c r="D37" i="17"/>
  <c r="E53" i="17"/>
  <c r="E84" i="17" s="1"/>
  <c r="E61" i="17"/>
  <c r="E74" i="17"/>
  <c r="D94" i="17"/>
  <c r="D74" i="17"/>
  <c r="D83" i="17"/>
  <c r="D16" i="11" s="1"/>
  <c r="I68" i="4"/>
  <c r="I54" i="4"/>
  <c r="I41" i="4"/>
  <c r="I66" i="4"/>
  <c r="E21" i="4"/>
  <c r="I21" i="4" s="1"/>
  <c r="I39" i="4"/>
  <c r="I52" i="4"/>
  <c r="E95" i="3"/>
  <c r="D95" i="3"/>
  <c r="F95" i="3" s="1"/>
  <c r="D65" i="2"/>
  <c r="D67" i="2" s="1"/>
  <c r="E65" i="2"/>
  <c r="K9" i="1"/>
  <c r="C15" i="1"/>
  <c r="C17" i="1" s="1"/>
  <c r="C23" i="1" s="1"/>
  <c r="C25" i="1" s="1"/>
  <c r="D69" i="2" l="1"/>
  <c r="E243" i="21"/>
  <c r="H45" i="22" s="1"/>
  <c r="G45" i="22"/>
  <c r="E231" i="21"/>
  <c r="H44" i="22" s="1"/>
  <c r="G44" i="22"/>
  <c r="G16" i="11"/>
  <c r="J38" i="12"/>
  <c r="D29" i="20"/>
  <c r="E29" i="20"/>
  <c r="E47" i="20" s="1"/>
  <c r="E58" i="20" s="1"/>
  <c r="E60" i="20" s="1"/>
  <c r="D84" i="17"/>
  <c r="D95" i="17" s="1"/>
  <c r="E10" i="15"/>
  <c r="D47" i="20"/>
  <c r="D58" i="20" s="1"/>
  <c r="D60" i="20" s="1"/>
  <c r="D62" i="20" s="1"/>
  <c r="D64" i="20" s="1"/>
  <c r="E46" i="17"/>
  <c r="D43" i="5" s="1"/>
  <c r="D46" i="17"/>
  <c r="G95" i="3"/>
  <c r="G94" i="3"/>
  <c r="G91" i="3"/>
  <c r="G88" i="3"/>
  <c r="G77" i="3"/>
  <c r="G74" i="3"/>
  <c r="G72" i="3"/>
  <c r="G70" i="3"/>
  <c r="G68" i="3"/>
  <c r="G66" i="3"/>
  <c r="G64" i="3"/>
  <c r="G61" i="3"/>
  <c r="G59" i="3"/>
  <c r="G57" i="3"/>
  <c r="G55" i="3"/>
  <c r="G53" i="3"/>
  <c r="G51" i="3"/>
  <c r="G48" i="3"/>
  <c r="G46" i="3"/>
  <c r="G44" i="3"/>
  <c r="G42" i="3"/>
  <c r="G40" i="3"/>
  <c r="G38" i="3"/>
  <c r="G35" i="3"/>
  <c r="G33" i="3"/>
  <c r="G90" i="3"/>
  <c r="G87" i="3"/>
  <c r="G93" i="3"/>
  <c r="G92" i="3"/>
  <c r="G25" i="3"/>
  <c r="G22" i="3"/>
  <c r="G20" i="3"/>
  <c r="G18" i="3"/>
  <c r="G16" i="3"/>
  <c r="G14" i="3"/>
  <c r="G12" i="3"/>
  <c r="G9" i="3"/>
  <c r="G56" i="3"/>
  <c r="G41" i="3"/>
  <c r="G11" i="3"/>
  <c r="G58" i="3"/>
  <c r="G43" i="3"/>
  <c r="G13" i="3"/>
  <c r="G89" i="3"/>
  <c r="G52" i="3"/>
  <c r="G23" i="3"/>
  <c r="G24" i="3"/>
  <c r="G85" i="3"/>
  <c r="G63" i="3"/>
  <c r="G49" i="3"/>
  <c r="G34" i="3"/>
  <c r="G19" i="3"/>
  <c r="G29" i="3"/>
  <c r="G65" i="3"/>
  <c r="G50" i="3"/>
  <c r="G36" i="3"/>
  <c r="G21" i="3"/>
  <c r="G31" i="3"/>
  <c r="G71" i="3"/>
  <c r="G26" i="3"/>
  <c r="G73" i="3"/>
  <c r="G28" i="3"/>
  <c r="G67" i="3"/>
  <c r="G37" i="3"/>
  <c r="G86" i="3"/>
  <c r="G69" i="3"/>
  <c r="G54" i="3"/>
  <c r="G39" i="3"/>
  <c r="G10" i="3"/>
  <c r="G75" i="3"/>
  <c r="G60" i="3"/>
  <c r="G45" i="3"/>
  <c r="G30" i="3"/>
  <c r="G15" i="3"/>
  <c r="G76" i="3"/>
  <c r="G62" i="3"/>
  <c r="G47" i="3"/>
  <c r="G32" i="3"/>
  <c r="G17" i="3"/>
  <c r="G27" i="3"/>
  <c r="E66" i="2"/>
  <c r="E67" i="2" s="1"/>
  <c r="E69" i="2" s="1"/>
  <c r="K15" i="1"/>
  <c r="K17" i="1"/>
  <c r="E62" i="20" l="1"/>
  <c r="E64" i="20" s="1"/>
  <c r="E21" i="15"/>
  <c r="D9" i="22"/>
  <c r="D53" i="22"/>
  <c r="D49" i="22"/>
  <c r="D45" i="22"/>
  <c r="D41" i="22"/>
  <c r="D37" i="22"/>
  <c r="D21" i="22"/>
  <c r="D17" i="22"/>
  <c r="D13" i="22"/>
  <c r="D10" i="21"/>
  <c r="D342" i="21"/>
  <c r="E342" i="21" s="1"/>
  <c r="D346" i="21"/>
  <c r="E346" i="21" s="1"/>
  <c r="D339" i="21"/>
  <c r="D331" i="21"/>
  <c r="E331" i="21" s="1"/>
  <c r="D335" i="21"/>
  <c r="E335" i="21" s="1"/>
  <c r="D316" i="21"/>
  <c r="E316" i="21" s="1"/>
  <c r="D320" i="21"/>
  <c r="E320" i="21" s="1"/>
  <c r="D324" i="21"/>
  <c r="E324" i="21" s="1"/>
  <c r="D305" i="21"/>
  <c r="E305" i="21" s="1"/>
  <c r="D309" i="21"/>
  <c r="E309" i="21" s="1"/>
  <c r="D313" i="21"/>
  <c r="E313" i="21" s="1"/>
  <c r="D299" i="21"/>
  <c r="E299" i="21" s="1"/>
  <c r="D290" i="21"/>
  <c r="E290" i="21" s="1"/>
  <c r="D294" i="21"/>
  <c r="E294" i="21" s="1"/>
  <c r="D285" i="21"/>
  <c r="E285" i="21" s="1"/>
  <c r="D276" i="21"/>
  <c r="E276" i="21" s="1"/>
  <c r="D280" i="21"/>
  <c r="E280" i="21" s="1"/>
  <c r="D271" i="21"/>
  <c r="E271" i="21" s="1"/>
  <c r="D257" i="21"/>
  <c r="E257" i="21" s="1"/>
  <c r="D261" i="21"/>
  <c r="E261" i="21" s="1"/>
  <c r="D265" i="21"/>
  <c r="E265" i="21" s="1"/>
  <c r="D221" i="21"/>
  <c r="E221" i="21" s="1"/>
  <c r="D225" i="21"/>
  <c r="E225" i="21" s="1"/>
  <c r="D229" i="21"/>
  <c r="E229" i="21" s="1"/>
  <c r="D210" i="21"/>
  <c r="E210" i="21" s="1"/>
  <c r="D214" i="21"/>
  <c r="E214" i="21" s="1"/>
  <c r="D218" i="21"/>
  <c r="E218" i="21" s="1"/>
  <c r="D199" i="21"/>
  <c r="E199" i="21" s="1"/>
  <c r="D203" i="21"/>
  <c r="E203" i="21" s="1"/>
  <c r="D196" i="21"/>
  <c r="D188" i="21"/>
  <c r="E188" i="21" s="1"/>
  <c r="D192" i="21"/>
  <c r="E192" i="21" s="1"/>
  <c r="D173" i="21"/>
  <c r="E173" i="21" s="1"/>
  <c r="D177" i="21"/>
  <c r="E177" i="21" s="1"/>
  <c r="D181" i="21"/>
  <c r="E181" i="21" s="1"/>
  <c r="D162" i="21"/>
  <c r="E162" i="21" s="1"/>
  <c r="D166" i="21"/>
  <c r="E166" i="21" s="1"/>
  <c r="D170" i="21"/>
  <c r="E170" i="21" s="1"/>
  <c r="D56" i="22"/>
  <c r="D52" i="22"/>
  <c r="D48" i="22"/>
  <c r="D44" i="22"/>
  <c r="D40" i="22"/>
  <c r="D36" i="22"/>
  <c r="D20" i="22"/>
  <c r="D16" i="22"/>
  <c r="D12" i="22"/>
  <c r="D350" i="21"/>
  <c r="D343" i="21"/>
  <c r="E343" i="21" s="1"/>
  <c r="D347" i="21"/>
  <c r="E347" i="21" s="1"/>
  <c r="D328" i="21"/>
  <c r="E328" i="21" s="1"/>
  <c r="D332" i="21"/>
  <c r="E332" i="21" s="1"/>
  <c r="D336" i="21"/>
  <c r="E336" i="21" s="1"/>
  <c r="D317" i="21"/>
  <c r="E317" i="21" s="1"/>
  <c r="D321" i="21"/>
  <c r="E321" i="21" s="1"/>
  <c r="D325" i="21"/>
  <c r="E325" i="21" s="1"/>
  <c r="D306" i="21"/>
  <c r="E306" i="21" s="1"/>
  <c r="D310" i="21"/>
  <c r="E310" i="21" s="1"/>
  <c r="D303" i="21"/>
  <c r="D300" i="21"/>
  <c r="E300" i="21" s="1"/>
  <c r="D291" i="21"/>
  <c r="E291" i="21" s="1"/>
  <c r="D289" i="21"/>
  <c r="D286" i="21"/>
  <c r="E286" i="21" s="1"/>
  <c r="D277" i="21"/>
  <c r="E277" i="21" s="1"/>
  <c r="D275" i="21"/>
  <c r="D272" i="21"/>
  <c r="E272" i="21" s="1"/>
  <c r="D258" i="21"/>
  <c r="E258" i="21" s="1"/>
  <c r="D262" i="21"/>
  <c r="E262" i="21" s="1"/>
  <c r="D266" i="21"/>
  <c r="E266" i="21" s="1"/>
  <c r="D222" i="21"/>
  <c r="D226" i="21"/>
  <c r="E226" i="21" s="1"/>
  <c r="D230" i="21"/>
  <c r="E230" i="21" s="1"/>
  <c r="D211" i="21"/>
  <c r="E211" i="21" s="1"/>
  <c r="D215" i="21"/>
  <c r="E215" i="21" s="1"/>
  <c r="D208" i="21"/>
  <c r="D200" i="21"/>
  <c r="E200" i="21" s="1"/>
  <c r="D204" i="21"/>
  <c r="E204" i="21" s="1"/>
  <c r="D185" i="21"/>
  <c r="E185" i="21" s="1"/>
  <c r="D189" i="21"/>
  <c r="E189" i="21" s="1"/>
  <c r="D193" i="21"/>
  <c r="E193" i="21" s="1"/>
  <c r="D174" i="21"/>
  <c r="E174" i="21" s="1"/>
  <c r="D178" i="21"/>
  <c r="E178" i="21" s="1"/>
  <c r="D182" i="21"/>
  <c r="E182" i="21" s="1"/>
  <c r="D163" i="21"/>
  <c r="E163" i="21" s="1"/>
  <c r="D167" i="21"/>
  <c r="E167" i="21" s="1"/>
  <c r="D55" i="22"/>
  <c r="D51" i="22"/>
  <c r="D47" i="22"/>
  <c r="D43" i="22"/>
  <c r="D39" i="22"/>
  <c r="D31" i="22"/>
  <c r="D19" i="22"/>
  <c r="D15" i="22"/>
  <c r="D11" i="22"/>
  <c r="D340" i="21"/>
  <c r="E340" i="21" s="1"/>
  <c r="D344" i="21"/>
  <c r="E344" i="21" s="1"/>
  <c r="D348" i="21"/>
  <c r="E348" i="21" s="1"/>
  <c r="D329" i="21"/>
  <c r="E329" i="21" s="1"/>
  <c r="D333" i="21"/>
  <c r="E333" i="21" s="1"/>
  <c r="D337" i="21"/>
  <c r="E337" i="21" s="1"/>
  <c r="D318" i="21"/>
  <c r="E318" i="21" s="1"/>
  <c r="D322" i="21"/>
  <c r="E322" i="21" s="1"/>
  <c r="D315" i="21"/>
  <c r="D307" i="21"/>
  <c r="E307" i="21" s="1"/>
  <c r="D311" i="21"/>
  <c r="E311" i="21" s="1"/>
  <c r="D297" i="21"/>
  <c r="E297" i="21" s="1"/>
  <c r="D301" i="21"/>
  <c r="E301" i="21" s="1"/>
  <c r="D292" i="21"/>
  <c r="E292" i="21" s="1"/>
  <c r="D283" i="21"/>
  <c r="E283" i="21" s="1"/>
  <c r="D287" i="21"/>
  <c r="E287" i="21" s="1"/>
  <c r="D278" i="21"/>
  <c r="E278" i="21" s="1"/>
  <c r="D269" i="21"/>
  <c r="E269" i="21" s="1"/>
  <c r="D273" i="21"/>
  <c r="E273" i="21" s="1"/>
  <c r="D259" i="21"/>
  <c r="E259" i="21" s="1"/>
  <c r="D263" i="21"/>
  <c r="E263" i="21" s="1"/>
  <c r="D256" i="21"/>
  <c r="D223" i="21"/>
  <c r="E223" i="21" s="1"/>
  <c r="D227" i="21"/>
  <c r="E227" i="21" s="1"/>
  <c r="D220" i="21"/>
  <c r="E220" i="21" s="1"/>
  <c r="D212" i="21"/>
  <c r="E212" i="21" s="1"/>
  <c r="D216" i="21"/>
  <c r="E216" i="21" s="1"/>
  <c r="D197" i="21"/>
  <c r="E197" i="21" s="1"/>
  <c r="D201" i="21"/>
  <c r="E201" i="21" s="1"/>
  <c r="D205" i="21"/>
  <c r="E205" i="21" s="1"/>
  <c r="D186" i="21"/>
  <c r="E186" i="21" s="1"/>
  <c r="D190" i="21"/>
  <c r="E190" i="21" s="1"/>
  <c r="D194" i="21"/>
  <c r="E194" i="21" s="1"/>
  <c r="D175" i="21"/>
  <c r="E175" i="21" s="1"/>
  <c r="D179" i="21"/>
  <c r="E179" i="21" s="1"/>
  <c r="D172" i="21"/>
  <c r="D164" i="21"/>
  <c r="E164" i="21" s="1"/>
  <c r="D168" i="21"/>
  <c r="E168" i="21" s="1"/>
  <c r="E18" i="15"/>
  <c r="D54" i="22"/>
  <c r="D50" i="22"/>
  <c r="D46" i="22"/>
  <c r="D42" i="22"/>
  <c r="D38" i="22"/>
  <c r="D26" i="22"/>
  <c r="D18" i="22"/>
  <c r="D14" i="22"/>
  <c r="D10" i="22"/>
  <c r="D341" i="21"/>
  <c r="E341" i="21" s="1"/>
  <c r="D345" i="21"/>
  <c r="E345" i="21" s="1"/>
  <c r="D349" i="21"/>
  <c r="E349" i="21" s="1"/>
  <c r="D330" i="21"/>
  <c r="E330" i="21" s="1"/>
  <c r="D334" i="21"/>
  <c r="E334" i="21" s="1"/>
  <c r="D327" i="21"/>
  <c r="D319" i="21"/>
  <c r="E319" i="21" s="1"/>
  <c r="D323" i="21"/>
  <c r="E323" i="21" s="1"/>
  <c r="D304" i="21"/>
  <c r="E304" i="21" s="1"/>
  <c r="D308" i="21"/>
  <c r="E308" i="21" s="1"/>
  <c r="D312" i="21"/>
  <c r="E312" i="21" s="1"/>
  <c r="D298" i="21"/>
  <c r="E298" i="21" s="1"/>
  <c r="D296" i="21"/>
  <c r="D293" i="21"/>
  <c r="E293" i="21" s="1"/>
  <c r="D284" i="21"/>
  <c r="E284" i="21" s="1"/>
  <c r="D282" i="21"/>
  <c r="D279" i="21"/>
  <c r="E279" i="21" s="1"/>
  <c r="D270" i="21"/>
  <c r="E270" i="21" s="1"/>
  <c r="D268" i="21"/>
  <c r="D260" i="21"/>
  <c r="E260" i="21" s="1"/>
  <c r="D264" i="21"/>
  <c r="E264" i="21" s="1"/>
  <c r="D224" i="21"/>
  <c r="E224" i="21" s="1"/>
  <c r="D228" i="21"/>
  <c r="E228" i="21" s="1"/>
  <c r="D209" i="21"/>
  <c r="E209" i="21" s="1"/>
  <c r="D213" i="21"/>
  <c r="E213" i="21" s="1"/>
  <c r="D217" i="21"/>
  <c r="E217" i="21" s="1"/>
  <c r="D198" i="21"/>
  <c r="E198" i="21" s="1"/>
  <c r="D202" i="21"/>
  <c r="E202" i="21" s="1"/>
  <c r="D206" i="21"/>
  <c r="E206" i="21" s="1"/>
  <c r="D187" i="21"/>
  <c r="E187" i="21" s="1"/>
  <c r="D191" i="21"/>
  <c r="E191" i="21" s="1"/>
  <c r="D184" i="21"/>
  <c r="D176" i="21"/>
  <c r="E176" i="21" s="1"/>
  <c r="D180" i="21"/>
  <c r="E180" i="21" s="1"/>
  <c r="D161" i="21"/>
  <c r="E161" i="21" s="1"/>
  <c r="D165" i="21"/>
  <c r="E165" i="21" s="1"/>
  <c r="D169" i="21"/>
  <c r="E169" i="21" s="1"/>
  <c r="D150" i="21"/>
  <c r="E150" i="21" s="1"/>
  <c r="D154" i="21"/>
  <c r="E154" i="21" s="1"/>
  <c r="D158" i="21"/>
  <c r="E158" i="21" s="1"/>
  <c r="D139" i="21"/>
  <c r="E139" i="21" s="1"/>
  <c r="D143" i="21"/>
  <c r="E143" i="21" s="1"/>
  <c r="D136" i="21"/>
  <c r="D128" i="21"/>
  <c r="E128" i="21" s="1"/>
  <c r="D132" i="21"/>
  <c r="E132" i="21" s="1"/>
  <c r="D113" i="21"/>
  <c r="E113" i="21" s="1"/>
  <c r="D117" i="21"/>
  <c r="E117" i="21" s="1"/>
  <c r="D121" i="21"/>
  <c r="E121" i="21" s="1"/>
  <c r="D107" i="21"/>
  <c r="E107" i="21" s="1"/>
  <c r="D105" i="21"/>
  <c r="D93" i="21"/>
  <c r="E93" i="21" s="1"/>
  <c r="D97" i="21"/>
  <c r="E97" i="21" s="1"/>
  <c r="D101" i="21"/>
  <c r="E101" i="21" s="1"/>
  <c r="D87" i="21"/>
  <c r="E87" i="21" s="1"/>
  <c r="D78" i="21"/>
  <c r="E78" i="21" s="1"/>
  <c r="D82" i="21"/>
  <c r="E82" i="21" s="1"/>
  <c r="D73" i="21"/>
  <c r="E73" i="21" s="1"/>
  <c r="D64" i="21"/>
  <c r="E64" i="21" s="1"/>
  <c r="D68" i="21"/>
  <c r="E68" i="21" s="1"/>
  <c r="D59" i="21"/>
  <c r="E59" i="21" s="1"/>
  <c r="D53" i="21"/>
  <c r="E53" i="21" s="1"/>
  <c r="D46" i="21"/>
  <c r="E46" i="21" s="1"/>
  <c r="D50" i="21"/>
  <c r="E50" i="21" s="1"/>
  <c r="D36" i="21"/>
  <c r="E36" i="21" s="1"/>
  <c r="D35" i="21"/>
  <c r="E35" i="21" s="1"/>
  <c r="D40" i="21"/>
  <c r="E40" i="21" s="1"/>
  <c r="D12" i="21"/>
  <c r="E12" i="21" s="1"/>
  <c r="D151" i="21"/>
  <c r="E151" i="21" s="1"/>
  <c r="D155" i="21"/>
  <c r="E155" i="21" s="1"/>
  <c r="D148" i="21"/>
  <c r="E148" i="21" s="1"/>
  <c r="D140" i="21"/>
  <c r="E140" i="21" s="1"/>
  <c r="D144" i="21"/>
  <c r="E144" i="21" s="1"/>
  <c r="D125" i="21"/>
  <c r="E125" i="21" s="1"/>
  <c r="D129" i="21"/>
  <c r="E129" i="21" s="1"/>
  <c r="D133" i="21"/>
  <c r="E133" i="21" s="1"/>
  <c r="D114" i="21"/>
  <c r="E114" i="21" s="1"/>
  <c r="D118" i="21"/>
  <c r="E118" i="21" s="1"/>
  <c r="D122" i="21"/>
  <c r="E122" i="21" s="1"/>
  <c r="D108" i="21"/>
  <c r="E108" i="21" s="1"/>
  <c r="D103" i="21"/>
  <c r="D94" i="21"/>
  <c r="E94" i="21" s="1"/>
  <c r="D98" i="21"/>
  <c r="E98" i="21" s="1"/>
  <c r="D91" i="21"/>
  <c r="D88" i="21"/>
  <c r="E88" i="21" s="1"/>
  <c r="D79" i="21"/>
  <c r="E79" i="21" s="1"/>
  <c r="D77" i="21"/>
  <c r="D74" i="21"/>
  <c r="E74" i="21" s="1"/>
  <c r="D65" i="21"/>
  <c r="E65" i="21" s="1"/>
  <c r="D63" i="21"/>
  <c r="D60" i="21"/>
  <c r="E60" i="21" s="1"/>
  <c r="D54" i="21"/>
  <c r="D47" i="21"/>
  <c r="E47" i="21" s="1"/>
  <c r="D51" i="21"/>
  <c r="E51" i="21" s="1"/>
  <c r="D32" i="21"/>
  <c r="E32" i="21" s="1"/>
  <c r="D37" i="21"/>
  <c r="E37" i="21" s="1"/>
  <c r="D41" i="21"/>
  <c r="E41" i="21" s="1"/>
  <c r="D13" i="21"/>
  <c r="E13" i="21" s="1"/>
  <c r="D17" i="21"/>
  <c r="E17" i="21" s="1"/>
  <c r="D21" i="21"/>
  <c r="E21" i="21" s="1"/>
  <c r="D25" i="21"/>
  <c r="E25" i="21" s="1"/>
  <c r="D29" i="21"/>
  <c r="E29" i="21" s="1"/>
  <c r="D160" i="21"/>
  <c r="D152" i="21"/>
  <c r="D156" i="21"/>
  <c r="E156" i="21" s="1"/>
  <c r="D137" i="21"/>
  <c r="E137" i="21" s="1"/>
  <c r="D141" i="21"/>
  <c r="E141" i="21" s="1"/>
  <c r="D145" i="21"/>
  <c r="E145" i="21" s="1"/>
  <c r="D126" i="21"/>
  <c r="E126" i="21" s="1"/>
  <c r="D130" i="21"/>
  <c r="E130" i="21" s="1"/>
  <c r="D134" i="21"/>
  <c r="E134" i="21" s="1"/>
  <c r="D115" i="21"/>
  <c r="E115" i="21" s="1"/>
  <c r="D119" i="21"/>
  <c r="E119" i="21" s="1"/>
  <c r="D112" i="21"/>
  <c r="D109" i="21"/>
  <c r="E109" i="21" s="1"/>
  <c r="D95" i="21"/>
  <c r="E95" i="21" s="1"/>
  <c r="D99" i="21"/>
  <c r="E99" i="21" s="1"/>
  <c r="D85" i="21"/>
  <c r="E85" i="21" s="1"/>
  <c r="D89" i="21"/>
  <c r="E89" i="21" s="1"/>
  <c r="D80" i="21"/>
  <c r="E80" i="21" s="1"/>
  <c r="D71" i="21"/>
  <c r="E71" i="21" s="1"/>
  <c r="D75" i="21"/>
  <c r="E75" i="21" s="1"/>
  <c r="D66" i="21"/>
  <c r="E66" i="21" s="1"/>
  <c r="D57" i="21"/>
  <c r="E57" i="21" s="1"/>
  <c r="D61" i="21"/>
  <c r="E61" i="21" s="1"/>
  <c r="D44" i="21"/>
  <c r="E44" i="21" s="1"/>
  <c r="D48" i="21"/>
  <c r="E48" i="21" s="1"/>
  <c r="D52" i="21"/>
  <c r="E52" i="21" s="1"/>
  <c r="D33" i="21"/>
  <c r="E33" i="21" s="1"/>
  <c r="D38" i="21"/>
  <c r="E38" i="21" s="1"/>
  <c r="D31" i="21"/>
  <c r="D14" i="21"/>
  <c r="E14" i="21" s="1"/>
  <c r="D18" i="21"/>
  <c r="E18" i="21" s="1"/>
  <c r="D22" i="21"/>
  <c r="E22" i="21" s="1"/>
  <c r="D26" i="21"/>
  <c r="E26" i="21" s="1"/>
  <c r="D149" i="21"/>
  <c r="E149" i="21" s="1"/>
  <c r="D153" i="21"/>
  <c r="E153" i="21" s="1"/>
  <c r="D157" i="21"/>
  <c r="E157" i="21" s="1"/>
  <c r="D138" i="21"/>
  <c r="E138" i="21" s="1"/>
  <c r="D142" i="21"/>
  <c r="E142" i="21" s="1"/>
  <c r="D146" i="21"/>
  <c r="E146" i="21" s="1"/>
  <c r="D127" i="21"/>
  <c r="E127" i="21" s="1"/>
  <c r="D131" i="21"/>
  <c r="E131" i="21" s="1"/>
  <c r="D124" i="21"/>
  <c r="D116" i="21"/>
  <c r="E116" i="21" s="1"/>
  <c r="D120" i="21"/>
  <c r="E120" i="21" s="1"/>
  <c r="D106" i="21"/>
  <c r="E106" i="21" s="1"/>
  <c r="D110" i="21"/>
  <c r="E110" i="21" s="1"/>
  <c r="D92" i="21"/>
  <c r="E92" i="21" s="1"/>
  <c r="D96" i="21"/>
  <c r="E96" i="21" s="1"/>
  <c r="D100" i="21"/>
  <c r="E100" i="21" s="1"/>
  <c r="D86" i="21"/>
  <c r="E86" i="21" s="1"/>
  <c r="D84" i="21"/>
  <c r="D81" i="21"/>
  <c r="E81" i="21" s="1"/>
  <c r="D72" i="21"/>
  <c r="E72" i="21" s="1"/>
  <c r="D70" i="21"/>
  <c r="D67" i="21"/>
  <c r="E67" i="21" s="1"/>
  <c r="D58" i="21"/>
  <c r="E58" i="21" s="1"/>
  <c r="D56" i="21"/>
  <c r="D45" i="21"/>
  <c r="E45" i="21" s="1"/>
  <c r="D49" i="21"/>
  <c r="E49" i="21" s="1"/>
  <c r="D43" i="21"/>
  <c r="D34" i="21"/>
  <c r="E34" i="21" s="1"/>
  <c r="D39" i="21"/>
  <c r="E39" i="21" s="1"/>
  <c r="D11" i="21"/>
  <c r="D19" i="21"/>
  <c r="E19" i="21" s="1"/>
  <c r="D23" i="21"/>
  <c r="E23" i="21" s="1"/>
  <c r="D27" i="21"/>
  <c r="E27" i="21" s="1"/>
  <c r="D20" i="21"/>
  <c r="E20" i="21" s="1"/>
  <c r="D24" i="21"/>
  <c r="E24" i="21" s="1"/>
  <c r="D28" i="21"/>
  <c r="E28" i="21" s="1"/>
  <c r="D16" i="21"/>
  <c r="E16" i="21" s="1"/>
  <c r="E11" i="21" l="1"/>
  <c r="D9" i="21"/>
  <c r="J18" i="1"/>
  <c r="L43" i="5"/>
  <c r="E84" i="21"/>
  <c r="D83" i="21"/>
  <c r="G20" i="22"/>
  <c r="E103" i="21"/>
  <c r="H20" i="22" s="1"/>
  <c r="E184" i="21"/>
  <c r="D183" i="21"/>
  <c r="E282" i="21"/>
  <c r="D281" i="21"/>
  <c r="J10" i="22"/>
  <c r="E10" i="22"/>
  <c r="J38" i="22"/>
  <c r="E38" i="22"/>
  <c r="J54" i="22"/>
  <c r="E54" i="22"/>
  <c r="D171" i="21"/>
  <c r="E172" i="21"/>
  <c r="J11" i="22"/>
  <c r="E11" i="22"/>
  <c r="J39" i="22"/>
  <c r="E39" i="22"/>
  <c r="J55" i="22"/>
  <c r="E55" i="22"/>
  <c r="D219" i="21"/>
  <c r="E222" i="21"/>
  <c r="E289" i="21"/>
  <c r="D288" i="21"/>
  <c r="E16" i="22"/>
  <c r="K16" i="22" s="1"/>
  <c r="J16" i="22"/>
  <c r="E44" i="22"/>
  <c r="J44" i="22"/>
  <c r="E196" i="21"/>
  <c r="D195" i="21"/>
  <c r="J17" i="22"/>
  <c r="E17" i="22"/>
  <c r="K17" i="22" s="1"/>
  <c r="J45" i="22"/>
  <c r="E45" i="22"/>
  <c r="E70" i="21"/>
  <c r="D69" i="21"/>
  <c r="E124" i="21"/>
  <c r="D123" i="21"/>
  <c r="D147" i="21"/>
  <c r="E152" i="21"/>
  <c r="G12" i="22"/>
  <c r="E54" i="21"/>
  <c r="H12" i="22" s="1"/>
  <c r="E91" i="21"/>
  <c r="D90" i="21"/>
  <c r="D135" i="21"/>
  <c r="E136" i="21"/>
  <c r="E268" i="21"/>
  <c r="D267" i="21"/>
  <c r="J14" i="22"/>
  <c r="E14" i="22"/>
  <c r="J42" i="22"/>
  <c r="E42" i="22"/>
  <c r="J15" i="22"/>
  <c r="E15" i="22"/>
  <c r="J43" i="22"/>
  <c r="E43" i="22"/>
  <c r="D274" i="21"/>
  <c r="E275" i="21"/>
  <c r="E20" i="22"/>
  <c r="J20" i="22"/>
  <c r="E48" i="22"/>
  <c r="J48" i="22"/>
  <c r="E21" i="22"/>
  <c r="J49" i="22"/>
  <c r="E49" i="22"/>
  <c r="E56" i="21"/>
  <c r="D55" i="21"/>
  <c r="E31" i="21"/>
  <c r="D30" i="21"/>
  <c r="E160" i="21"/>
  <c r="D159" i="21"/>
  <c r="E77" i="21"/>
  <c r="D76" i="21"/>
  <c r="E105" i="21"/>
  <c r="D104" i="21"/>
  <c r="E327" i="21"/>
  <c r="D326" i="21"/>
  <c r="J18" i="22"/>
  <c r="E18" i="22"/>
  <c r="J46" i="22"/>
  <c r="E46" i="22"/>
  <c r="E256" i="21"/>
  <c r="D255" i="21"/>
  <c r="J19" i="22"/>
  <c r="E19" i="22"/>
  <c r="J47" i="22"/>
  <c r="E47" i="22"/>
  <c r="G56" i="22"/>
  <c r="E350" i="21"/>
  <c r="H56" i="22" s="1"/>
  <c r="E36" i="22"/>
  <c r="J36" i="22"/>
  <c r="E52" i="22"/>
  <c r="J52" i="22"/>
  <c r="E10" i="21"/>
  <c r="J37" i="22"/>
  <c r="E37" i="22"/>
  <c r="J53" i="22"/>
  <c r="E53" i="22"/>
  <c r="D42" i="21"/>
  <c r="E43" i="21"/>
  <c r="E112" i="21"/>
  <c r="D111" i="21"/>
  <c r="E63" i="21"/>
  <c r="D62" i="21"/>
  <c r="E296" i="21"/>
  <c r="D295" i="21"/>
  <c r="E26" i="22"/>
  <c r="J50" i="22"/>
  <c r="E50" i="22"/>
  <c r="K50" i="22" s="1"/>
  <c r="D314" i="21"/>
  <c r="E315" i="21"/>
  <c r="E31" i="22"/>
  <c r="J51" i="22"/>
  <c r="E51" i="22"/>
  <c r="K51" i="22" s="1"/>
  <c r="E208" i="21"/>
  <c r="D207" i="21"/>
  <c r="E303" i="21"/>
  <c r="D302" i="21"/>
  <c r="E12" i="22"/>
  <c r="J12" i="22"/>
  <c r="E40" i="22"/>
  <c r="J40" i="22"/>
  <c r="E56" i="22"/>
  <c r="K56" i="22" s="1"/>
  <c r="J56" i="22"/>
  <c r="E339" i="21"/>
  <c r="D338" i="21"/>
  <c r="J13" i="22"/>
  <c r="E13" i="22"/>
  <c r="J41" i="22"/>
  <c r="E41" i="22"/>
  <c r="D57" i="22"/>
  <c r="J9" i="22"/>
  <c r="E9" i="22"/>
  <c r="E9" i="21" l="1"/>
  <c r="H9" i="22" s="1"/>
  <c r="K9" i="22" s="1"/>
  <c r="K20" i="22"/>
  <c r="E57" i="22"/>
  <c r="K45" i="22"/>
  <c r="E338" i="21"/>
  <c r="H55" i="22" s="1"/>
  <c r="K55" i="22" s="1"/>
  <c r="G55" i="22"/>
  <c r="J57" i="22"/>
  <c r="K12" i="22"/>
  <c r="E207" i="21"/>
  <c r="H42" i="22" s="1"/>
  <c r="G42" i="22"/>
  <c r="G51" i="22"/>
  <c r="E295" i="21"/>
  <c r="H51" i="22" s="1"/>
  <c r="E111" i="21"/>
  <c r="H26" i="22" s="1"/>
  <c r="G26" i="22"/>
  <c r="D351" i="21"/>
  <c r="E351" i="21" s="1"/>
  <c r="G9" i="22"/>
  <c r="E255" i="21"/>
  <c r="H46" i="22" s="1"/>
  <c r="G46" i="22"/>
  <c r="E104" i="21"/>
  <c r="H21" i="22" s="1"/>
  <c r="G21" i="22"/>
  <c r="E159" i="21"/>
  <c r="H38" i="22" s="1"/>
  <c r="G38" i="22"/>
  <c r="G13" i="22"/>
  <c r="E55" i="21"/>
  <c r="H13" i="22" s="1"/>
  <c r="K13" i="22" s="1"/>
  <c r="E274" i="21"/>
  <c r="H48" i="22" s="1"/>
  <c r="K48" i="22" s="1"/>
  <c r="G48" i="22"/>
  <c r="E123" i="21"/>
  <c r="H31" i="22" s="1"/>
  <c r="G31" i="22"/>
  <c r="E195" i="21"/>
  <c r="H41" i="22" s="1"/>
  <c r="K41" i="22" s="1"/>
  <c r="G41" i="22"/>
  <c r="E281" i="21"/>
  <c r="H49" i="22" s="1"/>
  <c r="K49" i="22" s="1"/>
  <c r="G49" i="22"/>
  <c r="E135" i="21"/>
  <c r="H36" i="22" s="1"/>
  <c r="K36" i="22" s="1"/>
  <c r="G36" i="22"/>
  <c r="E219" i="21"/>
  <c r="H43" i="22" s="1"/>
  <c r="K43" i="22" s="1"/>
  <c r="G43" i="22"/>
  <c r="E171" i="21"/>
  <c r="H39" i="22" s="1"/>
  <c r="K39" i="22" s="1"/>
  <c r="G39" i="22"/>
  <c r="K38" i="22"/>
  <c r="E302" i="21"/>
  <c r="H52" i="22" s="1"/>
  <c r="K52" i="22" s="1"/>
  <c r="G52" i="22"/>
  <c r="E62" i="21"/>
  <c r="H14" i="22" s="1"/>
  <c r="K14" i="22" s="1"/>
  <c r="G14" i="22"/>
  <c r="E326" i="21"/>
  <c r="H54" i="22" s="1"/>
  <c r="K54" i="22" s="1"/>
  <c r="G54" i="22"/>
  <c r="E76" i="21"/>
  <c r="H16" i="22" s="1"/>
  <c r="G16" i="22"/>
  <c r="E30" i="21"/>
  <c r="H10" i="22" s="1"/>
  <c r="K10" i="22" s="1"/>
  <c r="G10" i="22"/>
  <c r="G47" i="22"/>
  <c r="E267" i="21"/>
  <c r="H47" i="22" s="1"/>
  <c r="K47" i="22" s="1"/>
  <c r="E90" i="21"/>
  <c r="H18" i="22" s="1"/>
  <c r="K18" i="22" s="1"/>
  <c r="G18" i="22"/>
  <c r="G15" i="22"/>
  <c r="E69" i="21"/>
  <c r="H15" i="22" s="1"/>
  <c r="K15" i="22" s="1"/>
  <c r="K44" i="22"/>
  <c r="E288" i="21"/>
  <c r="H50" i="22" s="1"/>
  <c r="G50" i="22"/>
  <c r="G40" i="22"/>
  <c r="E183" i="21"/>
  <c r="H40" i="22" s="1"/>
  <c r="K40" i="22" s="1"/>
  <c r="G17" i="22"/>
  <c r="E83" i="21"/>
  <c r="H17" i="22" s="1"/>
  <c r="E314" i="21"/>
  <c r="H53" i="22" s="1"/>
  <c r="K53" i="22" s="1"/>
  <c r="G53" i="22"/>
  <c r="E42" i="21"/>
  <c r="H11" i="22" s="1"/>
  <c r="G11" i="22"/>
  <c r="K19" i="22"/>
  <c r="K46" i="22"/>
  <c r="K42" i="22"/>
  <c r="E147" i="21"/>
  <c r="H37" i="22" s="1"/>
  <c r="K37" i="22" s="1"/>
  <c r="G37" i="22"/>
  <c r="K18" i="1"/>
  <c r="J23" i="1"/>
  <c r="D156" i="16" l="1"/>
  <c r="H57" i="22"/>
  <c r="K11" i="22"/>
  <c r="K57" i="22" s="1"/>
  <c r="E19" i="15" s="1"/>
  <c r="E20" i="15" s="1"/>
  <c r="E22" i="15" s="1"/>
  <c r="G57" i="22"/>
  <c r="K23" i="1"/>
  <c r="E93" i="17" l="1"/>
  <c r="D165" i="16"/>
  <c r="D167" i="16" l="1"/>
  <c r="D166" i="16"/>
  <c r="E94" i="17"/>
  <c r="J25" i="1"/>
  <c r="E95" i="17" l="1"/>
  <c r="K25" i="1"/>
  <c r="D9" i="6"/>
</calcChain>
</file>

<file path=xl/sharedStrings.xml><?xml version="1.0" encoding="utf-8"?>
<sst xmlns="http://schemas.openxmlformats.org/spreadsheetml/2006/main" count="2498" uniqueCount="1120">
  <si>
    <t xml:space="preserve"> </t>
  </si>
  <si>
    <t/>
  </si>
  <si>
    <t>Өмч</t>
  </si>
  <si>
    <t>Халаасны хувьцаа</t>
  </si>
  <si>
    <t>Нэмж төлөгдсөн капитал</t>
  </si>
  <si>
    <t>Тогтвортой байдлын нөөц сан</t>
  </si>
  <si>
    <t>Хөрөнгийн дахин үнэлгээний нэмэгдэл</t>
  </si>
  <si>
    <t>Гадаад валютын хөрвүүлэлтийн нөөц</t>
  </si>
  <si>
    <t>Эздийн өмчийн бусад хэсэг</t>
  </si>
  <si>
    <t>Хуримтлагдсан ашиг</t>
  </si>
  <si>
    <t>Нийт дүн</t>
  </si>
  <si>
    <t>20.... оны ..-р сарын ...-ний үлдэгдэл</t>
  </si>
  <si>
    <t>Нягтлан бодох бүртгэлийн бодлогын өөрчлөлтийн нөлөө, алдааны залруулга</t>
  </si>
  <si>
    <t>Залруулсан  үлдэгдэл</t>
  </si>
  <si>
    <t>Тайлант үеийн цэвэр ашиг (алдагдал)</t>
  </si>
  <si>
    <t>Бусад дэлгэрэнгүй орлого</t>
  </si>
  <si>
    <t>Өмчид гарсан өөрчлөлт</t>
  </si>
  <si>
    <t>Зарласан ногдол ашиг</t>
  </si>
  <si>
    <t>Дахин үнэлгээний нэмэгдлийн хэрэгжсэн дүн</t>
  </si>
  <si>
    <t>-</t>
  </si>
  <si>
    <t>Мөнгө, түүнтэй адилтгах хөрөнгө</t>
  </si>
  <si>
    <t>Хөрөнгө оруулалт</t>
  </si>
  <si>
    <t>Дүн</t>
  </si>
  <si>
    <t>Эзлэх хувь</t>
  </si>
  <si>
    <t>4. Банкны хугацаатай хадгаламж  (мөр4=мөр(4.1+...+4.14))</t>
  </si>
  <si>
    <t>5. Банкны хадгаламжийн сертификат (мөр5=мөр(5.1+...+5.14))</t>
  </si>
  <si>
    <t>А. ХУВЬЦАА БОЛОН ТҮҮНТЭЙ АДИЛТГАН ТООЦОХ ҮНЭТ ЦААСНААС БУСАД ҮНЭТ ЦААС</t>
  </si>
  <si>
    <t>Хэвийн</t>
  </si>
  <si>
    <t>Хугацаа хэтэрсэн</t>
  </si>
  <si>
    <t>Хэвийн бус</t>
  </si>
  <si>
    <t>Эргэлзээтэй</t>
  </si>
  <si>
    <t>Муу</t>
  </si>
  <si>
    <t>ДҮН</t>
  </si>
  <si>
    <t>Хувьцаа болон түүнтэй адилтган тооцох үнэт цааснаас бусад үнэт цаас</t>
  </si>
  <si>
    <t>Үнэт цаас 1</t>
  </si>
  <si>
    <t>Үнэт цаас 2</t>
  </si>
  <si>
    <t>Үнэт цаас 3</t>
  </si>
  <si>
    <t>Үнэт цаас 4</t>
  </si>
  <si>
    <t>Үнэт цаас 5</t>
  </si>
  <si>
    <t>Хувьцаа болон түүнтэй адилтган тооцох үнэт цааснаас бусад үнэт цаасны нийт дүн</t>
  </si>
  <si>
    <t>Хувьцаа болон түүнтэй адилтган тооцох үнэт цааснаас бусад үнэт цаасны эрсдэлийн дүн</t>
  </si>
  <si>
    <t>Хувьцаа болон түүнтэй адилтган тооцох үнэт цааснаас бусад үнэт цаасны цэвэр дүн</t>
  </si>
  <si>
    <t>Б. ӨМЧЛӨХ БУСАД ХӨРӨНГӨ</t>
  </si>
  <si>
    <t>Өмчлөх бусад хөрөнгө</t>
  </si>
  <si>
    <t>Хөрөнгө 1</t>
  </si>
  <si>
    <t>Хөрөнгө 2</t>
  </si>
  <si>
    <t>Хөрөнгө 3</t>
  </si>
  <si>
    <t>Хөрөнгө 4</t>
  </si>
  <si>
    <t>Хөрөнгө 5</t>
  </si>
  <si>
    <t>Хөрөнгө 6</t>
  </si>
  <si>
    <t>Хөрөнгө 7</t>
  </si>
  <si>
    <t>Хөрөнгө 8</t>
  </si>
  <si>
    <t>Хөрөнгө 9</t>
  </si>
  <si>
    <t>Хөрөнгө 10</t>
  </si>
  <si>
    <t>Өмчлөх бусад хөрөнгийн нийт дүн</t>
  </si>
  <si>
    <t>Өмчлөх бусад хөрөнгийн эрсдэлийн дүн</t>
  </si>
  <si>
    <t>Өмчлөх бусад хөрөнгийн цэвэр дүн</t>
  </si>
  <si>
    <t>В. АВЛАГА</t>
  </si>
  <si>
    <t>ДААТГАЛЫН АВЛАГА</t>
  </si>
  <si>
    <t>Даатгалын хураамжийн авлага</t>
  </si>
  <si>
    <t>Буруутай этгээдээс авах авлага</t>
  </si>
  <si>
    <t>Давхар даатгалаас авах авлага</t>
  </si>
  <si>
    <t>Даатгалын авлагын нийт дүн</t>
  </si>
  <si>
    <t>Даатгалын авлагын эрсдлийн дүн</t>
  </si>
  <si>
    <t>Даатгалын авлагын цэвэр дүн</t>
  </si>
  <si>
    <t>БУСАД САНХҮҮГИЙН БА САНХҮҮГИЙН БУС ХӨРӨНГӨД БАЙГАА АВЛАГА</t>
  </si>
  <si>
    <t>Авлага 1</t>
  </si>
  <si>
    <t>Авлага 2</t>
  </si>
  <si>
    <t>Авлага 3</t>
  </si>
  <si>
    <t>Авлага 4</t>
  </si>
  <si>
    <t>Авлага 5</t>
  </si>
  <si>
    <t>Авлага 6</t>
  </si>
  <si>
    <t>Авлага 7</t>
  </si>
  <si>
    <t>Авлага 8</t>
  </si>
  <si>
    <t>Авлага 9</t>
  </si>
  <si>
    <t>Авлага 10</t>
  </si>
  <si>
    <t>Бусад санхүүгийн ба санхүүгийн бус хөрөнгөд байгаа авлагын дүн</t>
  </si>
  <si>
    <t>Авлагын эрсдлийн дүн</t>
  </si>
  <si>
    <t>Бусад санхүүгийн ба санхүүгийн бус хөрөнгөд байгаа авлагын цэвэр дүн</t>
  </si>
  <si>
    <t>Нийт хөрөнгө</t>
  </si>
  <si>
    <t>Даатгалын хураамжийн нийт орлого</t>
  </si>
  <si>
    <t>Бусад орлого</t>
  </si>
  <si>
    <t>Нөхөн төлбөрийн зардал</t>
  </si>
  <si>
    <t>Бусад зардал</t>
  </si>
  <si>
    <t>Ажиллагчдын тоо /тоогоор/</t>
  </si>
  <si>
    <t>Төв компани</t>
  </si>
  <si>
    <t>Архангай</t>
  </si>
  <si>
    <t>Баян-Өлгий</t>
  </si>
  <si>
    <t>Булган</t>
  </si>
  <si>
    <t>Говь-Алтай</t>
  </si>
  <si>
    <t>Дорноговь</t>
  </si>
  <si>
    <t>Дорнод</t>
  </si>
  <si>
    <t>Дундговь</t>
  </si>
  <si>
    <t>Завхан</t>
  </si>
  <si>
    <t>Өвөрхангай</t>
  </si>
  <si>
    <t>Өмнөговь</t>
  </si>
  <si>
    <t>Сүхбаатар</t>
  </si>
  <si>
    <t>Сэлэнгэ</t>
  </si>
  <si>
    <t>Төв</t>
  </si>
  <si>
    <t>Увс</t>
  </si>
  <si>
    <t>Ховд</t>
  </si>
  <si>
    <t>Хөвсгөл</t>
  </si>
  <si>
    <t>Хэнтий</t>
  </si>
  <si>
    <t>Орхон</t>
  </si>
  <si>
    <t>Говьсүмбэр</t>
  </si>
  <si>
    <t>Чингэлтэй дүүрэг</t>
  </si>
  <si>
    <t>Баянзүрх дүүрэг</t>
  </si>
  <si>
    <t>Хан-Уул дүүрэг</t>
  </si>
  <si>
    <t>Багануур дүүрэг</t>
  </si>
  <si>
    <t>Сүхбаатар дүүрэг</t>
  </si>
  <si>
    <t>Налайх дүүрэг</t>
  </si>
  <si>
    <t>Багахангай дүүрэг</t>
  </si>
  <si>
    <t>Баянгол дүүрэг</t>
  </si>
  <si>
    <t>Холбоотой талын нэр</t>
  </si>
  <si>
    <t>Ажил гүйлгээний утга</t>
  </si>
  <si>
    <t>Орлого</t>
  </si>
  <si>
    <t>Зарлага</t>
  </si>
  <si>
    <t>Үлдэгдэл</t>
  </si>
  <si>
    <t>Үүнээс: Төрийн байгууллага, албан газар</t>
  </si>
  <si>
    <t>Даатгалын шимтгэлийн дүн</t>
  </si>
  <si>
    <t>ХӨРӨНГӨ</t>
  </si>
  <si>
    <t>Бэлэн мөнгө</t>
  </si>
  <si>
    <t>Харилцах</t>
  </si>
  <si>
    <t>Банк санхүүгийн байгууллагад байршуулсан хөрөнгө</t>
  </si>
  <si>
    <t>Мөнгөн хөрөнгөнд хуримтлуулж тооцсон хүүний авлага</t>
  </si>
  <si>
    <t>Даатгалын авлага</t>
  </si>
  <si>
    <t>Бусад санхүүгийн хөрөнгө</t>
  </si>
  <si>
    <t>Бусад авлага /цэвэр дүнгээр/</t>
  </si>
  <si>
    <t>Бусад санхүүгийн бус  хөрөнгө</t>
  </si>
  <si>
    <t>НДШ авлага, бусад татварын авлага</t>
  </si>
  <si>
    <t>ААНОАТатварын авлага</t>
  </si>
  <si>
    <t>Хойшлогдсон татварын хөрөнгө</t>
  </si>
  <si>
    <t>Бараа материал</t>
  </si>
  <si>
    <t>Урьдчилж төлсөн зардал/тооцоо</t>
  </si>
  <si>
    <t>Өмчлөх бусад хөрөнгө /цэвэр/</t>
  </si>
  <si>
    <t>Хадгаламж, хадгаламжийн сертификат</t>
  </si>
  <si>
    <t>Үнэт цаас /цэвэр/</t>
  </si>
  <si>
    <t>Хараат ба хамтын хяналттай, охин компаниудад оруулсан хөрөнгө оруулалт</t>
  </si>
  <si>
    <t>Үнэт металл, Дериватив</t>
  </si>
  <si>
    <t>Даатгалын хөрөнгө</t>
  </si>
  <si>
    <t>ДД-ын хойшлогдсон хураамж</t>
  </si>
  <si>
    <t>Нөхөн төлбөрийн нөөцийн ДД-ын ногдох хэсэг</t>
  </si>
  <si>
    <t>Даатгалын орлогын шимтгэлийн хойшлогдсон зардал</t>
  </si>
  <si>
    <t>Үндсэн хөрөнгө /Цэвэр/</t>
  </si>
  <si>
    <t>Биет бус хөрөнгө /Цэвэр/</t>
  </si>
  <si>
    <t>Хөрөнгө оруулалтын зориулалттай үл хөдлөх  хөрөнгө</t>
  </si>
  <si>
    <t>НИЙТ ХӨРӨНГИЙН ДҮН</t>
  </si>
  <si>
    <t>ӨР ТӨЛБӨР БА ЭЗДИЙН ӨМЧ</t>
  </si>
  <si>
    <t>ӨР ТӨЛБӨР</t>
  </si>
  <si>
    <t>Даатгалын өглөг</t>
  </si>
  <si>
    <t>Даатгалын хураамжийн буцаалтын өглөг</t>
  </si>
  <si>
    <t>Даатгалын гэрээний шимтгэлийн өглөг</t>
  </si>
  <si>
    <t>ДД өгөх өглөг</t>
  </si>
  <si>
    <t>Бусад санхүүгийн өр төлбөр</t>
  </si>
  <si>
    <t>Зээлийн өглөг, хүү</t>
  </si>
  <si>
    <t>Өрийн бичиг, хүү</t>
  </si>
  <si>
    <t>Санхүүгийн түрээсийн өр төлбөр</t>
  </si>
  <si>
    <t>Ногдол ашгийн өглөг</t>
  </si>
  <si>
    <t>Деривативын өр төлбөр</t>
  </si>
  <si>
    <t>Бусад өр төлбөр</t>
  </si>
  <si>
    <t>Бусад санхүүгийн бус өр төлбөр</t>
  </si>
  <si>
    <t>Цалингийн өглөг</t>
  </si>
  <si>
    <t>НДШ-ийн өглөг</t>
  </si>
  <si>
    <t>ААНОАТатварын өглөг</t>
  </si>
  <si>
    <t>Хойшлогдсон татварын өглөг</t>
  </si>
  <si>
    <t>Урьдчилж орсон орлого</t>
  </si>
  <si>
    <t>Нийгмийн хөгжлийн сангийн өр төлбөр</t>
  </si>
  <si>
    <t>Хуулийн байууллагаар шийдэгдэж байгаа зүйлсийн өр төлбөр</t>
  </si>
  <si>
    <t>Мөнгөөр төлөгдөх хувьцааны опцион</t>
  </si>
  <si>
    <t>Тэтгэврийн сангийн өр төлбөр</t>
  </si>
  <si>
    <t>Санхүүгийн түрээсийн хэрэгжээгүй орлого</t>
  </si>
  <si>
    <t>Хоёрдогч өглөг</t>
  </si>
  <si>
    <t>Давуу эрхийн хувьцаа (хөрвөхгүй)</t>
  </si>
  <si>
    <t>Нөөц сан</t>
  </si>
  <si>
    <t>Алдагдлаас хамгаалах сан</t>
  </si>
  <si>
    <t>Хамтын эрсдэлийн сан</t>
  </si>
  <si>
    <t>Эрсдэлээс хамгаалах сан</t>
  </si>
  <si>
    <t>Бусад нөөц сан</t>
  </si>
  <si>
    <t>ЭЗДИЙН ӨМЧ</t>
  </si>
  <si>
    <t>Эзэмшигчдийн өмч</t>
  </si>
  <si>
    <t>Хөрөнгийн дахин үнэлгээний өөрчлөлт</t>
  </si>
  <si>
    <t>Хуримтлагдсан ашиг, алдагдал</t>
  </si>
  <si>
    <t>Даатгалын хураамжийн буцаалт</t>
  </si>
  <si>
    <t>Давхар даатгалын хураамж</t>
  </si>
  <si>
    <t>Даатгалын цэвэр хураамжийн орлого</t>
  </si>
  <si>
    <t>Нийт төлсөн нэхэмжлэл</t>
  </si>
  <si>
    <t>Даатгалын нөөц сангийн өөрчлөлт</t>
  </si>
  <si>
    <t>Алдагдлаас хамгаалах сангийн өөрчлөлт</t>
  </si>
  <si>
    <t>Хамтын эрсдэлийн сангийн өөрчлөлт</t>
  </si>
  <si>
    <t>Бусад нөөц сангийн өөрчлөлт</t>
  </si>
  <si>
    <t>Даатгалын хураамжийн бус орлого</t>
  </si>
  <si>
    <t>Хөрөнгө оруулалтын орлого</t>
  </si>
  <si>
    <t>Үйл ажиллагаа (борлуулалт, ерөнхий удирдлага)-ны зардал</t>
  </si>
  <si>
    <t>Үндсэн болон нэмэгдэл цалин</t>
  </si>
  <si>
    <t>Нийгмийн даатгалын шимтгэл</t>
  </si>
  <si>
    <t>Засвар үйлчилгээний зардал</t>
  </si>
  <si>
    <t>Ашиглалтын зардал</t>
  </si>
  <si>
    <t>Түрээсийн зардал</t>
  </si>
  <si>
    <t>Албан томилолтын зардал</t>
  </si>
  <si>
    <t>Тээврийн зардал</t>
  </si>
  <si>
    <t>Түүхий эд материалын зардал</t>
  </si>
  <si>
    <t>Элэгдлийн зардал</t>
  </si>
  <si>
    <t>Зар сурталчилгааны зардал</t>
  </si>
  <si>
    <t>Шуудан, холбооны зардал</t>
  </si>
  <si>
    <t>Шатахууны зардал</t>
  </si>
  <si>
    <t>Найдваргүй авлагын зардал</t>
  </si>
  <si>
    <t>Бусдаар ажил гүйцэтгүүлсэн ажлын зардал</t>
  </si>
  <si>
    <t>Даатгалын төлөөлөгчийн шимтгэл</t>
  </si>
  <si>
    <t>Үндсэн бус үйл ажиллагааны ашиг (алдагдал)</t>
  </si>
  <si>
    <t>Үндсэн бус үйлдвэрлэл, үйлчилгээний ашиг, алдагдал</t>
  </si>
  <si>
    <t>Торгууль, хөнгөлөлтийн ашиг (алдагдал)</t>
  </si>
  <si>
    <t>Ногдол ашгийн орлого</t>
  </si>
  <si>
    <t>Валютын ханшийн өөрчлөлтийн хэрэгжсэн ашиг (алдагдал)</t>
  </si>
  <si>
    <t>Валютын ханшийн өөрчлөлтийн хэрэгжээгүй ашиг (алдагдал)</t>
  </si>
  <si>
    <t>Хувьцаа, бондын зардлын хорогдуулга</t>
  </si>
  <si>
    <t>Хараат болон хамтарсан үйлдвэрээс олсон ашиг</t>
  </si>
  <si>
    <t>Бусад</t>
  </si>
  <si>
    <t>Орлогын татварын зардал</t>
  </si>
  <si>
    <t>Цөөнхөд ногдох хувь</t>
  </si>
  <si>
    <t>Онцгой шинжтэй зүйлс-цэвэр</t>
  </si>
  <si>
    <t>Нэгж хувьцаанд ногдох ашиг (алдагдал)</t>
  </si>
  <si>
    <t>Эхний үлдэгдэл</t>
  </si>
  <si>
    <t>Хасагдсан</t>
  </si>
  <si>
    <t>Даатгалын гэрээний тоо</t>
  </si>
  <si>
    <t>Даатгалын үнэлгээ</t>
  </si>
  <si>
    <t>Даатгалын нийт хураамж</t>
  </si>
  <si>
    <t>Үүнээс: давхар даатгалын зуучлагчаар дамжсан</t>
  </si>
  <si>
    <t>1.Ердийн даатгал</t>
  </si>
  <si>
    <t>2.Урт хугацааны даатгал</t>
  </si>
  <si>
    <t>Хөрөнгийн ангилал</t>
  </si>
  <si>
    <t>Зөвшөөрөгдөх хэмжээнд байгаа дүн</t>
  </si>
  <si>
    <t>Нийт хөрөнгөд ногдох зөвшөөрөгдөхгүй дүн</t>
  </si>
  <si>
    <t>Нэгжид ногдох зөвшөөрөгдөх хэмжээнд байгаа дүн</t>
  </si>
  <si>
    <t>Зөвшөөрөгдөх хөрөнгийг бууруулах дүн</t>
  </si>
  <si>
    <t>Нийт зөвшөөрөгдөхгүй хөрөнгийн дүн</t>
  </si>
  <si>
    <t>1</t>
  </si>
  <si>
    <t>2</t>
  </si>
  <si>
    <t>3</t>
  </si>
  <si>
    <t>4</t>
  </si>
  <si>
    <t>5</t>
  </si>
  <si>
    <t>Төв банкны үнэт цаас</t>
  </si>
  <si>
    <t>6</t>
  </si>
  <si>
    <t>7</t>
  </si>
  <si>
    <t>8</t>
  </si>
  <si>
    <t>Санхүүгийн түрээс</t>
  </si>
  <si>
    <t>9</t>
  </si>
  <si>
    <t>Хөрөнгөөр баталгаажсан үнэт цаас</t>
  </si>
  <si>
    <t>10</t>
  </si>
  <si>
    <t>11</t>
  </si>
  <si>
    <t>12</t>
  </si>
  <si>
    <t>13</t>
  </si>
  <si>
    <t>14</t>
  </si>
  <si>
    <t>15</t>
  </si>
  <si>
    <t>16</t>
  </si>
  <si>
    <t>Урьдчилж төлсөн зардал</t>
  </si>
  <si>
    <t>17</t>
  </si>
  <si>
    <t>18</t>
  </si>
  <si>
    <t>19</t>
  </si>
  <si>
    <t>Үл хөдлөх хөрөнгө</t>
  </si>
  <si>
    <t>20</t>
  </si>
  <si>
    <t>Биет бус хөрөнгө</t>
  </si>
  <si>
    <t>21</t>
  </si>
  <si>
    <t>22</t>
  </si>
  <si>
    <t>23</t>
  </si>
  <si>
    <t>Нэгжид ногдох хөрөнгийн дүн</t>
  </si>
  <si>
    <t>Хаан банк</t>
  </si>
  <si>
    <t>Голомт банк</t>
  </si>
  <si>
    <t>Худалдаа хөгжлийн банк</t>
  </si>
  <si>
    <t>Төрийн банк</t>
  </si>
  <si>
    <t>Хас банк</t>
  </si>
  <si>
    <t>Үндэсний хөрөнгө оруулалтын банк</t>
  </si>
  <si>
    <t>Капитрон банк</t>
  </si>
  <si>
    <t>Ариг банк</t>
  </si>
  <si>
    <t>Кредит банк</t>
  </si>
  <si>
    <t>Богд банк</t>
  </si>
  <si>
    <t>Тооцсон дүн</t>
  </si>
  <si>
    <t>МАЯГТ СЗХ04103. ӨМЧИЙН ӨӨРЧЛӨЛТИЙН ТАЙЛАН</t>
  </si>
  <si>
    <t>Даатгагчийн нэр:</t>
  </si>
  <si>
    <t>..... оны .... сарын ...-ны өдөр</t>
  </si>
  <si>
    <t>(төгрөгөөр)</t>
  </si>
  <si>
    <t>№</t>
  </si>
  <si>
    <t>ҮЗҮҮЛЭЛТ</t>
  </si>
  <si>
    <t>А</t>
  </si>
  <si>
    <t>Б</t>
  </si>
  <si>
    <t>20.... оны ... -р сарын ... -ний үлдэгдэл</t>
  </si>
  <si>
    <t>тамга тэмдэг</t>
  </si>
  <si>
    <t xml:space="preserve">ТАЙЛАН ГАРГАСАН:    </t>
  </si>
  <si>
    <t xml:space="preserve"> Гүйцэтгэх захирал</t>
  </si>
  <si>
    <t xml:space="preserve">/................................../   </t>
  </si>
  <si>
    <t>/................................./</t>
  </si>
  <si>
    <t xml:space="preserve"> Ерөнхий нягтлан бодогч  </t>
  </si>
  <si>
    <t xml:space="preserve">/.................................../   </t>
  </si>
  <si>
    <t>/................................/</t>
  </si>
  <si>
    <t>...................................................</t>
  </si>
  <si>
    <t>МАЯГТ СЗХ04104. МӨНГӨН ГҮЙЛГЭЭНИЙ ТАЙЛАН</t>
  </si>
  <si>
    <t>Мөрийн дугаар</t>
  </si>
  <si>
    <t>... оны ..-р сарын ..</t>
  </si>
  <si>
    <t>В</t>
  </si>
  <si>
    <t>Үндсэн үйл ажиллагааны мөнгөн гүйлгээ</t>
  </si>
  <si>
    <t>Мөнгөн орлогын дүн (+)</t>
  </si>
  <si>
    <t>1.1.1</t>
  </si>
  <si>
    <t>Даатгалын хураамжийн орлого</t>
  </si>
  <si>
    <t>1.1.2</t>
  </si>
  <si>
    <t>Давхар даатгалын нөхөн төлбөр</t>
  </si>
  <si>
    <t>1.1.3</t>
  </si>
  <si>
    <t>Эрхийн шимтгэл, хураамж, төлбөрийн орлого</t>
  </si>
  <si>
    <t>1.1.4</t>
  </si>
  <si>
    <t>Даатгалын нөхвөрөөс хүлээн авсан мөнгө</t>
  </si>
  <si>
    <t>1.1.5</t>
  </si>
  <si>
    <t>Буцаан авсан албан татвар</t>
  </si>
  <si>
    <t>1.1.6</t>
  </si>
  <si>
    <t>Татаас, санхүүжилтийн орлого</t>
  </si>
  <si>
    <t>1.1.7</t>
  </si>
  <si>
    <t>Бусад мөнгөн орлого</t>
  </si>
  <si>
    <t>Мөнгөн зарлагын дүн (-)</t>
  </si>
  <si>
    <t>1.2.1</t>
  </si>
  <si>
    <t>Ажиллагчдад төлсөн</t>
  </si>
  <si>
    <t>1.2.2</t>
  </si>
  <si>
    <t>Нийгмийн даатгалын байгууллагад төлсөн</t>
  </si>
  <si>
    <t>1.2.3</t>
  </si>
  <si>
    <t>Бараа материал худалдан авахад төлсөн</t>
  </si>
  <si>
    <t>1.2.4</t>
  </si>
  <si>
    <t>Ашиглалтын зардалд төлсөн</t>
  </si>
  <si>
    <t>1.2.5</t>
  </si>
  <si>
    <t>Давхар даатгагчид төлсөн давхар даатгалын хураамж</t>
  </si>
  <si>
    <t>1.2.6</t>
  </si>
  <si>
    <t>Нөхөн төлбөрт төлсөн</t>
  </si>
  <si>
    <t>1.2.7</t>
  </si>
  <si>
    <t>Үүнээс: Сайн дурын даатгалын</t>
  </si>
  <si>
    <t>1.2.8</t>
  </si>
  <si>
    <t>Албан журмын даатгалын</t>
  </si>
  <si>
    <t>1.2.9</t>
  </si>
  <si>
    <t>1.2.10</t>
  </si>
  <si>
    <t>Даатгалын зуучлагчид төлсөн төлбөр</t>
  </si>
  <si>
    <t>1.2.11</t>
  </si>
  <si>
    <t>Даатгалын хохирол үнэлэгчид төлсөн төлбөр</t>
  </si>
  <si>
    <t>1.2.12</t>
  </si>
  <si>
    <t>Түлш шатахуун, тээврийн хөлс, сэлбэг хэрэгсэлд төлсөн</t>
  </si>
  <si>
    <t>1.2.13</t>
  </si>
  <si>
    <t>Хүүний төлбөрт төлсөн</t>
  </si>
  <si>
    <t>1.2.14</t>
  </si>
  <si>
    <t>Татварын байгууллагад төлсөн</t>
  </si>
  <si>
    <t>1.2.15</t>
  </si>
  <si>
    <t>Даатгалын төлбөрт төлсөн</t>
  </si>
  <si>
    <t>1.2.16</t>
  </si>
  <si>
    <t>Бусад мөнгөн зарлага</t>
  </si>
  <si>
    <t>Үндсэн үйл ажиллагааны цэвэр мөнгөн гүйлгээний дүн</t>
  </si>
  <si>
    <t>Хөрөнгө оруулалтын үйл ажиллагааны мөнгөн гүйлгээ</t>
  </si>
  <si>
    <t>2.1.1</t>
  </si>
  <si>
    <t>Үндсэн хөрөнгө борлуулсны орлого</t>
  </si>
  <si>
    <t>2.1.2</t>
  </si>
  <si>
    <t>Биет бус хөрөнгө борлуулсны орлого</t>
  </si>
  <si>
    <t>2.1.3</t>
  </si>
  <si>
    <t>Хөрөнгө оруулалт борлуулсны орлого</t>
  </si>
  <si>
    <t>2.1.4</t>
  </si>
  <si>
    <t>Бусад урт хугацаат хөрөнгө борлуулсны орлого</t>
  </si>
  <si>
    <t>2.1.5</t>
  </si>
  <si>
    <t>Бусдад олгосон зээл, мөнгөн урьдчилгааны буцаан төлөлт</t>
  </si>
  <si>
    <t>2.1.6</t>
  </si>
  <si>
    <t>Хүлээн авсан хүүний орлого</t>
  </si>
  <si>
    <t>2.1.7</t>
  </si>
  <si>
    <t>Хүлээн авсан ногдол ашиг</t>
  </si>
  <si>
    <t>2.2.1</t>
  </si>
  <si>
    <t>Үндсэн хөрөнгө олж эзэмшихэд төлсөн</t>
  </si>
  <si>
    <t>2.2.2</t>
  </si>
  <si>
    <t>Биет бус хөрөнгө олж эзэмшихэд төлсөн</t>
  </si>
  <si>
    <t>2.2.3</t>
  </si>
  <si>
    <t>Хөрөнгө оруулалт олж эзэмшихэд төлсөн</t>
  </si>
  <si>
    <t>2.2.4</t>
  </si>
  <si>
    <t>Бусад урт хугацаат хөрөнгө олж эзэмшихэд төлсөн</t>
  </si>
  <si>
    <t>2.2.5</t>
  </si>
  <si>
    <t>Бусдад олгосон зээл болон урьдчилгаа</t>
  </si>
  <si>
    <t>Хөрөнгө оруулалтын үйл ажиллагааны цэвэр мөнгөн гүйлгээний дүн</t>
  </si>
  <si>
    <t>Санхүүгийн үйл ажиллагааны мөнгөн гүйлгээ</t>
  </si>
  <si>
    <t>3.1.1</t>
  </si>
  <si>
    <t>Зээл авсан, өрийн үнэт цаас гаргаснаас хүлээн авсан</t>
  </si>
  <si>
    <t>3.1.2</t>
  </si>
  <si>
    <t>Хувьцаа болон өмчийн бусад үнэт цаас гаргаснаас хүлээн авсан</t>
  </si>
  <si>
    <t>3.1.3</t>
  </si>
  <si>
    <t>Төрөл бүрийн хандив</t>
  </si>
  <si>
    <t>3.1.4</t>
  </si>
  <si>
    <t>3.2.1</t>
  </si>
  <si>
    <t>Зээл, өрийн үнэт цаасны төлбөрт төлсөн мөнгө</t>
  </si>
  <si>
    <t>3.2.2</t>
  </si>
  <si>
    <t>Санхүүгийн түрээсийн өглөгт төлсөн</t>
  </si>
  <si>
    <t>3.2.3</t>
  </si>
  <si>
    <t>Хувьцаа буцаан худалдаж авахад төлсөн</t>
  </si>
  <si>
    <t>3.2.4</t>
  </si>
  <si>
    <t>Төлсөн ногдол ашиг</t>
  </si>
  <si>
    <t>3.2.5</t>
  </si>
  <si>
    <t>Санхүүгийн үйл ажиллагааны цэвэр мөнгөн гүйлгээний дүн</t>
  </si>
  <si>
    <t>Бүх цэвэр мөнгөн гүйлгээ</t>
  </si>
  <si>
    <t>Мөнгө, түүнтэй адилтгах хөрөнгийн эхний үлдэгдэл</t>
  </si>
  <si>
    <t>Мөнгө, түүнтэй адилтгах хөрөнгийн эцсийн үлдэгдэл</t>
  </si>
  <si>
    <t>“Даатгагч болон даатгалын мэргэжлийн оролцогчоос 
тайлан, мэдээ, өргөдөл гаргах заавар”-ын 1 дүгээр хавсралт</t>
  </si>
  <si>
    <t>МАЯГТ СЗХ04105. ДААТГАЛЫН КОМПАНИЙН ДҮРМИЙН САНГИЙН ХӨРӨНГИЙН БАЙРШИЛ</t>
  </si>
  <si>
    <t>Банкны харилцах (мөр2=мөр(2.1+...+2.14))</t>
  </si>
  <si>
    <t>Тээврийн хөгжлийн банк</t>
  </si>
  <si>
    <t>Чингисхаан банк</t>
  </si>
  <si>
    <t>Банкны хугацаагүй хадгаламж  (мөр3=мөр(3.1+...+3.14))</t>
  </si>
  <si>
    <t>Үнэт цаас (мөр6=мөр(6.1.+...6.9)</t>
  </si>
  <si>
    <t>Засгийн газрын өрийн хэрэгсэл</t>
  </si>
  <si>
    <t>Аймаг, нийслэлийн гаргасан өрийн бичиг</t>
  </si>
  <si>
    <t>Компанийн бонд</t>
  </si>
  <si>
    <t>ХБ-ийн I ангиллын хувьцаа</t>
  </si>
  <si>
    <t>ХБ-ийн II ангиллын хувьцаа</t>
  </si>
  <si>
    <t>Хөрөнгө оруулалтын сангийн үнэт цаас /нэгж эрх/</t>
  </si>
  <si>
    <t>Бусад санхүүгийн байгууллагад байршуулсан хөрөнгө (мөр10=мөр(10.1+10.2+10.3)</t>
  </si>
  <si>
    <t>Cанхүүгийн байгууллага 1</t>
  </si>
  <si>
    <t>Cанхүүгийн байгууллага 2</t>
  </si>
  <si>
    <t>Cанхүүгийн байгууллага 3</t>
  </si>
  <si>
    <t>Үндсэн хөрөнгө  (мөр11=мөр(11.1+11.2))</t>
  </si>
  <si>
    <t>Бусад үндсэн хөрөнгө</t>
  </si>
  <si>
    <t>Бусад хөрөнгө (мөр12=мөр(12.1+…+12.5)</t>
  </si>
  <si>
    <t>Бусад санхүүгийн ба санхүүгийн бус хөрөнгө</t>
  </si>
  <si>
    <t>Хөрөнгө оруулалтын зориулалттай үл хөдлөх хөрөнгө</t>
  </si>
  <si>
    <t>НИЙТ ДҮН (мөр13=мөр(1+2+...+11+12)</t>
  </si>
  <si>
    <t>“Даатгагч болон даатгалын мэргэжлийн оролцогчоос 
тайлан, мэдээ, өргөдөл гаргах заавар”-ын 2 дугаар хавсралт</t>
  </si>
  <si>
    <t>МАЯГТ СЗХ04106. ДААТГАЛЫН КОМПАНИЙН ХӨРӨНГИЙН ЭРСДЭЛИЙН ТАЙЛАН</t>
  </si>
  <si>
    <t>I</t>
  </si>
  <si>
    <t>II</t>
  </si>
  <si>
    <t>“Даатгагч болон даатгалын мэргэжлийн оролцогчоос 
тайлан, мэдээ, өргөдөл гаргах заавар”-ын 12 дугаар хавсралт</t>
  </si>
  <si>
    <t>МАЯГТ СЗХ04116. ДААТГАЛЫН КОМПАНИЙН САЛБАР, ТӨЛӨӨЛӨГЧИЙН ГАЗРЫН ЕРӨНХИЙ МЭДЭЭЛЛИЙН ТАЙЛАН</t>
  </si>
  <si>
    <t>Салбарын мэдээлэл</t>
  </si>
  <si>
    <t>Үүнээс:</t>
  </si>
  <si>
    <t>Даатгалын гэрээний тоо /тоогоор/</t>
  </si>
  <si>
    <t>Нөхөн төлбөр авсан даатгуулагчийн тоо  /тоогоор/</t>
  </si>
  <si>
    <t>Мөнгөн хөрөнгө</t>
  </si>
  <si>
    <t>Үндсэн хөрөнгө</t>
  </si>
  <si>
    <t>хувь хүн</t>
  </si>
  <si>
    <t>хуулийн этгээд</t>
  </si>
  <si>
    <t>Үүнээс: хамрагдсан даатгалын зүйл</t>
  </si>
  <si>
    <t>Үүнээс: Олгосон хувь хүн</t>
  </si>
  <si>
    <t>Баянхонгор</t>
  </si>
  <si>
    <t>Дархан-Уул</t>
  </si>
  <si>
    <t>Сонгинохайрхан дүүрэг</t>
  </si>
  <si>
    <t>“Даатгагч болон даатгалын мэргэжлийн оролцогчоос 
тайлан, мэдээ, өргөдөл гаргах заавар”-ын 13 дугаар хавсралт</t>
  </si>
  <si>
    <t>МАЯГТ СЗХ04117. ДААТГАЛЫН КОМПАНИЙН ХОЛБОГДОХ ЭТГЭЭД БОЛОН ТҮҮНТЭЙ ХОЛБООТОЙ ТАЛУУДТАЙ ХИЙСЭН АЖИЛ, ГҮЙЛГЭЭНИЙ ТАЙЛАН</t>
  </si>
  <si>
    <t xml:space="preserve">.............холбогдох этгээд </t>
  </si>
  <si>
    <t>“Даатгагч болон даатгалын мэргэжлийн оролцогчоос 
тайлан, мэдээ, өргөдөл гаргах заавар”-ын 14 дүгээр хавсралт</t>
  </si>
  <si>
    <t>МАЯГТ СЗХ04118. ДААТГАЛЫН КОМПАНИЙН ДААТГАЛЫН ЗУУЧЛАГЧИЙН ШИМТГЭЛИЙН ТАЛААРХ ТАЙЛАН</t>
  </si>
  <si>
    <t>Даатгалын зуучлагч, төлөөлөгчийн нэр</t>
  </si>
  <si>
    <t>Даатгалын  үнэлгээний дүн</t>
  </si>
  <si>
    <t>Хувь хүн</t>
  </si>
  <si>
    <t>Хуулийн этгээд</t>
  </si>
  <si>
    <t xml:space="preserve">Нийт </t>
  </si>
  <si>
    <t>Төрийн болон орон нутгийн өмчит хуулийн этгээд</t>
  </si>
  <si>
    <t>Хувьцаат компани</t>
  </si>
  <si>
    <t>Гадаадын хөрөнгө оруулалттай компани</t>
  </si>
  <si>
    <t>Даатгалын зуучлагч /хамгийн их дүнтэйгээс эхэлнэ/</t>
  </si>
  <si>
    <t xml:space="preserve">......  Даатгалын зуучлагч </t>
  </si>
  <si>
    <t>......  Даатгалын зуучлагч</t>
  </si>
  <si>
    <t>24</t>
  </si>
  <si>
    <t>25</t>
  </si>
  <si>
    <t>26</t>
  </si>
  <si>
    <t>27</t>
  </si>
  <si>
    <t>28</t>
  </si>
  <si>
    <t>29</t>
  </si>
  <si>
    <t>30</t>
  </si>
  <si>
    <t>31</t>
  </si>
  <si>
    <t>Бусад даатгалын зуучлагч</t>
  </si>
  <si>
    <t>МАЯГТ СЗХ04118. ДААТГАЛЫН КОМПАНИЙН ДААТГАЛЫН ТӨЛӨӨЛӨГЧИЙН ШИМТГЭЛИЙН ТАЛААРХ ТАЙЛАН</t>
  </si>
  <si>
    <t>Даатгалын төлөөлөгч / хамгийн их дүнтэйгээс эхэлнэ</t>
  </si>
  <si>
    <t xml:space="preserve">........Даатгалын төлөөлөгч </t>
  </si>
  <si>
    <t>Бусад төлөөлөгч</t>
  </si>
  <si>
    <t>Үзүүлэлт</t>
  </si>
  <si>
    <t>Данс</t>
  </si>
  <si>
    <t>Бэлэн мөнгө /төгрөг/</t>
  </si>
  <si>
    <t>Бэлэн мөнгө /валют/</t>
  </si>
  <si>
    <t>Замд яваа мөнгө</t>
  </si>
  <si>
    <t>Дотоодын банкин дахь харилцах /төгрөг/</t>
  </si>
  <si>
    <t>Дотоодын банкин дахь харилцах /валют/</t>
  </si>
  <si>
    <t>Гадаадын банкин дахь харилцах</t>
  </si>
  <si>
    <t>Дотоодын банкин дахь хугацаагүй хадгаламж /төгрөг/</t>
  </si>
  <si>
    <t>Дотоодын банкин дахь хугацаагүй хадгаламж /валют/</t>
  </si>
  <si>
    <t>Санхүүгийн байгууллагад байршуулсан 3 сараас бага хугацаатай хөрөнгө /төгрөг/</t>
  </si>
  <si>
    <t>Санхүүгийн байгууллагад байршуулсан 3 сараас бага хугацаатай хөрөнгө /валют/</t>
  </si>
  <si>
    <t xml:space="preserve">Гадаадын санхүүгийн байгууллагад байршуулсан 3 сараас бага хугацаатай хөрөнгө </t>
  </si>
  <si>
    <t>Дотоодын банкин дахь 3 сар хүртлэх хугацаатай хадгаламж, хадгаламжийн сертификат /төгрөг/</t>
  </si>
  <si>
    <t>Дотоодын банкин дахь  хадгаламж, 3 сар хүртлэх хугацаатай хадгаламж, хадгаламжийн сертификат /валют/</t>
  </si>
  <si>
    <t>Гадаадын банкин дахь 3 сар хүртлэх хугацаатай хадгаламж, хадгаламжийн сертификат</t>
  </si>
  <si>
    <t>3 сар хүртэл хугацаатай Үнэт цаас /төгрөг/</t>
  </si>
  <si>
    <t>3 сар хүртэл хугацаатай Үнэт цаас /валют/</t>
  </si>
  <si>
    <t>Дотоодын банкинд байршуулсан 3 сар хүртлэх хугацаатай хөрөнгө оруулалтын хүү, хямдруулалтын авлага /төгрөг/</t>
  </si>
  <si>
    <t>Дотоодын банкинд байршуулсан 3 сар хүртлэх хугацаатай хөрөнгө оруулалтын хүү, хямдруулалтын авлага /валют/</t>
  </si>
  <si>
    <t>Гадаадын банкинд байршуулсан 3 сар хүртлэх хугацаатай хөрөнгө оруулалтын хүү, хямдруулалтын авлага</t>
  </si>
  <si>
    <t>Үнэт цаасанд хуримтлуулж тооцсон хүү /төгрөг/</t>
  </si>
  <si>
    <t>Үнэт цаасанд хуримтлуулж тооцсон хүү /валют/</t>
  </si>
  <si>
    <t xml:space="preserve">Даатгалын хураамжийн авлага </t>
  </si>
  <si>
    <t>Даатгалын хураамжийн авлагын эрсдэлийн сан</t>
  </si>
  <si>
    <t xml:space="preserve">Буруутай этгээдээс авах авлага </t>
  </si>
  <si>
    <t>Буруутай этгээдээс авах авлагын эрсдэлийн сан</t>
  </si>
  <si>
    <t xml:space="preserve">Давхар даатгагчаас авах нөхөн төлбөрийн авлага </t>
  </si>
  <si>
    <t>Давхар даатгагчаас авах нөхөн төлбөрийн авлагын эрсдэлийн сан</t>
  </si>
  <si>
    <t xml:space="preserve">Давхар даатгагчаас авах хураамжийн авлага </t>
  </si>
  <si>
    <t>Давхар даатгагчаас авах хураамжийн авлагын эрсдэлийн сан</t>
  </si>
  <si>
    <t xml:space="preserve">Давхар даатгагчаас авах шимтгэлийн авлага </t>
  </si>
  <si>
    <t>Давхар даатгагчаас авах шимтгэлийн эрсдэлийн сан</t>
  </si>
  <si>
    <t xml:space="preserve">Бусад авлага </t>
  </si>
  <si>
    <t>Бусад авлагын эрсдэлийн сан</t>
  </si>
  <si>
    <t>Татварын авлага</t>
  </si>
  <si>
    <t>НДШ-ийн авлага</t>
  </si>
  <si>
    <t>Банкинд байршуулсан 3 сараас дээш хугацаатай хадгаламж, хадгаламжийн сертификат /төгрөг/</t>
  </si>
  <si>
    <t>Банкинд байршуулсан 3 сараас дээш хугацаатай хадгаламж, хадгаламжийн сертификат /валют/</t>
  </si>
  <si>
    <t>Гадаадын банкинд байршуулсан 3 сараас дээш хугацаатай хадгаламж, хадгаламжийн сертификат</t>
  </si>
  <si>
    <t>Санхүүгийн байгууллагад байршуулсан 3 сараас дээш хугацаатай хөрөнгө оруулалт</t>
  </si>
  <si>
    <t>Банкинд байршуулсан 3 сараас дээш хугацаатай хадгаламж, хадгаламжийн сертификатийн хөнгөлөлт, урамшуулал, хямдруулалт</t>
  </si>
  <si>
    <t>Банкинд байршуулсан 3 сараас дээш хугацаатай хадгаламж, хадгаламжийн сертификат, хүүний авлага /төгрөг/</t>
  </si>
  <si>
    <t>Банкинд байршуулсан 3 сараас дээш хугацаатай хадгаламж, хадгаламжийн сертификат, хүүний авлага /валют/</t>
  </si>
  <si>
    <t xml:space="preserve">Хугацааны эцэс хүртэл эзэмших үнэт цаас /Дотоод/  </t>
  </si>
  <si>
    <t xml:space="preserve">Борлуулахад бэлэн үнэт цаас /Дотоод/  </t>
  </si>
  <si>
    <t>Арилжааны үнэт цаас</t>
  </si>
  <si>
    <t>Зээл ба авлага гэж ангилсан үнэт цаас</t>
  </si>
  <si>
    <t>Үнэт цаасны урамшуулал</t>
  </si>
  <si>
    <t>Үнэт цаасны хөнгөлөлт, хасагдуулга, хямдруулалт</t>
  </si>
  <si>
    <t>Үнэт цаасны хуримтлуулж тооцсон авлага</t>
  </si>
  <si>
    <t>Үнэт цаасны дахин үнэлгээний эрсдэлийн сан</t>
  </si>
  <si>
    <t>Охин компанид оруулсан хөрөнгө оруулалт</t>
  </si>
  <si>
    <t>Хараат компанид оруулсан хөрөнгө оруулалт</t>
  </si>
  <si>
    <t>Хамтын хяналттай компанид оруулсан хөрөнгө оруулалт</t>
  </si>
  <si>
    <t>Хараат, хамтын хяналттай, охин компаниудад оруулсан хөрөнгө оруулалтын эрсдэлийн сан</t>
  </si>
  <si>
    <t>Үнэт металл, Дериватив /Дотоод/</t>
  </si>
  <si>
    <t>Үнэт металл, Дериватив /Гадаад/</t>
  </si>
  <si>
    <t xml:space="preserve">Бичиг хэргийн материал </t>
  </si>
  <si>
    <t>Хангамжийн материал</t>
  </si>
  <si>
    <t>Түлш шатахуун</t>
  </si>
  <si>
    <t>Сэлбэг хэрэгсэл</t>
  </si>
  <si>
    <t>Сурталчилгааны материал</t>
  </si>
  <si>
    <t>Урьдчилж төлсөн тооцоо</t>
  </si>
  <si>
    <t xml:space="preserve">Өмчлөх бусад хөрөнгө </t>
  </si>
  <si>
    <t>Өмчлөх бусад хөрөнгийн эрсдэлийн сан</t>
  </si>
  <si>
    <t>Нөхөн төлбөрийн нөөцийн давхар даатгагчид ногдох хэсэг ХО-гүй</t>
  </si>
  <si>
    <t>Даатгалын орлогын шимтгэлийн хойшлогдсон зардал /Зуучлагч/</t>
  </si>
  <si>
    <t>Даатгалын орлогын шимтгэлийн хойшлогдсон зардал /Төлөөлөгч/</t>
  </si>
  <si>
    <t>Даатгалын орлогын шимтгэлийн хойшлогдсон бусад зардал</t>
  </si>
  <si>
    <t>Газрын сайжруулалт</t>
  </si>
  <si>
    <t>Газар сайжруулалтын Хуримтлагдсан элэгдэл</t>
  </si>
  <si>
    <t xml:space="preserve">Барилга байгууламж </t>
  </si>
  <si>
    <t>Барилга байгууламж хуримтлагдсан элэгдэл</t>
  </si>
  <si>
    <t>Машин тоног төхөөрөмж</t>
  </si>
  <si>
    <t>Машин тоног төхөөрөмж хуримтлагдсан элэгдэл</t>
  </si>
  <si>
    <t>Тээврийн хэрэгсэл</t>
  </si>
  <si>
    <t>Тээврийн хэрэгсэл хуримтлагдсан элэгдэл</t>
  </si>
  <si>
    <t xml:space="preserve">Тавилга эд хогшил </t>
  </si>
  <si>
    <t>Тавилга эд хогшил хуримтлагдсан элэгдэл</t>
  </si>
  <si>
    <t>Компьютер дагалдах хэрэгсэл</t>
  </si>
  <si>
    <t>Компьютер дагалдах хэрэгсэл хуримтлагдсан элэгдэл</t>
  </si>
  <si>
    <t>Санхүүгийн түрээсийн хөрөнгө</t>
  </si>
  <si>
    <t>Санхүүгийн түрээсийн хөрөнгө хуримтлагдсан элэгдэл</t>
  </si>
  <si>
    <t>Мал сүрэг</t>
  </si>
  <si>
    <t>Мал сүргийн хуримтлагдсан элэгдэл</t>
  </si>
  <si>
    <t>Дуусаагүй барилга</t>
  </si>
  <si>
    <t>Зохиогчийн эрх</t>
  </si>
  <si>
    <t>Зохиогчийн эрх хуримтлагдсан хорогдуулалт</t>
  </si>
  <si>
    <t>Програм хангамж</t>
  </si>
  <si>
    <t>Програм хангамж хуримтлагдсан хорогдуулалт</t>
  </si>
  <si>
    <t>Патент</t>
  </si>
  <si>
    <t>Патент хуримтлагдсан хорогдуулалт</t>
  </si>
  <si>
    <t>Барааны тэмдэг</t>
  </si>
  <si>
    <t>Барааны тэмдэг хуримтлагдсан хорогдуулалт</t>
  </si>
  <si>
    <t>Газар эзэмших эрх</t>
  </si>
  <si>
    <t>Газар эзэмших эрх хуримтлагдсан хорогдуулалт</t>
  </si>
  <si>
    <t>Бусад биет бус хөрөнгө</t>
  </si>
  <si>
    <t>Бусад биет бус хөрөнгө хуримтлагдсан хорогдуулалт</t>
  </si>
  <si>
    <t>Салбар хоорондын тооцоо</t>
  </si>
  <si>
    <t>Даатгалын орлогын шимтгэлийн өглөг</t>
  </si>
  <si>
    <t>Давхар даатгагчид өгөх хураамжийн өглөг</t>
  </si>
  <si>
    <t>Татварын өглөг</t>
  </si>
  <si>
    <t>Давуу эрхийн хувьцаа /Хөрвөхгүй/</t>
  </si>
  <si>
    <t>Орлогод тооцоогүй хураамжийн нөөц</t>
  </si>
  <si>
    <t xml:space="preserve">Учирсан боловч мэдэгдээгүй ХНС </t>
  </si>
  <si>
    <t>Учирсан боловч мэдэгдээгүй хохирлыг барагдуулахтай холбогдон гарах зайлшгүй зардал</t>
  </si>
  <si>
    <t xml:space="preserve">Мэдсэн боловч төлөөгүй ХНС </t>
  </si>
  <si>
    <t>Учирч болзошгүй ХНС</t>
  </si>
  <si>
    <t>Тусгай нөөц сан</t>
  </si>
  <si>
    <t>Хувь оролцоотой гэрээний нөөц сан</t>
  </si>
  <si>
    <t>Хувь оролцоогүй гэрээний нөөц сан</t>
  </si>
  <si>
    <t>Хөрөнгө оруулалттай холбоотой гэрээний нөөц сан</t>
  </si>
  <si>
    <t>Хувь нийлүүлсэн хөрөнгө: Энгийн хувьцаа</t>
  </si>
  <si>
    <t>Хувь нийлүүлсэн хөрөнгө: Давуу эрхийн хувьцаа</t>
  </si>
  <si>
    <t>Нэмж төлөгдсөн капитал: Энгийн хувьцаа</t>
  </si>
  <si>
    <t>Нэмж төлөгдсөн капитал: Давуу эрхийн хувьцаа</t>
  </si>
  <si>
    <t>Халаасны хувьцаа: Энгийн хувьцаа</t>
  </si>
  <si>
    <t>Халаасны хувьцаа: Давуу эрхийн хувьцаа</t>
  </si>
  <si>
    <t>Тусгай зориулалттай сан</t>
  </si>
  <si>
    <t>Хувьцаанд суурилсан төлбөр</t>
  </si>
  <si>
    <t>Хувьцаа эзэмшигчдээс оруулсан бусад хөрөнгө</t>
  </si>
  <si>
    <t xml:space="preserve">НИЙТ ӨР ТӨЛБӨРИЙН БА ЭЗДИЙН ӨМЧИЙН ДҮН </t>
  </si>
  <si>
    <t>1.1</t>
  </si>
  <si>
    <t>Мөнгө, түүнтэй адилтгах хөрөнгийн дүн  (=мөр(3+...+6))</t>
  </si>
  <si>
    <t>1.2</t>
  </si>
  <si>
    <t>Даатгалын хураамжийн авлага /цэвэр дүнгээр/</t>
  </si>
  <si>
    <t>Давхар даатгалаас авах авлага /цэвэр дүнгээр/</t>
  </si>
  <si>
    <t>1.3</t>
  </si>
  <si>
    <t>1.3.1</t>
  </si>
  <si>
    <t>1.3.2</t>
  </si>
  <si>
    <t>Бусад санхүүгийн хөрөнгийн дүн  (=мөр14)</t>
  </si>
  <si>
    <t>1.4</t>
  </si>
  <si>
    <t>1.4.1</t>
  </si>
  <si>
    <t>1.4.2</t>
  </si>
  <si>
    <t>1.4.3</t>
  </si>
  <si>
    <t>1.4.4</t>
  </si>
  <si>
    <t>1.4.5</t>
  </si>
  <si>
    <t>1.4.6</t>
  </si>
  <si>
    <t>1.4.7</t>
  </si>
  <si>
    <t>1.5</t>
  </si>
  <si>
    <t>1.5.1</t>
  </si>
  <si>
    <t>1.5.2</t>
  </si>
  <si>
    <t>1.5.3</t>
  </si>
  <si>
    <t>1.5.4</t>
  </si>
  <si>
    <t>1.5.5</t>
  </si>
  <si>
    <t>1.6</t>
  </si>
  <si>
    <t>1.6.1</t>
  </si>
  <si>
    <t>1.6.4</t>
  </si>
  <si>
    <t>1.7</t>
  </si>
  <si>
    <t>1.8</t>
  </si>
  <si>
    <t>1.9</t>
  </si>
  <si>
    <t>1.10</t>
  </si>
  <si>
    <t>2.1</t>
  </si>
  <si>
    <t>2.1.1.1</t>
  </si>
  <si>
    <t>2.1.1.2</t>
  </si>
  <si>
    <t>2.1.1.3</t>
  </si>
  <si>
    <t>2.1.1.4</t>
  </si>
  <si>
    <t>2.1.2.1</t>
  </si>
  <si>
    <t>2.1.2.2</t>
  </si>
  <si>
    <t>2.1.2.3</t>
  </si>
  <si>
    <t>2.1.2.4</t>
  </si>
  <si>
    <t>2.1.2.5</t>
  </si>
  <si>
    <t>2.1.2.6</t>
  </si>
  <si>
    <t>2.1.2.7</t>
  </si>
  <si>
    <t>2.1.3.1</t>
  </si>
  <si>
    <t>2.1.3.2</t>
  </si>
  <si>
    <t>2.1.3.3</t>
  </si>
  <si>
    <t>2.1.3.4</t>
  </si>
  <si>
    <t>2.1.3.5</t>
  </si>
  <si>
    <t>2.1.3.6</t>
  </si>
  <si>
    <t>2.1.3.7</t>
  </si>
  <si>
    <t>2.1.3.8</t>
  </si>
  <si>
    <t>2.1.3.9</t>
  </si>
  <si>
    <t>2.1.3.10</t>
  </si>
  <si>
    <t>2.1.3.11</t>
  </si>
  <si>
    <t>2.1.3.12</t>
  </si>
  <si>
    <t>НИЙТ ӨР ТӨЛБӨРИЙН ДҮН (=мөр(45+53+66+67+68+69+75)</t>
  </si>
  <si>
    <t>2.2</t>
  </si>
  <si>
    <t>2.2.6</t>
  </si>
  <si>
    <t>2.2.7</t>
  </si>
  <si>
    <t>2.2.8</t>
  </si>
  <si>
    <t>2.3</t>
  </si>
  <si>
    <t>НИЙТ ӨР ТӨЛБӨРИЙН БА ЭЗДИЙН ӨМЧИЙН ДҮН (=мөр(76+86)</t>
  </si>
  <si>
    <t>1.6.2</t>
  </si>
  <si>
    <t>1.6.3</t>
  </si>
  <si>
    <t>Орлогод тооцоогүй хураамжийн нөөц сан</t>
  </si>
  <si>
    <t>2.1.7.1</t>
  </si>
  <si>
    <t>2.1.7.2</t>
  </si>
  <si>
    <t>2.1.7.3</t>
  </si>
  <si>
    <t>2.1.7.4</t>
  </si>
  <si>
    <t>2.1.8</t>
  </si>
  <si>
    <t>Тогтвортай байдлын нөөц сан</t>
  </si>
  <si>
    <t>2.2.9</t>
  </si>
  <si>
    <t>ДАВХАР ДААТГАЛЫН КОМПАНИЙН САНХҮҮГИЙН БАЙДЛЫН ТАЙЛАН /ДАНСНЫ ЖАГСААЛТААР/</t>
  </si>
  <si>
    <t>МАЯГТ СЗХ04130. ДАВХАР ДААТГАЛЫН КОМПАНИЙН САНХҮҮГИЙН БАЙДЛЫН ТАЙЛАН</t>
  </si>
  <si>
    <t>“Даатгагч болон даатгалын мэргэжлийн оролцогчоос 
тайлан, мэдээ, өргөдөл гаргах заавар”-ын 26 дугаар хавсралт</t>
  </si>
  <si>
    <t>Орлогын албан татварын зардал</t>
  </si>
  <si>
    <t>Үйл ажиллагааны бус бусад зардал</t>
  </si>
  <si>
    <t>Бусад гарз</t>
  </si>
  <si>
    <t>Торгууль алданги</t>
  </si>
  <si>
    <t>Өрийн бичиг, бонд эргэлтээс гаргалтын гарз</t>
  </si>
  <si>
    <t>Биет болон биет бус хөрөнгө борлуулсан, данснаас хассаны гарз</t>
  </si>
  <si>
    <t>Гадаад валютын ханшийн зөрүүний гарз</t>
  </si>
  <si>
    <t>Эрсдэлийн сангийн зардал</t>
  </si>
  <si>
    <t>Үйл ажиллагааны бус зардал</t>
  </si>
  <si>
    <t>Үйл ажиллагааны бусад зардал</t>
  </si>
  <si>
    <t>Хараат ба хамтын хяналттай, охин компанид оруулсан хөрөнгө оруулалтын гарз</t>
  </si>
  <si>
    <t>Хөрөнгө оруулалтын гарз</t>
  </si>
  <si>
    <t>Санхүүгийн зардал</t>
  </si>
  <si>
    <t>Хүлээн авалт, баяр ёслолын зардал</t>
  </si>
  <si>
    <t>Цэвэрлэгээ, Үйлчилгээний зардал</t>
  </si>
  <si>
    <t>Харуул, хамгаалалтын зардал</t>
  </si>
  <si>
    <t>Элэгдэл, хорогдлын зардал</t>
  </si>
  <si>
    <t>Засварын зардал</t>
  </si>
  <si>
    <t>Даатгалын зардал</t>
  </si>
  <si>
    <t>Сонин сэтгүүл захиалгын зардал</t>
  </si>
  <si>
    <t>Сургалтын зардал</t>
  </si>
  <si>
    <t>Мэргэжлийн үйлчилгээний зардал</t>
  </si>
  <si>
    <t>Шуудан холбооны зардал</t>
  </si>
  <si>
    <t>Бичиг хэргийн зардал</t>
  </si>
  <si>
    <t>Томилолтын зардал</t>
  </si>
  <si>
    <t>Татвар, төлбөр, хураамжийн зардал</t>
  </si>
  <si>
    <t>Байгууллагаас төлсөн НДШ-ийн зардал</t>
  </si>
  <si>
    <t>Ажиллагчдын цалингийн зардал</t>
  </si>
  <si>
    <t>Даатгалын гэрээний зардал /Төлөөлөгч/</t>
  </si>
  <si>
    <t>Даатгалын гэрээний зардал /Зуучлагч/</t>
  </si>
  <si>
    <t>Нөхөн төлбөрийн нөөцийн давхар даатгагчид ногдох хэсгийн өөрчлөлт МБТХНС</t>
  </si>
  <si>
    <t>Нөхөн төлбөрийн нөөцийн давхар даатгагчид ногдох хэсгийн өөрчлөлт УБМХНС</t>
  </si>
  <si>
    <t>Хөрөнгө оруулалттай холбоотой гэрээний нөөц сангийн өөрчлөлт</t>
  </si>
  <si>
    <t>Хувь оролцоогүй гэрээний нөөц сангийн өөрчлөлт</t>
  </si>
  <si>
    <t>Хувь оролцоотой гэрээний нөөц сангийн өөрчлөлт</t>
  </si>
  <si>
    <t>Тусгай нөөц сангийн өөрчлөлт</t>
  </si>
  <si>
    <t>Учирч болзошгүй хохирлын нөөц сангийн өөрчлөлт</t>
  </si>
  <si>
    <t>Мэдсэн боловч төлөөгүй хохирлын НС-ийн өөрчлөлт</t>
  </si>
  <si>
    <t>Учирсан боловч мэдэгдээгүй хохирлыг барагдуулахтай холбогдон гарах зайлшгүй зардлын өөрчлөлт</t>
  </si>
  <si>
    <t>Учирсан боловч мэдэгдээгүй хохирлын НС-ийн өөрчлөлт</t>
  </si>
  <si>
    <t>ДД-ын хойшлогдсон хураамжийн өөрчлөлт</t>
  </si>
  <si>
    <t>Орлого тооцоогүй  хураамжийн нөөцийн өөрчлөлт</t>
  </si>
  <si>
    <t>Давхар даатгалын хураамжийн буцаалт</t>
  </si>
  <si>
    <t>Бусад олз</t>
  </si>
  <si>
    <t>Хандивын олз</t>
  </si>
  <si>
    <t>Торгууль алдангийн олз</t>
  </si>
  <si>
    <t>Өрийн бичиг, Бонд эргэлтээс гаргалтын олз</t>
  </si>
  <si>
    <t>Биет болон биет бус хөрөнгө борлуулсан, данснаас хассаны олз</t>
  </si>
  <si>
    <t>Гадаад валютын ханшийн зөрүүний олз</t>
  </si>
  <si>
    <t>Үйл ажиллагааны бусад орлого</t>
  </si>
  <si>
    <t>Эрсдэлийн сангаас хаагдсан авлагын эргэн төлөлт</t>
  </si>
  <si>
    <t>Санхүүгийн түрээсийн орлого</t>
  </si>
  <si>
    <t>Хүүгийн орлого /харилцах, хугацаагүй хадгаламж/</t>
  </si>
  <si>
    <t>Эрхийн шимтгэлийн орлого</t>
  </si>
  <si>
    <t>Түрээсийн орлого</t>
  </si>
  <si>
    <t>Хараат ба хамтын хяналттай, охин компанид оруулсан хөрөнгө оруулалтын олз</t>
  </si>
  <si>
    <t>Хөрөнгө оруулалтын  олз</t>
  </si>
  <si>
    <t>Хямдруулалт, хөнгөлөлтийн орлого</t>
  </si>
  <si>
    <t>Хөрөнгө оруулалтын хүүний орлого</t>
  </si>
  <si>
    <t>Буруутай этгээдийн хариуцсан нөхөн төлбөр</t>
  </si>
  <si>
    <t>Давхар даатгагчийн хариуцсан нөхөн төлбөр</t>
  </si>
  <si>
    <t>Давхар даатгалын шимтгэлийн орлого</t>
  </si>
  <si>
    <t>Ерөнхий данс</t>
  </si>
  <si>
    <t xml:space="preserve">Давхар даатгалын хураамжийн зардал </t>
  </si>
  <si>
    <t>4.1</t>
  </si>
  <si>
    <t>4.2</t>
  </si>
  <si>
    <t>4.3</t>
  </si>
  <si>
    <t>4.4</t>
  </si>
  <si>
    <t>5.1</t>
  </si>
  <si>
    <t>5.2</t>
  </si>
  <si>
    <t>Давхар даатгалын комиссын орлого</t>
  </si>
  <si>
    <t>5.3</t>
  </si>
  <si>
    <t>5.4</t>
  </si>
  <si>
    <t xml:space="preserve">Бусад </t>
  </si>
  <si>
    <t>Үндсэн бус үйл ажиллагааны ашиг (алдагдал)-ын дүн (= мөр (40 : 47))</t>
  </si>
  <si>
    <t>10.1</t>
  </si>
  <si>
    <t>11.1</t>
  </si>
  <si>
    <t>“Даатгагч болон даатгалын мэргэжлийн оролцогчоос 
тайлан, мэдээ, өргөдөл гаргах заавар”-ын 27 дугаар хавсралт</t>
  </si>
  <si>
    <t>ДАВХАР ДААТГАЛЫН КОМПАНИЙН ОРЛОГЫН ДЭЛГЭРЭНГҮЙ ТАЙЛАН /ДАНСНЫ ЖАГСААЛТААР/</t>
  </si>
  <si>
    <t>МАЯГТ СЗХ04131. ДАВХАР ДААТГАЛЫН КОМПАНИЙН ОРЛОГЫН ДЭЛГЭРЭНГҮЙ ТАЙЛАН</t>
  </si>
  <si>
    <t>.... оны .... сарын ...-ны өдөр</t>
  </si>
  <si>
    <t>Даатгалын нөөц сан</t>
  </si>
  <si>
    <t xml:space="preserve">Нэмэгдсэн </t>
  </si>
  <si>
    <t xml:space="preserve">Эцсийн үлдэгдэл </t>
  </si>
  <si>
    <t xml:space="preserve">ДҮН </t>
  </si>
  <si>
    <t>“Даатгагч болон даатгалын мэргэжлийн оролцогчоос 
тайлан, мэдээ, өргөдөл гаргах заавар”-ын 28 дугаар хавсралт</t>
  </si>
  <si>
    <t xml:space="preserve">             МАЯГТ СЗХ04132. ДАВХАР ДААТГАЛЫН КОМПАНИЙН ДААТГАЛЫН НӨӨЦ САНГИЙН ТАЙЛАН</t>
  </si>
  <si>
    <t>Даатгалын ангилал</t>
  </si>
  <si>
    <t>Даатгалын хэлбэр</t>
  </si>
  <si>
    <t>1.1.Гэнэтийн осол, эмчилгээний зардлын даатгал</t>
  </si>
  <si>
    <t>1.2.       Үүнээс: Ипотекийн даатгал</t>
  </si>
  <si>
    <t>1.3.Хөрөнгийн даатгал</t>
  </si>
  <si>
    <t xml:space="preserve"> 1.4.      Үүнээс: Ипотекийн даатгал</t>
  </si>
  <si>
    <t>1.5.Автотээврийн хэрэгслийн даатгал</t>
  </si>
  <si>
    <t>1.6.Ачааны даатгал</t>
  </si>
  <si>
    <t>1.7.Барилга угсралтын даатгал</t>
  </si>
  <si>
    <t>1.8.Газар тариалангийн даатгал</t>
  </si>
  <si>
    <t>1.9.Мал амьтдын даатгал</t>
  </si>
  <si>
    <t>1.10.Агаарын хөлгийн даатгал</t>
  </si>
  <si>
    <t>1.11.Автотээврийн хэрэгслийн жолоочийн хариуцлагын даатгал</t>
  </si>
  <si>
    <t>1.12.Хариуцлагын даатгал</t>
  </si>
  <si>
    <t>1.13.Санхүүгийн даатгал</t>
  </si>
  <si>
    <t>1.14. Зээлийн даатгал</t>
  </si>
  <si>
    <t>1.15. Итгэлцлийн даатгал</t>
  </si>
  <si>
    <t>1.16. Төмөр замын болон усан замын тээврийн хэрэгслийн даатгал</t>
  </si>
  <si>
    <t>1.17. Төмөр замын эсхүл усан замын тээврийн хэрэгслийг өмчлөх, эзэмших ашиглахтай холбоотой хариуцлагын даатгал</t>
  </si>
  <si>
    <t>1.18 Агаарын хөлгийг өмчлөх, эзэмших, ашиглахтай холбоотой хариуцлагын даатгал</t>
  </si>
  <si>
    <t>2.1.Хугацаат амьдралын даатгал</t>
  </si>
  <si>
    <t>2.2.      Үүнээс: Ипотекийн даатгал</t>
  </si>
  <si>
    <t>2.3.Насан туршийн даатгал</t>
  </si>
  <si>
    <t>2.4.     Үүнээс: Ипотекийн даатгал</t>
  </si>
  <si>
    <t>2.5.Хуримтлалын даатгал</t>
  </si>
  <si>
    <t>2.6.Тэтгэврийн даатгал</t>
  </si>
  <si>
    <t>2.7.Эрүүл мэндийн даатгал</t>
  </si>
  <si>
    <t>2.8.Аннуити даатгал</t>
  </si>
  <si>
    <t>Дүн (=мөр(1+2+..+26)</t>
  </si>
  <si>
    <t>МАЯГТ СЗХ04128. ДААТГАГЧИЙН ДАВХАР ДААТГАЛЫН ҮЙЛ АЖИЛЛАГААНЫ ДЭЛГЭРЭНГҮЙ ТАЙЛАН</t>
  </si>
  <si>
    <t>Даатгагчийн нэр: .....................................</t>
  </si>
  <si>
    <t xml:space="preserve"> “Даатгагч болон даатгалын мэргэжлийн оролцогчоос тайлан, мэдээ, өргөдөл гаргах заавар”-ын 29 дүгээр хавсралт.</t>
  </si>
  <si>
    <t>“Даатгагчийн төлбөрийн чадварын шалгуур үзүүлэлт, 
түүнд хяналт тавих журам”-ын 1 дүгээр хавсралт</t>
  </si>
  <si>
    <t>МАЯГТ СЗХ04144. ЗӨВШӨӨРӨГДӨХГҮЙ ХӨРӨНГИЙН ДҮН</t>
  </si>
  <si>
    <t xml:space="preserve">Зөвшөөрөгдөхгүй хөрөнгийн дүн </t>
  </si>
  <si>
    <t>Хөрөнгө байршуулах дээд хувь</t>
  </si>
  <si>
    <t>Нэгжид ногдох хөрөнгийн  дээд хувь</t>
  </si>
  <si>
    <t xml:space="preserve">Нэгжид ногдох тухайн хөрөнгийн зөвшөөрөгдөхгүй дүн </t>
  </si>
  <si>
    <t>Зөвшөөрөгдөхгүй хөрөнгийн хувь</t>
  </si>
  <si>
    <t>НЭГЖИД НОГДОХ ЗӨВШӨӨРӨГДӨХГҮЙ ХӨРӨНГИЙН ДҮН</t>
  </si>
  <si>
    <t>1.              </t>
  </si>
  <si>
    <t>1.20</t>
  </si>
  <si>
    <t>2.                     </t>
  </si>
  <si>
    <t>3.                     </t>
  </si>
  <si>
    <t>4.                     </t>
  </si>
  <si>
    <t>5.1                  </t>
  </si>
  <si>
    <t>5.1.1</t>
  </si>
  <si>
    <t>5.1.2</t>
  </si>
  <si>
    <t>5.1.3</t>
  </si>
  <si>
    <t>5.1.4</t>
  </si>
  <si>
    <t>5.1.5</t>
  </si>
  <si>
    <t>5.1.6</t>
  </si>
  <si>
    <t>5.2.1</t>
  </si>
  <si>
    <t>5.2.2</t>
  </si>
  <si>
    <t>5.2.3</t>
  </si>
  <si>
    <t>5.2.4</t>
  </si>
  <si>
    <t>5.2.5</t>
  </si>
  <si>
    <t>5.2.6</t>
  </si>
  <si>
    <t>5.3.1</t>
  </si>
  <si>
    <t>5.3.2</t>
  </si>
  <si>
    <t>5.3.3</t>
  </si>
  <si>
    <t>5.3.4</t>
  </si>
  <si>
    <t>5.3.5</t>
  </si>
  <si>
    <t>5.3.6</t>
  </si>
  <si>
    <t>5.4.1</t>
  </si>
  <si>
    <t>5.4.2</t>
  </si>
  <si>
    <t>5.4.3</t>
  </si>
  <si>
    <t>5.4.4</t>
  </si>
  <si>
    <t>5.4.5</t>
  </si>
  <si>
    <t>5.4.6</t>
  </si>
  <si>
    <t>5.5.1</t>
  </si>
  <si>
    <t>5.5.2</t>
  </si>
  <si>
    <t>5.5.3</t>
  </si>
  <si>
    <t>5.5.4</t>
  </si>
  <si>
    <t>5.5.5</t>
  </si>
  <si>
    <t>5.5.6</t>
  </si>
  <si>
    <t>6.                     </t>
  </si>
  <si>
    <t>7.                     </t>
  </si>
  <si>
    <t>8.                     </t>
  </si>
  <si>
    <t>9.                     </t>
  </si>
  <si>
    <t>10.                  </t>
  </si>
  <si>
    <t>11.                  </t>
  </si>
  <si>
    <t>12.                  </t>
  </si>
  <si>
    <t>13.                  </t>
  </si>
  <si>
    <t>14.                  </t>
  </si>
  <si>
    <t>15.                  </t>
  </si>
  <si>
    <t>16.                  </t>
  </si>
  <si>
    <t>17.                  </t>
  </si>
  <si>
    <t>18.                  </t>
  </si>
  <si>
    <t>19.                  </t>
  </si>
  <si>
    <t>20.                  </t>
  </si>
  <si>
    <t>21.                  </t>
  </si>
  <si>
    <t>22.                  </t>
  </si>
  <si>
    <t>23. 1               </t>
  </si>
  <si>
    <t>23.1.1</t>
  </si>
  <si>
    <t>23.1.2</t>
  </si>
  <si>
    <t>23.1.3</t>
  </si>
  <si>
    <t>23.1.4</t>
  </si>
  <si>
    <t>23.1.5</t>
  </si>
  <si>
    <t>23.1.6</t>
  </si>
  <si>
    <t>23.2.1</t>
  </si>
  <si>
    <t>23.2.2</t>
  </si>
  <si>
    <t>23.2.3</t>
  </si>
  <si>
    <t>23.2.4</t>
  </si>
  <si>
    <t>23.2.5</t>
  </si>
  <si>
    <t>23.2.6</t>
  </si>
  <si>
    <t>23.3.1</t>
  </si>
  <si>
    <t>23.3.2</t>
  </si>
  <si>
    <t>23.3.3</t>
  </si>
  <si>
    <t>23.3.4</t>
  </si>
  <si>
    <t>23.3.5</t>
  </si>
  <si>
    <t>23.3.6</t>
  </si>
  <si>
    <t>23.4.1</t>
  </si>
  <si>
    <t>23.4.2</t>
  </si>
  <si>
    <t>23.4.3</t>
  </si>
  <si>
    <t>23.4.4</t>
  </si>
  <si>
    <t>23.4.5</t>
  </si>
  <si>
    <t>23.4.6</t>
  </si>
  <si>
    <t>23.5.1</t>
  </si>
  <si>
    <t>23.5.2</t>
  </si>
  <si>
    <t>23.5.3</t>
  </si>
  <si>
    <t>23.5.4</t>
  </si>
  <si>
    <t>23.5.5</t>
  </si>
  <si>
    <t>23.5.6</t>
  </si>
  <si>
    <t>24.                  </t>
  </si>
  <si>
    <t>25.                  </t>
  </si>
  <si>
    <t>26.                  </t>
  </si>
  <si>
    <t>27.                  </t>
  </si>
  <si>
    <t>28.                  </t>
  </si>
  <si>
    <t>“Даатгагчийн төлбөрийн чадварын шалгуур үзүүлэлт, 
түүнд хяналт тавих журам”-ын 2 дугаар хавсралт</t>
  </si>
  <si>
    <t>МАЯГТ СЗХ04145. ТӨЛБӨРИЙН ЧАДВАРЫН ШАЛГУУР ҮЗҮҮЛЭЛТ</t>
  </si>
  <si>
    <t>Тооцох хувь</t>
  </si>
  <si>
    <t>Эрсдэлээс хамгаалах саэ</t>
  </si>
  <si>
    <t>МАЯГТ СЗХ04151. Алдагдлаас хамгаалах сангийн хөрөнгийн байршлын тайлан</t>
  </si>
  <si>
    <t>“Даатгалын нөөц сан, албан журмын даатгалын сан  болон бусад санг бүрдүүлэх, хуваарилах, түүнд хяналт тавих журам”-ын 5 дугаар хавсралт</t>
  </si>
  <si>
    <t>Зүйл</t>
  </si>
  <si>
    <t>Хөрөнгийн хэмжээ</t>
  </si>
  <si>
    <t>Хувь</t>
  </si>
  <si>
    <t>Заавал байршуулах нөөц (Алдагдлаас хамгаалах сангийн 1/3)</t>
  </si>
  <si>
    <t>Хөрөнгө оруулалт хийж болох мөнгөн хөрөнгө (Алдагдлаас хамгаалах сангийн 2/3)</t>
  </si>
  <si>
    <t>2.1.9</t>
  </si>
  <si>
    <t>2.1.10</t>
  </si>
  <si>
    <t>2.1.11</t>
  </si>
  <si>
    <t>2.1.12</t>
  </si>
  <si>
    <t>2.1.13</t>
  </si>
  <si>
    <t>2.1.14</t>
  </si>
  <si>
    <t>2.2.10</t>
  </si>
  <si>
    <t>2.2.11</t>
  </si>
  <si>
    <t>2.2.12</t>
  </si>
  <si>
    <t>2.2.13</t>
  </si>
  <si>
    <t>2.2.14</t>
  </si>
  <si>
    <t>2.8.1</t>
  </si>
  <si>
    <t>2.8.2</t>
  </si>
  <si>
    <t>2.8.3</t>
  </si>
  <si>
    <t>2.8.4</t>
  </si>
  <si>
    <t>2.8.5</t>
  </si>
  <si>
    <t>НИЙТ ДҮН</t>
  </si>
  <si>
    <t xml:space="preserve">Банкны хадгаламж </t>
  </si>
  <si>
    <t>Банкны харилцах дансанд</t>
  </si>
  <si>
    <t>“…… ” ХК, ХХК</t>
  </si>
  <si>
    <t>Санхүүгийн болон үйл ажиллагааны лизинг: 5 хүртэл хувь</t>
  </si>
  <si>
    <t>Үл хөдлөх хөрөнгө (Үндсэн үйл ажиллагаа явуулдаг ажлын байрнаас бусад)</t>
  </si>
  <si>
    <t xml:space="preserve">Үл хөдлөх хөрөнгө барьцаалсан арилжааны богино хугацаат (нэг жил хүртэл) зээл </t>
  </si>
  <si>
    <t xml:space="preserve">Компанийн бонд: </t>
  </si>
  <si>
    <t xml:space="preserve">Банкны хадгаламжийн сертификат: </t>
  </si>
  <si>
    <t xml:space="preserve">Үл хөдлөх хөрөнгөөр барьцаалсан үнэт цаас </t>
  </si>
  <si>
    <t xml:space="preserve">Орон нутгийн засаг захиргааны бонд: </t>
  </si>
  <si>
    <t xml:space="preserve">Төв банкны үнэт цаас: </t>
  </si>
  <si>
    <t xml:space="preserve">Засгийн газрын өрийн бичиг: </t>
  </si>
  <si>
    <t>“Даатгалын нөөц санд болон албан журмын даатгалын санд төвлөрүүлэх хөрөнгийн хэмжээ, түүнийг хөрөнгө оруулалтад байршуулахад тавигдах нөхцөл, шаардлага”-ын 1 дүгээр хавсралт</t>
  </si>
  <si>
    <t xml:space="preserve">МАЯГТСЗХ04152. ДААТГАЛЫН НӨӨЦ САНГ ХӨРӨНГӨ ОРУУЛАЛТАД БАЙРШУУЛСАН ТАЙЛАН </t>
  </si>
  <si>
    <t>Мөр дугаар</t>
  </si>
  <si>
    <t>Банкны харилцах (=мөр(3+4+5)</t>
  </si>
  <si>
    <t>2.4</t>
  </si>
  <si>
    <t>2.5</t>
  </si>
  <si>
    <t>2.6</t>
  </si>
  <si>
    <t>2.7</t>
  </si>
  <si>
    <t>2.8</t>
  </si>
  <si>
    <t>2.9</t>
  </si>
  <si>
    <t>2.10</t>
  </si>
  <si>
    <t>2.11</t>
  </si>
  <si>
    <t>2.12</t>
  </si>
  <si>
    <t>Банкны хугацаагүй хадгаламж (=мөр(7+8))</t>
  </si>
  <si>
    <t>3.1</t>
  </si>
  <si>
    <t>3.2</t>
  </si>
  <si>
    <t>3.3</t>
  </si>
  <si>
    <t>3.4</t>
  </si>
  <si>
    <t>3.5</t>
  </si>
  <si>
    <t>3.6</t>
  </si>
  <si>
    <t>3.7</t>
  </si>
  <si>
    <t>3.8</t>
  </si>
  <si>
    <t>3.9</t>
  </si>
  <si>
    <t>3.10</t>
  </si>
  <si>
    <t>3.11</t>
  </si>
  <si>
    <t>3.12</t>
  </si>
  <si>
    <t>Банкны хугацаатай хадгаламж (=мөр(10+11))</t>
  </si>
  <si>
    <t>4.5</t>
  </si>
  <si>
    <t>4.6</t>
  </si>
  <si>
    <t>4.7</t>
  </si>
  <si>
    <t>4.8</t>
  </si>
  <si>
    <t>4.9</t>
  </si>
  <si>
    <t>4.10</t>
  </si>
  <si>
    <t>4.11</t>
  </si>
  <si>
    <t>4.12</t>
  </si>
  <si>
    <t>Банкны хадгаламжийн сертификат (мөр12=мөр(13+14+15)</t>
  </si>
  <si>
    <t>5.5</t>
  </si>
  <si>
    <t>5.6</t>
  </si>
  <si>
    <t>5.7</t>
  </si>
  <si>
    <t>5.8</t>
  </si>
  <si>
    <t>5.9</t>
  </si>
  <si>
    <t>5.10</t>
  </si>
  <si>
    <t>5.11</t>
  </si>
  <si>
    <t>5.12</t>
  </si>
  <si>
    <t>Үнэт цаас (мөр16=мөр(17+18+...25))</t>
  </si>
  <si>
    <t>6.1</t>
  </si>
  <si>
    <t>6.2</t>
  </si>
  <si>
    <t>6.3</t>
  </si>
  <si>
    <t>6.4</t>
  </si>
  <si>
    <t>6.5</t>
  </si>
  <si>
    <t>6.6</t>
  </si>
  <si>
    <t>6.7</t>
  </si>
  <si>
    <t>6.8</t>
  </si>
  <si>
    <t>6.9</t>
  </si>
  <si>
    <t>Бусад санхүүгийн байгууллагад байршуулсан хөрөнгө (=мөр(30+31+32))</t>
  </si>
  <si>
    <t>8.1</t>
  </si>
  <si>
    <t>.......санхүүгийн байгууллага</t>
  </si>
  <si>
    <t>Хуримтлал барьцаалсан зээл /Зөвхөн урт хугацааны даатгагч/</t>
  </si>
  <si>
    <t>32</t>
  </si>
  <si>
    <t>33</t>
  </si>
  <si>
    <t>34</t>
  </si>
  <si>
    <t>35</t>
  </si>
  <si>
    <t>36</t>
  </si>
  <si>
    <t>37</t>
  </si>
  <si>
    <t>38</t>
  </si>
  <si>
    <t>39</t>
  </si>
  <si>
    <t>40</t>
  </si>
  <si>
    <t>41</t>
  </si>
  <si>
    <t>42</t>
  </si>
  <si>
    <t>43</t>
  </si>
  <si>
    <t>44</t>
  </si>
  <si>
    <t>45</t>
  </si>
  <si>
    <t>46</t>
  </si>
  <si>
    <t>47</t>
  </si>
  <si>
    <t>48</t>
  </si>
  <si>
    <t>49</t>
  </si>
  <si>
    <t>50</t>
  </si>
  <si>
    <t>51</t>
  </si>
  <si>
    <t>Орлогод тооцоогүй хураамжийн нөөцийн өөрчлөлт</t>
  </si>
  <si>
    <t>Давхар даатгалын хойшлогдсон хураамжийн өөрчлөлт</t>
  </si>
  <si>
    <t>Даатгалын хураамжийн цэвэр орлого (=мөр(1-2-3))</t>
  </si>
  <si>
    <t>Орлогод тооцсон хураамж (=мөр(4-5+6))</t>
  </si>
  <si>
    <t>Даатгалын нөөц сангийн өөрчлөлтийн дүн (= мөр(11+12+13))</t>
  </si>
  <si>
    <t>Даатгалын хураамжийн бус орлогын дүн (= мөр (16+17+18))</t>
  </si>
  <si>
    <t>8.2</t>
  </si>
  <si>
    <t>8.3</t>
  </si>
  <si>
    <t>8.4</t>
  </si>
  <si>
    <t>8.5</t>
  </si>
  <si>
    <t>8.6</t>
  </si>
  <si>
    <t>8.7</t>
  </si>
  <si>
    <t>8.8</t>
  </si>
  <si>
    <t>8.9</t>
  </si>
  <si>
    <t>8.10</t>
  </si>
  <si>
    <t>8.11</t>
  </si>
  <si>
    <t>8.12</t>
  </si>
  <si>
    <t>8.13</t>
  </si>
  <si>
    <t>8.14</t>
  </si>
  <si>
    <t>8.15</t>
  </si>
  <si>
    <t>8.16</t>
  </si>
  <si>
    <t>10.2</t>
  </si>
  <si>
    <t>10.3</t>
  </si>
  <si>
    <t>10.4</t>
  </si>
  <si>
    <t>10.5</t>
  </si>
  <si>
    <t>10.6</t>
  </si>
  <si>
    <t>10.7</t>
  </si>
  <si>
    <t>10.8</t>
  </si>
  <si>
    <t>10.9</t>
  </si>
  <si>
    <t>12.1</t>
  </si>
  <si>
    <t>13.1</t>
  </si>
  <si>
    <t>14.1</t>
  </si>
  <si>
    <t xml:space="preserve">“Даатгагчийн давхар даатгалын төлөвлөгөөнд </t>
  </si>
  <si>
    <t>тавигдах шаардлага”-ын 1 дүгээр хавсралт</t>
  </si>
  <si>
    <t>Даатгагчийн нэр.............................................</t>
  </si>
  <si>
    <t>20...оны ... сарын ...-ны өдөр</t>
  </si>
  <si>
    <t>Огноо</t>
  </si>
  <si>
    <t>Даатгалын гэрээний дугаар</t>
  </si>
  <si>
    <t>Даатгалын бүтээгдэхүүн</t>
  </si>
  <si>
    <t>Даатгалын хураамж</t>
  </si>
  <si>
    <t>Даатгалын зуучлагчаар дамжсан эсэх*</t>
  </si>
  <si>
    <t xml:space="preserve"> Давхар даатгагч </t>
  </si>
  <si>
    <t xml:space="preserve">Давхар даатгалын нөхцөл** </t>
  </si>
  <si>
    <t>Эрсдэлийн хувь***</t>
  </si>
  <si>
    <t>Хариуцлагын хязгаар****</t>
  </si>
  <si>
    <t>Шимтгэл /Commision/</t>
  </si>
  <si>
    <t>Давхар даатгалд ногдох нөөц сангийн хэмжээ</t>
  </si>
  <si>
    <t>Нийт нөхөн төлбөр</t>
  </si>
  <si>
    <t>Үүнээс: Давхар даатгагчаас төлсөн нөхөн төлбөр</t>
  </si>
  <si>
    <t xml:space="preserve">Шууд </t>
  </si>
  <si>
    <t xml:space="preserve">Дотоодын зуучлагч </t>
  </si>
  <si>
    <t xml:space="preserve">Гадаадын зуучлагч </t>
  </si>
  <si>
    <t>Хувь тэнцүүлсэн /proportional/</t>
  </si>
  <si>
    <t>Хувь тэнцүүлээгүй</t>
  </si>
  <si>
    <t>/non-proportional/</t>
  </si>
  <si>
    <t>Даатгагч хариуцах хувь</t>
  </si>
  <si>
    <t>Давхар даатгагч хариуцах хувь</t>
  </si>
  <si>
    <t xml:space="preserve"> Даатгагч хариуцах дээд хэмжээ </t>
  </si>
  <si>
    <t>Давхар даатгагч хариуцах дээд хэмжээ</t>
  </si>
  <si>
    <t>quota share</t>
  </si>
  <si>
    <t>surplus share</t>
  </si>
  <si>
    <t>Stop loss</t>
  </si>
  <si>
    <t xml:space="preserve">Excess of loss </t>
  </si>
  <si>
    <t>Нийт</t>
  </si>
  <si>
    <t>Маягт нөхөх заавар:</t>
  </si>
  <si>
    <t>***Эрсдэлийн хувь хэмжээ- Давхар даатгагчтай quota share, surplus share  нөхцөлөөр гэрээг хийсэн тохиолдолд даатгагч болон давхар даатгагчид хариуцах хувь хэмжээг бөглөх. Хэрэв хэд хэдэн давхар даатгагч оролцох тохиолдолд хариуцах хэмжээг тус бүрээр мөр нэмэх.</t>
  </si>
  <si>
    <t>****Хариуцлагын хязгаар- Давхар даатгагчтай stop loss, excess of loss  нөхцөлөөр давхар даатгалын гэрээг хийсэн нөхцөлд даатгагч, давхар даатгагчийн хариуцлагын дээд хязгаарын хэмжээг бичих</t>
  </si>
  <si>
    <t>ТАЙЛАН ГАРГАСАН:</t>
  </si>
  <si>
    <t>МАЯГТ СЗХ04153.ФАКУЛЬТАТИВ ДАВХАР ДААТГАЛЫН ГЭРЭЭНИЙ МЭДЭЭЛЭЛ</t>
  </si>
  <si>
    <t>тавигдах шаардлага”-ын 2 дугаар хавсралт</t>
  </si>
  <si>
    <t>Нийт хураамж</t>
  </si>
  <si>
    <t>Давхар даатгалын хураамжийн төлөх нөхцөл</t>
  </si>
  <si>
    <t>Даатгалын хураамжийн дүн</t>
  </si>
  <si>
    <t xml:space="preserve">Давхар даатгагч компанийн нэр </t>
  </si>
  <si>
    <t>Даатгалын шимтгэлийн нөхцөл**</t>
  </si>
  <si>
    <t>Даатгалын нөхцөл***</t>
  </si>
  <si>
    <t>Эрсдэл хариуцах хувь****</t>
  </si>
  <si>
    <t>Хариуцлагын хэмжээ*****</t>
  </si>
  <si>
    <t>Нөхөн төлбөрийн дүн</t>
  </si>
  <si>
    <t xml:space="preserve">/Sliding scale/ </t>
  </si>
  <si>
    <t xml:space="preserve">/Loss corridors/ </t>
  </si>
  <si>
    <t xml:space="preserve">/Profit commission/ </t>
  </si>
  <si>
    <t>/pro-rata/</t>
  </si>
  <si>
    <t xml:space="preserve">Даатгагч </t>
  </si>
  <si>
    <t xml:space="preserve">Давхар даатгагч </t>
  </si>
  <si>
    <t xml:space="preserve"> Давхар даатгагчаас төлсөн нөхөн төлбөр</t>
  </si>
  <si>
    <t xml:space="preserve">Нэг удаа төлөх </t>
  </si>
  <si>
    <t>Тухай бүр төлөх</t>
  </si>
  <si>
    <t>catastropic loss</t>
  </si>
  <si>
    <t>** Даатгалын шимтгэлийн нөхцөл- Хэрэв даатгагч шууд давхар даатгалын компанитай гэрээ байгуулсан тохиолдолд тохирох баганад нийт шимтгэлийн хэмжээг бичих</t>
  </si>
  <si>
    <t>МАЯГТ СЗХ04154.ГЭРЭЭТ ДАВХАР ДААТГАЛЫН ГЭРЭЭНИЙ МЭДЭЭЛЭЛ</t>
  </si>
  <si>
    <t xml:space="preserve">*** Давхар даатгалын нөхцөл- давхар даатгалын гэрээний нөхцөлийг сонгох </t>
  </si>
  <si>
    <t>**** Эрсдэлийн хариуцах хувь- Давхар даатгалыг "quota share", "surplus share"  нөхцөлөөр хийсэн тохиолдолд  "эрсдэлийн хариуцах хувь" ( багана 20,21) -г харгалзан бөглөнө.</t>
  </si>
  <si>
    <t>***** Хариуцлагын хэмжээ- Давхар даатгалыг "stop loss", "excess of loss"  нөхцөлөөр хийсэн тохиолдолд " хариуцлагын хэмжээ"(багана22,23)-г харгалзан бөглөнө</t>
  </si>
  <si>
    <t>****** Нийт дүн- тайлант хугацаа тус бүрийн нийт дүнг гаргана.</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</si>
  <si>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9 ("шууд")-г сонгох </t>
  </si>
  <si>
    <t xml:space="preserve">* Даатгалын зуучлагчаар дамжсан эсэх- даатгалын зуучлагчаар дамжуулсан тохиолдод зуучлагч компанийн нэрийг бичих; Даатгагч давхар даатгагчтай шууд гэрээ байгуулсан тохиолдолд багана 8 ("шууд")-г сонгох </t>
  </si>
  <si>
    <t xml:space="preserve">** Давхар даатгалын нөхцөл- давхар даатгалын гэрээний нөхцөлийг сонгох </t>
  </si>
  <si>
    <t>Cанхүүгийн байгууллага 4</t>
  </si>
  <si>
    <t>Cанхүүгийн байгууллага 5</t>
  </si>
  <si>
    <t>Cанхүүгийн байгууллага 6</t>
  </si>
  <si>
    <t>Cанхүүгийн байгууллага 7</t>
  </si>
  <si>
    <t>Cанхүүгийн байгууллага 8</t>
  </si>
  <si>
    <t>Cанхүүгийн байгууллага 9</t>
  </si>
  <si>
    <t>Cанхүүгийн байгууллага 10</t>
  </si>
  <si>
    <t>Улаанбаатар хотын банк</t>
  </si>
  <si>
    <t>Даатгалын орлогын дүн (=мөр (7-8))</t>
  </si>
  <si>
    <t>Орлогын дүн (= мөр (9-14+19))</t>
  </si>
  <si>
    <t xml:space="preserve">Үйл ажиллагааны зардлын дүн (= мөр (22+…+ 36))            </t>
  </si>
  <si>
    <t xml:space="preserve">Татвар төлөхийн өмнөх ашиг (алдагдал)  (= мөр (38 - 48))                     </t>
  </si>
  <si>
    <t>Татварын дараах ашиг (алдагдал) (= мөр (49 -50))</t>
  </si>
  <si>
    <t>Ердийн ажиллагааны ашиг (алдагдал)   (= мөр (51 - 52))</t>
  </si>
  <si>
    <t xml:space="preserve">Тайлант үеийн цэвэр ашиг (алдагдал)  (= мөр (53 - 54))                            </t>
  </si>
  <si>
    <t>Даатгалын авлагын дүн  (=мөр(9+10))</t>
  </si>
  <si>
    <t>Бусад санхүүгийн бус хөрөнгийн дүн  (=мөр(16+...+21))</t>
  </si>
  <si>
    <t>Хөрөнгө оруулалтын дүн  (=мөр(24+...+27))</t>
  </si>
  <si>
    <t>Даатгалын хөрөнгийн дүн  (=мөр(30+31+32))</t>
  </si>
  <si>
    <t>НИЙТ ХӨРӨНГИЙН ДҮН (=мөр(7+11+14+22+28+33+34+35+36)</t>
  </si>
  <si>
    <t>Даатгалын өглөгийн дүн  (=мөр(41+42+43))</t>
  </si>
  <si>
    <t>Бусад санхүүгийн өр төлбөрийн дүн  (=мөр(46+...+51))</t>
  </si>
  <si>
    <t>Бусад санхүүгийн бус өр төлбөрийн дүн  (=мөр(54+...+64))</t>
  </si>
  <si>
    <t>Нөөц сангийн дүн  (=мөр(70+...+73))</t>
  </si>
  <si>
    <t>ЭЗДИЙН ӨМЧИЙН ДҮН (=мөр(77+…+84)</t>
  </si>
  <si>
    <t xml:space="preserve">Үндсэн үйл ажиллагааны ашиг (алдагдал)     (= мөр (17- 37))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</si>
</sst>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_);_(* \(#,##0.0\);_(* &quot;-&quot;??_);_(@_)"/>
    <numFmt numFmtId="165" formatCode="_(* #,##0_);_(* \(#,##0\);_(* &quot;-&quot;??_);_(@_)"/>
    <numFmt numFmtId="166" formatCode="0.0%"/>
    <numFmt numFmtId="167" formatCode="0.0"/>
  </numFmts>
  <fonts count="19" x14ac:knownFonts="1">
    <font>
      <sz val="10"/>
      <name val="Arial"/>
      <family val="2"/>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i/>
      <sz val="10"/>
      <color rgb="FF000000"/>
      <name val="Times New Roman"/>
      <family val="1"/>
    </font>
    <font>
      <sz val="11"/>
      <color theme="1"/>
      <name val="Calibri"/>
      <family val="2"/>
      <charset val="1"/>
      <scheme val="minor"/>
    </font>
    <font>
      <b/>
      <sz val="10"/>
      <name val="Times New Roman"/>
      <family val="1"/>
    </font>
    <font>
      <b/>
      <sz val="10"/>
      <color rgb="FF000000"/>
      <name val="Times New Roman"/>
      <family val="1"/>
    </font>
    <font>
      <sz val="10"/>
      <name val="Times New Roman"/>
      <family val="1"/>
    </font>
    <font>
      <sz val="10"/>
      <color theme="1"/>
      <name val="Times New Roman"/>
      <family val="1"/>
    </font>
    <font>
      <sz val="10"/>
      <color rgb="FFFF0000"/>
      <name val="Times New Roman"/>
      <family val="1"/>
    </font>
    <font>
      <b/>
      <sz val="10"/>
      <color theme="1"/>
      <name val="Times New Roman"/>
      <family val="1"/>
    </font>
    <font>
      <b/>
      <sz val="10"/>
      <color rgb="FFFF0000"/>
      <name val="Times New Roman"/>
      <family val="1"/>
    </font>
    <font>
      <sz val="10"/>
      <color theme="1"/>
      <name val="Calibri"/>
      <family val="2"/>
      <scheme val="minor"/>
    </font>
    <font>
      <i/>
      <sz val="10"/>
      <name val="Times New Roman"/>
      <family val="1"/>
    </font>
    <font>
      <i/>
      <sz val="10"/>
      <color theme="1"/>
      <name val="Times New Roman"/>
      <family val="1"/>
    </font>
    <font>
      <b/>
      <u/>
      <sz val="10"/>
      <color rgb="FF000000"/>
      <name val="Times New Roman"/>
      <family val="1"/>
    </font>
    <font>
      <u/>
      <sz val="10"/>
      <color rgb="FF000000"/>
      <name val="Times New Roman"/>
      <family val="1"/>
    </font>
  </fonts>
  <fills count="9">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FFFFFF"/>
        <bgColor indexed="64"/>
      </patternFill>
    </fill>
    <fill>
      <patternFill patternType="solid">
        <fgColor theme="5" tint="0.79998168889431442"/>
        <bgColor indexed="64"/>
      </patternFill>
    </fill>
    <fill>
      <patternFill patternType="solid">
        <fgColor theme="0"/>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bottom/>
      <diagonal/>
    </border>
    <border>
      <left/>
      <right/>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s>
  <cellStyleXfs count="12">
    <xf numFmtId="0" fontId="0" fillId="0" borderId="0"/>
    <xf numFmtId="43" fontId="3" fillId="0" borderId="0" applyBorder="0" applyAlignment="0" applyProtection="0"/>
    <xf numFmtId="0" fontId="3" fillId="0" borderId="0" applyFont="0" applyBorder="0" applyAlignment="0" applyProtection="0"/>
    <xf numFmtId="0" fontId="6"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19">
    <xf numFmtId="0" fontId="0" fillId="0" borderId="0" xfId="0"/>
    <xf numFmtId="0" fontId="5" fillId="0" borderId="0" xfId="0" applyFont="1" applyAlignment="1">
      <alignment horizontal="center"/>
    </xf>
    <xf numFmtId="0" fontId="5" fillId="0" borderId="0" xfId="0" applyFont="1" applyAlignment="1" applyProtection="1">
      <alignment horizontal="left" indent="5"/>
    </xf>
    <xf numFmtId="0" fontId="4" fillId="0" borderId="0" xfId="0" applyFont="1" applyAlignment="1" applyProtection="1">
      <alignment horizontal="center" vertical="center"/>
    </xf>
    <xf numFmtId="0" fontId="4" fillId="0" borderId="0" xfId="0" applyFont="1" applyProtection="1"/>
    <xf numFmtId="0" fontId="4" fillId="0" borderId="0" xfId="0" applyFont="1" applyAlignment="1" applyProtection="1">
      <alignment wrapText="1"/>
    </xf>
    <xf numFmtId="0" fontId="4" fillId="0" borderId="0" xfId="0" applyFont="1" applyAlignment="1" applyProtection="1">
      <alignment horizontal="left" wrapText="1"/>
    </xf>
    <xf numFmtId="0" fontId="4" fillId="0" borderId="0" xfId="0" applyFont="1" applyProtection="1">
      <protection locked="0"/>
    </xf>
    <xf numFmtId="0" fontId="4" fillId="0" borderId="0" xfId="0" applyFont="1" applyAlignment="1" applyProtection="1">
      <alignment horizontal="left" wrapText="1"/>
      <protection locked="0"/>
    </xf>
    <xf numFmtId="0" fontId="7" fillId="2" borderId="1" xfId="3" applyFont="1" applyFill="1" applyBorder="1" applyAlignment="1" applyProtection="1">
      <alignment horizontal="center" vertical="center" wrapText="1"/>
      <protection locked="0"/>
    </xf>
    <xf numFmtId="0" fontId="4" fillId="0" borderId="0" xfId="0" applyNumberFormat="1" applyFont="1" applyAlignment="1" applyProtection="1">
      <alignment horizontal="center"/>
    </xf>
    <xf numFmtId="0" fontId="4" fillId="0" borderId="0" xfId="0" applyNumberFormat="1" applyFont="1" applyProtection="1"/>
    <xf numFmtId="0" fontId="4" fillId="5" borderId="0" xfId="0" applyNumberFormat="1" applyFont="1" applyFill="1" applyBorder="1" applyAlignment="1" applyProtection="1">
      <alignment vertical="center" wrapText="1"/>
    </xf>
    <xf numFmtId="0" fontId="4" fillId="0" borderId="0" xfId="0" applyNumberFormat="1" applyFont="1" applyAlignment="1" applyProtection="1"/>
    <xf numFmtId="0" fontId="8" fillId="5" borderId="0" xfId="0" applyNumberFormat="1" applyFont="1" applyFill="1" applyBorder="1" applyAlignment="1" applyProtection="1">
      <alignment horizontal="center" vertical="center" wrapText="1"/>
    </xf>
    <xf numFmtId="0" fontId="5" fillId="0" borderId="2" xfId="0" applyNumberFormat="1" applyFont="1" applyBorder="1" applyAlignment="1" applyProtection="1"/>
    <xf numFmtId="0" fontId="9" fillId="2" borderId="1" xfId="0" applyNumberFormat="1" applyFont="1" applyFill="1" applyBorder="1" applyAlignment="1" applyProtection="1">
      <alignment horizontal="center" wrapText="1"/>
    </xf>
    <xf numFmtId="0" fontId="4" fillId="0" borderId="1" xfId="0" applyNumberFormat="1" applyFont="1" applyBorder="1" applyAlignment="1" applyProtection="1">
      <alignment horizontal="center"/>
    </xf>
    <xf numFmtId="0" fontId="4" fillId="0" borderId="1" xfId="0" applyNumberFormat="1" applyFont="1" applyBorder="1" applyProtection="1"/>
    <xf numFmtId="0" fontId="4" fillId="2" borderId="1" xfId="0" applyNumberFormat="1" applyFont="1" applyFill="1" applyBorder="1" applyAlignment="1" applyProtection="1">
      <alignment horizontal="center"/>
    </xf>
    <xf numFmtId="0" fontId="8" fillId="2" borderId="1" xfId="0" applyNumberFormat="1" applyFont="1" applyFill="1" applyBorder="1" applyAlignment="1" applyProtection="1">
      <alignment horizontal="center"/>
    </xf>
    <xf numFmtId="0" fontId="4" fillId="0" borderId="0" xfId="0" applyFont="1" applyAlignment="1" applyProtection="1">
      <alignment vertical="center" wrapText="1"/>
    </xf>
    <xf numFmtId="0" fontId="8" fillId="2" borderId="3"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3" xfId="0" applyFont="1" applyFill="1" applyBorder="1" applyAlignment="1" applyProtection="1">
      <alignment horizontal="center"/>
    </xf>
    <xf numFmtId="0" fontId="8" fillId="2" borderId="4" xfId="0" applyFont="1" applyFill="1" applyBorder="1" applyAlignment="1" applyProtection="1">
      <alignment horizontal="center" vertical="center"/>
    </xf>
    <xf numFmtId="43" fontId="4" fillId="2" borderId="3" xfId="1" applyNumberFormat="1" applyFont="1" applyFill="1" applyBorder="1" applyProtection="1"/>
    <xf numFmtId="0" fontId="4" fillId="0" borderId="3" xfId="0" applyFont="1" applyBorder="1" applyProtection="1">
      <protection locked="0"/>
    </xf>
    <xf numFmtId="43" fontId="4" fillId="0" borderId="3" xfId="1" applyNumberFormat="1" applyFont="1" applyBorder="1" applyProtection="1">
      <protection locked="0"/>
    </xf>
    <xf numFmtId="0" fontId="4" fillId="0" borderId="5" xfId="0" applyFont="1" applyBorder="1" applyProtection="1">
      <protection locked="0"/>
    </xf>
    <xf numFmtId="43" fontId="4" fillId="0" borderId="5" xfId="1" applyNumberFormat="1" applyFont="1" applyBorder="1" applyProtection="1">
      <protection locked="0"/>
    </xf>
    <xf numFmtId="0" fontId="4" fillId="0" borderId="1" xfId="0" applyFont="1" applyBorder="1" applyAlignment="1" applyProtection="1">
      <alignment horizontal="center"/>
      <protection locked="0"/>
    </xf>
    <xf numFmtId="0" fontId="4" fillId="0" borderId="1" xfId="0" applyFont="1" applyBorder="1" applyProtection="1">
      <protection locked="0"/>
    </xf>
    <xf numFmtId="43" fontId="4" fillId="0" borderId="1" xfId="1" applyNumberFormat="1" applyFont="1" applyBorder="1" applyProtection="1">
      <protection locked="0"/>
    </xf>
    <xf numFmtId="43" fontId="4" fillId="0" borderId="1" xfId="0" applyNumberFormat="1" applyFont="1" applyBorder="1" applyProtection="1">
      <protection locked="0"/>
    </xf>
    <xf numFmtId="0" fontId="9" fillId="0" borderId="1" xfId="3" applyFont="1" applyFill="1" applyBorder="1" applyProtection="1">
      <protection locked="0"/>
    </xf>
    <xf numFmtId="43" fontId="9" fillId="0" borderId="1" xfId="3" applyNumberFormat="1" applyFont="1" applyFill="1" applyBorder="1" applyProtection="1">
      <protection locked="0"/>
    </xf>
    <xf numFmtId="43" fontId="4" fillId="0" borderId="1" xfId="0" applyNumberFormat="1" applyFont="1" applyBorder="1" applyAlignment="1" applyProtection="1">
      <protection locked="0"/>
    </xf>
    <xf numFmtId="43" fontId="4" fillId="0" borderId="1" xfId="0" applyNumberFormat="1" applyFont="1" applyBorder="1" applyAlignment="1" applyProtection="1">
      <alignment horizontal="center"/>
      <protection locked="0"/>
    </xf>
    <xf numFmtId="49" fontId="4" fillId="0" borderId="0" xfId="0" applyNumberFormat="1" applyFont="1" applyAlignment="1" applyProtection="1">
      <alignment horizontal="left"/>
    </xf>
    <xf numFmtId="0" fontId="4" fillId="2" borderId="4" xfId="0" applyFont="1" applyFill="1" applyBorder="1" applyAlignment="1" applyProtection="1">
      <alignment vertical="center" wrapText="1"/>
    </xf>
    <xf numFmtId="0" fontId="4" fillId="2" borderId="1" xfId="0" applyFont="1" applyFill="1" applyBorder="1" applyAlignment="1" applyProtection="1">
      <alignment wrapText="1"/>
    </xf>
    <xf numFmtId="0" fontId="4" fillId="2" borderId="7" xfId="0" applyFont="1" applyFill="1" applyBorder="1" applyAlignment="1" applyProtection="1">
      <alignment vertical="center" wrapText="1"/>
    </xf>
    <xf numFmtId="0" fontId="4" fillId="2" borderId="3" xfId="0" applyFont="1" applyFill="1" applyBorder="1" applyAlignment="1" applyProtection="1">
      <alignment vertical="center" wrapText="1"/>
    </xf>
    <xf numFmtId="49" fontId="9" fillId="2" borderId="10" xfId="0" applyNumberFormat="1" applyFont="1" applyFill="1" applyBorder="1" applyAlignment="1" applyProtection="1">
      <alignment horizontal="center"/>
    </xf>
    <xf numFmtId="0" fontId="9" fillId="2" borderId="10" xfId="0" applyFont="1" applyFill="1" applyBorder="1" applyAlignment="1" applyProtection="1">
      <alignment horizontal="center"/>
    </xf>
    <xf numFmtId="0" fontId="9" fillId="2" borderId="8" xfId="0" applyFont="1" applyFill="1" applyBorder="1" applyAlignment="1" applyProtection="1">
      <alignment horizontal="center"/>
    </xf>
    <xf numFmtId="0" fontId="4" fillId="2" borderId="4" xfId="0" applyFont="1" applyFill="1" applyBorder="1" applyAlignment="1" applyProtection="1">
      <alignment horizontal="center" vertical="center" wrapText="1"/>
    </xf>
    <xf numFmtId="0" fontId="4" fillId="2" borderId="0" xfId="0" applyFont="1" applyFill="1" applyBorder="1" applyAlignment="1" applyProtection="1">
      <alignment horizontal="center" wrapText="1"/>
    </xf>
    <xf numFmtId="0" fontId="4" fillId="2" borderId="7" xfId="0" applyFont="1" applyFill="1" applyBorder="1" applyAlignment="1" applyProtection="1">
      <alignment horizontal="center" vertical="center" wrapText="1"/>
    </xf>
    <xf numFmtId="49" fontId="8" fillId="2" borderId="3" xfId="0" applyNumberFormat="1" applyFont="1" applyFill="1" applyBorder="1" applyAlignment="1" applyProtection="1">
      <alignment horizontal="center" vertical="center"/>
    </xf>
    <xf numFmtId="0" fontId="8" fillId="2" borderId="3" xfId="0" applyFont="1" applyFill="1" applyBorder="1" applyAlignment="1" applyProtection="1">
      <alignment wrapText="1"/>
    </xf>
    <xf numFmtId="43" fontId="10" fillId="0" borderId="1" xfId="1" applyNumberFormat="1" applyFont="1" applyBorder="1" applyProtection="1">
      <protection locked="0"/>
    </xf>
    <xf numFmtId="43" fontId="4" fillId="0" borderId="7" xfId="1" applyNumberFormat="1" applyFont="1" applyBorder="1" applyProtection="1">
      <protection locked="0"/>
    </xf>
    <xf numFmtId="0" fontId="4" fillId="2" borderId="1" xfId="0" applyFont="1" applyFill="1" applyBorder="1" applyAlignment="1" applyProtection="1">
      <alignment vertical="center" wrapText="1"/>
    </xf>
    <xf numFmtId="0" fontId="9" fillId="2" borderId="11" xfId="0" applyFont="1" applyFill="1" applyBorder="1" applyAlignment="1" applyProtection="1">
      <alignment horizontal="center"/>
    </xf>
    <xf numFmtId="0" fontId="9" fillId="2" borderId="1" xfId="0" applyFont="1" applyFill="1" applyBorder="1" applyAlignment="1" applyProtection="1">
      <alignment horizontal="center"/>
    </xf>
    <xf numFmtId="0" fontId="9" fillId="2" borderId="12" xfId="0" applyFont="1" applyFill="1" applyBorder="1" applyAlignment="1" applyProtection="1">
      <alignment horizontal="center"/>
    </xf>
    <xf numFmtId="0" fontId="8" fillId="2" borderId="4" xfId="0" applyFont="1" applyFill="1" applyBorder="1" applyAlignment="1" applyProtection="1">
      <alignment wrapText="1"/>
    </xf>
    <xf numFmtId="43" fontId="4" fillId="2" borderId="1" xfId="1" applyNumberFormat="1" applyFont="1" applyFill="1" applyBorder="1" applyProtection="1"/>
    <xf numFmtId="43" fontId="4" fillId="0" borderId="10" xfId="1" applyNumberFormat="1" applyFont="1" applyBorder="1" applyProtection="1">
      <protection locked="0"/>
    </xf>
    <xf numFmtId="0" fontId="9" fillId="0" borderId="0" xfId="0" applyFont="1"/>
    <xf numFmtId="0" fontId="4" fillId="8" borderId="0" xfId="5" applyFont="1" applyFill="1" applyBorder="1" applyAlignment="1" applyProtection="1">
      <alignment vertical="center" wrapText="1"/>
    </xf>
    <xf numFmtId="0" fontId="4" fillId="8" borderId="2" xfId="5" applyFont="1" applyFill="1" applyBorder="1" applyAlignment="1" applyProtection="1">
      <alignment vertical="center"/>
    </xf>
    <xf numFmtId="0" fontId="4" fillId="8" borderId="2" xfId="5" applyFont="1" applyFill="1" applyBorder="1" applyAlignment="1" applyProtection="1">
      <alignment vertical="center" wrapText="1"/>
    </xf>
    <xf numFmtId="4" fontId="10" fillId="0" borderId="1" xfId="5" applyNumberFormat="1" applyFont="1" applyBorder="1" applyProtection="1">
      <protection locked="0"/>
    </xf>
    <xf numFmtId="0" fontId="9" fillId="4" borderId="1" xfId="5" applyFont="1" applyFill="1" applyBorder="1" applyAlignment="1" applyProtection="1">
      <alignment vertical="center" wrapText="1"/>
      <protection locked="0"/>
    </xf>
    <xf numFmtId="43" fontId="10" fillId="4" borderId="1" xfId="6" applyFont="1" applyFill="1" applyBorder="1" applyAlignment="1" applyProtection="1">
      <alignment horizontal="left" vertical="top" wrapText="1"/>
      <protection locked="0"/>
    </xf>
    <xf numFmtId="43" fontId="9" fillId="4" borderId="1" xfId="6" applyFont="1" applyFill="1" applyBorder="1" applyAlignment="1" applyProtection="1">
      <alignment horizontal="left" vertical="top" wrapText="1"/>
      <protection locked="0"/>
    </xf>
    <xf numFmtId="0" fontId="4" fillId="4" borderId="0" xfId="5" applyFont="1" applyFill="1" applyAlignment="1" applyProtection="1"/>
    <xf numFmtId="0" fontId="5" fillId="4" borderId="0" xfId="5" applyFont="1" applyFill="1" applyProtection="1"/>
    <xf numFmtId="0" fontId="10" fillId="0" borderId="0" xfId="5" applyFont="1" applyProtection="1"/>
    <xf numFmtId="0" fontId="10" fillId="4" borderId="0" xfId="5" applyFont="1" applyFill="1" applyProtection="1"/>
    <xf numFmtId="0" fontId="10" fillId="0" borderId="0" xfId="9" applyFont="1" applyAlignment="1" applyProtection="1">
      <alignment wrapText="1"/>
    </xf>
    <xf numFmtId="2" fontId="7" fillId="0" borderId="0" xfId="9" applyNumberFormat="1" applyFont="1" applyAlignment="1" applyProtection="1">
      <alignment horizontal="center" wrapText="1"/>
    </xf>
    <xf numFmtId="43" fontId="7" fillId="0" borderId="0" xfId="10" applyFont="1" applyAlignment="1" applyProtection="1">
      <alignment horizontal="center" wrapText="1"/>
    </xf>
    <xf numFmtId="0" fontId="7" fillId="0" borderId="0" xfId="9" applyFont="1" applyAlignment="1" applyProtection="1">
      <alignment horizontal="center" wrapText="1"/>
    </xf>
    <xf numFmtId="0" fontId="4" fillId="0" borderId="0" xfId="9" applyFont="1" applyAlignment="1" applyProtection="1">
      <alignment vertical="center" wrapText="1"/>
    </xf>
    <xf numFmtId="2" fontId="4" fillId="5" borderId="0" xfId="9" applyNumberFormat="1" applyFont="1" applyFill="1" applyBorder="1" applyAlignment="1" applyProtection="1">
      <alignment horizontal="left" vertical="center" wrapText="1"/>
    </xf>
    <xf numFmtId="43" fontId="10" fillId="0" borderId="0" xfId="10" applyFont="1" applyAlignment="1" applyProtection="1">
      <alignment wrapText="1"/>
    </xf>
    <xf numFmtId="0" fontId="4" fillId="0" borderId="0" xfId="9" applyFont="1" applyAlignment="1" applyProtection="1">
      <alignment horizontal="right" vertical="center" wrapText="1"/>
    </xf>
    <xf numFmtId="49" fontId="8" fillId="2" borderId="3" xfId="9" applyNumberFormat="1" applyFont="1" applyFill="1" applyBorder="1" applyAlignment="1" applyProtection="1">
      <alignment horizontal="left" vertical="center" wrapText="1"/>
    </xf>
    <xf numFmtId="0" fontId="8" fillId="2" borderId="3" xfId="9" applyFont="1" applyFill="1" applyBorder="1" applyAlignment="1" applyProtection="1">
      <alignment vertical="center" wrapText="1"/>
    </xf>
    <xf numFmtId="0" fontId="8" fillId="2" borderId="3" xfId="9" applyFont="1" applyFill="1" applyBorder="1" applyAlignment="1" applyProtection="1">
      <alignment horizontal="center" vertical="center" wrapText="1"/>
    </xf>
    <xf numFmtId="0" fontId="4" fillId="2" borderId="3" xfId="9" applyFont="1" applyFill="1" applyBorder="1" applyAlignment="1" applyProtection="1">
      <alignment horizontal="center" vertical="center" wrapText="1"/>
    </xf>
    <xf numFmtId="0" fontId="10" fillId="0" borderId="0" xfId="9" applyFont="1" applyProtection="1"/>
    <xf numFmtId="49" fontId="4" fillId="2" borderId="3" xfId="9" applyNumberFormat="1" applyFont="1" applyFill="1" applyBorder="1" applyAlignment="1" applyProtection="1">
      <alignment horizontal="center" vertical="center" wrapText="1"/>
    </xf>
    <xf numFmtId="0" fontId="4" fillId="2" borderId="4" xfId="9" applyFont="1" applyFill="1" applyBorder="1" applyAlignment="1" applyProtection="1">
      <alignment horizontal="center" vertical="center" wrapText="1"/>
    </xf>
    <xf numFmtId="43" fontId="8" fillId="0" borderId="3" xfId="9" applyNumberFormat="1" applyFont="1" applyFill="1" applyBorder="1" applyProtection="1">
      <protection locked="0"/>
    </xf>
    <xf numFmtId="43" fontId="8" fillId="2" borderId="3" xfId="9" applyNumberFormat="1" applyFont="1" applyFill="1" applyBorder="1" applyProtection="1"/>
    <xf numFmtId="43" fontId="4" fillId="2" borderId="4" xfId="10" applyNumberFormat="1" applyFont="1" applyFill="1" applyBorder="1" applyProtection="1"/>
    <xf numFmtId="9" fontId="4" fillId="2" borderId="3" xfId="11" applyFont="1" applyFill="1" applyBorder="1" applyProtection="1"/>
    <xf numFmtId="0" fontId="11" fillId="0" borderId="0" xfId="9" applyFont="1" applyProtection="1"/>
    <xf numFmtId="0" fontId="7" fillId="2" borderId="3" xfId="9" applyFont="1" applyFill="1" applyBorder="1" applyAlignment="1" applyProtection="1">
      <alignment vertical="center" wrapText="1"/>
    </xf>
    <xf numFmtId="43" fontId="8" fillId="2" borderId="3" xfId="10" applyNumberFormat="1" applyFont="1" applyFill="1" applyBorder="1" applyProtection="1"/>
    <xf numFmtId="49" fontId="4" fillId="0" borderId="3" xfId="9" applyNumberFormat="1" applyFont="1" applyBorder="1" applyAlignment="1" applyProtection="1">
      <alignment horizontal="left" vertical="center" wrapText="1"/>
    </xf>
    <xf numFmtId="0" fontId="9" fillId="7" borderId="1" xfId="9" applyFont="1" applyFill="1" applyBorder="1" applyAlignment="1" applyProtection="1">
      <alignment vertical="center" wrapText="1"/>
    </xf>
    <xf numFmtId="0" fontId="4" fillId="0" borderId="3" xfId="9" applyFont="1" applyBorder="1" applyAlignment="1" applyProtection="1">
      <alignment horizontal="center" vertical="center" wrapText="1"/>
    </xf>
    <xf numFmtId="43" fontId="4" fillId="0" borderId="3" xfId="10" applyNumberFormat="1" applyFont="1" applyFill="1" applyBorder="1" applyProtection="1">
      <protection locked="0"/>
    </xf>
    <xf numFmtId="43" fontId="8" fillId="3" borderId="3" xfId="10" applyNumberFormat="1" applyFont="1" applyFill="1" applyBorder="1" applyProtection="1"/>
    <xf numFmtId="43" fontId="4" fillId="3" borderId="4" xfId="10" applyNumberFormat="1" applyFont="1" applyFill="1" applyBorder="1" applyProtection="1"/>
    <xf numFmtId="43" fontId="4" fillId="3" borderId="3" xfId="10" applyNumberFormat="1" applyFont="1" applyFill="1" applyBorder="1" applyProtection="1"/>
    <xf numFmtId="0" fontId="4" fillId="0" borderId="4" xfId="9" applyFont="1" applyBorder="1" applyAlignment="1" applyProtection="1">
      <alignment horizontal="center" vertical="center" wrapText="1"/>
    </xf>
    <xf numFmtId="43" fontId="4" fillId="0" borderId="3" xfId="10" applyNumberFormat="1" applyFont="1" applyBorder="1" applyProtection="1">
      <protection locked="0"/>
    </xf>
    <xf numFmtId="0" fontId="7" fillId="2" borderId="3" xfId="9" applyFont="1" applyFill="1" applyBorder="1" applyAlignment="1" applyProtection="1">
      <alignment wrapText="1"/>
    </xf>
    <xf numFmtId="0" fontId="9" fillId="0" borderId="3" xfId="9" applyFont="1" applyBorder="1" applyAlignment="1" applyProtection="1">
      <alignment horizontal="left" vertical="center" wrapText="1"/>
    </xf>
    <xf numFmtId="0" fontId="11" fillId="0" borderId="0" xfId="9" applyFont="1" applyAlignment="1" applyProtection="1">
      <alignment wrapText="1"/>
    </xf>
    <xf numFmtId="43" fontId="8" fillId="2" borderId="4" xfId="10" applyNumberFormat="1" applyFont="1" applyFill="1" applyBorder="1" applyProtection="1"/>
    <xf numFmtId="2" fontId="4" fillId="5" borderId="3" xfId="9" applyNumberFormat="1" applyFont="1" applyFill="1" applyBorder="1" applyAlignment="1" applyProtection="1">
      <alignment horizontal="left" vertical="center" wrapText="1"/>
    </xf>
    <xf numFmtId="0" fontId="4" fillId="0" borderId="3" xfId="9" applyFont="1" applyFill="1" applyBorder="1" applyAlignment="1" applyProtection="1">
      <alignment horizontal="center" vertical="center" wrapText="1"/>
    </xf>
    <xf numFmtId="167" fontId="4" fillId="5" borderId="3" xfId="9" applyNumberFormat="1" applyFont="1" applyFill="1" applyBorder="1" applyAlignment="1" applyProtection="1">
      <alignment horizontal="left" vertical="center" wrapText="1"/>
    </xf>
    <xf numFmtId="9" fontId="4" fillId="2" borderId="3" xfId="11" applyFont="1" applyFill="1" applyBorder="1" applyAlignment="1" applyProtection="1">
      <alignment vertical="center"/>
    </xf>
    <xf numFmtId="43" fontId="8" fillId="2" borderId="3" xfId="10" applyNumberFormat="1" applyFont="1" applyFill="1" applyBorder="1" applyAlignment="1" applyProtection="1">
      <alignment vertical="center" wrapText="1"/>
    </xf>
    <xf numFmtId="43" fontId="8" fillId="2" borderId="4" xfId="10" applyNumberFormat="1" applyFont="1" applyFill="1" applyBorder="1" applyAlignment="1" applyProtection="1">
      <alignment vertical="center"/>
    </xf>
    <xf numFmtId="49" fontId="8" fillId="0" borderId="0" xfId="9" applyNumberFormat="1" applyFont="1" applyAlignment="1" applyProtection="1">
      <alignment horizontal="left" vertical="center"/>
    </xf>
    <xf numFmtId="0" fontId="4" fillId="0" borderId="0" xfId="9" applyFont="1" applyAlignment="1" applyProtection="1">
      <alignment wrapText="1"/>
    </xf>
    <xf numFmtId="0" fontId="4" fillId="0" borderId="0" xfId="9" applyFont="1" applyProtection="1"/>
    <xf numFmtId="43" fontId="13" fillId="0" borderId="0" xfId="3" applyNumberFormat="1" applyFont="1" applyBorder="1" applyAlignment="1" applyProtection="1">
      <alignment wrapText="1"/>
    </xf>
    <xf numFmtId="0" fontId="4" fillId="0" borderId="0" xfId="9" applyFont="1" applyAlignment="1" applyProtection="1"/>
    <xf numFmtId="2" fontId="10" fillId="0" borderId="0" xfId="9" applyNumberFormat="1" applyFont="1" applyAlignment="1" applyProtection="1">
      <alignment horizontal="center" wrapText="1"/>
    </xf>
    <xf numFmtId="0" fontId="14" fillId="0" borderId="0" xfId="9" applyFont="1" applyAlignment="1" applyProtection="1"/>
    <xf numFmtId="0" fontId="4" fillId="0" borderId="0" xfId="9" applyFont="1" applyAlignment="1" applyProtection="1">
      <alignment horizontal="right"/>
    </xf>
    <xf numFmtId="0" fontId="9" fillId="0" borderId="0" xfId="2" applyFont="1"/>
    <xf numFmtId="0" fontId="7" fillId="0" borderId="0" xfId="2" applyFont="1"/>
    <xf numFmtId="0" fontId="7" fillId="0" borderId="0" xfId="0" applyFont="1" applyAlignment="1"/>
    <xf numFmtId="0" fontId="9" fillId="0" borderId="0" xfId="0" applyFont="1" applyAlignment="1"/>
    <xf numFmtId="0" fontId="9" fillId="2" borderId="1" xfId="2" applyFont="1" applyFill="1" applyBorder="1"/>
    <xf numFmtId="0" fontId="7" fillId="2" borderId="1" xfId="0" applyFont="1" applyFill="1" applyBorder="1" applyAlignment="1">
      <alignment horizontal="center" wrapText="1"/>
    </xf>
    <xf numFmtId="0" fontId="7" fillId="2" borderId="1" xfId="2" applyFont="1" applyFill="1" applyBorder="1"/>
    <xf numFmtId="4" fontId="7" fillId="0" borderId="1" xfId="0" applyNumberFormat="1" applyFont="1" applyBorder="1" applyProtection="1">
      <protection locked="0"/>
    </xf>
    <xf numFmtId="43" fontId="9" fillId="0" borderId="1" xfId="0" applyNumberFormat="1" applyFont="1" applyBorder="1" applyProtection="1">
      <protection locked="0"/>
    </xf>
    <xf numFmtId="43" fontId="9" fillId="2" borderId="1" xfId="0" applyNumberFormat="1" applyFont="1" applyFill="1" applyBorder="1"/>
    <xf numFmtId="0" fontId="9" fillId="0" borderId="1" xfId="2" applyFont="1" applyBorder="1"/>
    <xf numFmtId="4" fontId="9" fillId="0" borderId="1" xfId="0" applyNumberFormat="1" applyFont="1" applyBorder="1" applyProtection="1">
      <protection locked="0"/>
    </xf>
    <xf numFmtId="0" fontId="9" fillId="0" borderId="1" xfId="0" applyFont="1" applyBorder="1"/>
    <xf numFmtId="43" fontId="9" fillId="3" borderId="1" xfId="0" applyNumberFormat="1" applyFont="1" applyFill="1" applyBorder="1"/>
    <xf numFmtId="0" fontId="7" fillId="0" borderId="1" xfId="0" applyFont="1" applyBorder="1"/>
    <xf numFmtId="43" fontId="9" fillId="3" borderId="1" xfId="0" applyNumberFormat="1" applyFont="1" applyFill="1" applyBorder="1" applyProtection="1">
      <protection locked="0"/>
    </xf>
    <xf numFmtId="43" fontId="11" fillId="0" borderId="0" xfId="0" applyNumberFormat="1" applyFont="1"/>
    <xf numFmtId="0" fontId="9" fillId="2" borderId="1" xfId="0" applyFont="1" applyFill="1" applyBorder="1"/>
    <xf numFmtId="1" fontId="9" fillId="2" borderId="1" xfId="0" applyNumberFormat="1" applyFont="1" applyFill="1" applyBorder="1" applyAlignment="1">
      <alignment horizontal="center"/>
    </xf>
    <xf numFmtId="1" fontId="9" fillId="0" borderId="1" xfId="0" applyNumberFormat="1" applyFont="1" applyBorder="1" applyAlignment="1" applyProtection="1">
      <alignment horizontal="center"/>
      <protection locked="0"/>
    </xf>
    <xf numFmtId="1" fontId="9" fillId="0" borderId="1" xfId="0" applyNumberFormat="1" applyFont="1" applyBorder="1" applyAlignment="1">
      <alignment horizontal="center"/>
    </xf>
    <xf numFmtId="1" fontId="9" fillId="2" borderId="1" xfId="0" applyNumberFormat="1" applyFont="1" applyFill="1" applyBorder="1" applyAlignment="1" applyProtection="1">
      <alignment horizontal="center"/>
      <protection locked="0"/>
    </xf>
    <xf numFmtId="4" fontId="9" fillId="2" borderId="1" xfId="0" applyNumberFormat="1" applyFont="1" applyFill="1" applyBorder="1" applyProtection="1">
      <protection locked="0"/>
    </xf>
    <xf numFmtId="43" fontId="9" fillId="2" borderId="1" xfId="0" applyNumberFormat="1" applyFont="1" applyFill="1" applyBorder="1" applyProtection="1">
      <protection locked="0"/>
    </xf>
    <xf numFmtId="3" fontId="9" fillId="2" borderId="1" xfId="0" applyNumberFormat="1" applyFont="1" applyFill="1" applyBorder="1" applyAlignment="1" applyProtection="1">
      <alignment horizontal="center"/>
      <protection locked="0"/>
    </xf>
    <xf numFmtId="9" fontId="9" fillId="2" borderId="1" xfId="0" applyNumberFormat="1" applyFont="1" applyFill="1" applyBorder="1"/>
    <xf numFmtId="3" fontId="9" fillId="2" borderId="1" xfId="0" applyNumberFormat="1" applyFont="1" applyFill="1" applyBorder="1" applyAlignment="1">
      <alignment horizontal="center"/>
    </xf>
    <xf numFmtId="3" fontId="9" fillId="0" borderId="1" xfId="0" applyNumberFormat="1" applyFont="1" applyBorder="1" applyAlignment="1" applyProtection="1">
      <alignment horizontal="center"/>
      <protection locked="0"/>
    </xf>
    <xf numFmtId="3" fontId="9" fillId="0" borderId="1" xfId="0" applyNumberFormat="1" applyFont="1" applyBorder="1" applyAlignment="1">
      <alignment horizontal="center"/>
    </xf>
    <xf numFmtId="2" fontId="9" fillId="0" borderId="1" xfId="2" applyNumberFormat="1" applyFont="1" applyBorder="1"/>
    <xf numFmtId="4" fontId="9" fillId="2" borderId="1" xfId="0" applyNumberFormat="1" applyFont="1" applyFill="1" applyBorder="1" applyAlignment="1" applyProtection="1">
      <alignment wrapText="1"/>
      <protection locked="0"/>
    </xf>
    <xf numFmtId="0" fontId="9" fillId="2" borderId="1" xfId="0" applyFont="1" applyFill="1" applyBorder="1" applyAlignment="1">
      <alignment wrapText="1"/>
    </xf>
    <xf numFmtId="43" fontId="9" fillId="4" borderId="1" xfId="0" applyNumberFormat="1" applyFont="1" applyFill="1" applyBorder="1"/>
    <xf numFmtId="4" fontId="9" fillId="0" borderId="1" xfId="0" applyNumberFormat="1" applyFont="1" applyBorder="1" applyAlignment="1" applyProtection="1">
      <alignment wrapText="1"/>
      <protection locked="0"/>
    </xf>
    <xf numFmtId="0" fontId="9" fillId="0" borderId="1" xfId="0" applyFont="1" applyBorder="1" applyAlignment="1" applyProtection="1">
      <protection locked="0"/>
    </xf>
    <xf numFmtId="43" fontId="9" fillId="0" borderId="1" xfId="0" applyNumberFormat="1" applyFont="1" applyBorder="1" applyAlignment="1" applyProtection="1">
      <protection locked="0"/>
    </xf>
    <xf numFmtId="0" fontId="9" fillId="0" borderId="0" xfId="0" applyFont="1" applyFill="1" applyAlignment="1" applyProtection="1">
      <alignment horizontal="left" vertical="center" wrapText="1"/>
    </xf>
    <xf numFmtId="0" fontId="9" fillId="0" borderId="0" xfId="0" applyFont="1" applyFill="1" applyAlignment="1" applyProtection="1">
      <alignment horizontal="right" vertical="center" wrapText="1"/>
    </xf>
    <xf numFmtId="0" fontId="7" fillId="2" borderId="1" xfId="3" applyFont="1" applyFill="1" applyBorder="1" applyAlignment="1" applyProtection="1">
      <alignment horizontal="center" vertical="center"/>
    </xf>
    <xf numFmtId="0" fontId="7" fillId="2" borderId="1" xfId="3" applyFont="1" applyFill="1" applyBorder="1" applyAlignment="1" applyProtection="1">
      <alignment horizontal="center" vertical="center" wrapText="1"/>
    </xf>
    <xf numFmtId="0" fontId="9" fillId="2" borderId="1" xfId="3" applyFont="1" applyFill="1" applyBorder="1" applyAlignment="1" applyProtection="1">
      <alignment horizontal="center" vertical="center"/>
    </xf>
    <xf numFmtId="0" fontId="9" fillId="2" borderId="1" xfId="3" applyFont="1" applyFill="1"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wrapText="1"/>
    </xf>
    <xf numFmtId="43" fontId="10" fillId="4" borderId="1" xfId="1" applyNumberFormat="1" applyFont="1" applyFill="1" applyBorder="1" applyProtection="1">
      <protection locked="0"/>
    </xf>
    <xf numFmtId="0" fontId="9" fillId="4" borderId="1" xfId="3" applyFont="1" applyFill="1" applyBorder="1" applyAlignment="1" applyProtection="1">
      <alignment horizontal="left" vertical="center"/>
    </xf>
    <xf numFmtId="0" fontId="9" fillId="0" borderId="1" xfId="3"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1" xfId="3" applyFont="1" applyFill="1" applyBorder="1" applyAlignment="1" applyProtection="1">
      <alignment horizontal="left" vertical="center" wrapText="1"/>
    </xf>
    <xf numFmtId="0" fontId="9" fillId="4" borderId="1" xfId="3" applyFont="1" applyFill="1" applyBorder="1" applyAlignment="1" applyProtection="1">
      <alignment horizontal="center" vertical="center" wrapText="1"/>
    </xf>
    <xf numFmtId="0" fontId="9" fillId="4" borderId="1" xfId="3" applyFont="1" applyFill="1" applyBorder="1" applyAlignment="1" applyProtection="1">
      <alignment horizontal="left"/>
    </xf>
    <xf numFmtId="43" fontId="9" fillId="4" borderId="1" xfId="1" applyNumberFormat="1" applyFont="1" applyFill="1" applyBorder="1" applyProtection="1">
      <protection locked="0"/>
    </xf>
    <xf numFmtId="43" fontId="9" fillId="4" borderId="1" xfId="1" applyNumberFormat="1" applyFont="1" applyFill="1" applyBorder="1" applyAlignment="1" applyProtection="1">
      <alignment horizontal="center"/>
      <protection locked="0"/>
    </xf>
    <xf numFmtId="43" fontId="9" fillId="0" borderId="1" xfId="1" applyNumberFormat="1" applyFont="1" applyFill="1" applyBorder="1" applyProtection="1">
      <protection locked="0"/>
    </xf>
    <xf numFmtId="43" fontId="9" fillId="0" borderId="1" xfId="1" applyNumberFormat="1" applyFont="1" applyFill="1" applyBorder="1" applyAlignment="1" applyProtection="1">
      <alignment horizontal="center"/>
      <protection locked="0"/>
    </xf>
    <xf numFmtId="43" fontId="7" fillId="2" borderId="1" xfId="1" quotePrefix="1" applyNumberFormat="1" applyFont="1" applyFill="1" applyBorder="1" applyProtection="1"/>
    <xf numFmtId="43" fontId="7" fillId="2" borderId="1" xfId="1" applyNumberFormat="1" applyFont="1" applyFill="1" applyBorder="1" applyProtection="1"/>
    <xf numFmtId="0" fontId="9" fillId="0" borderId="0" xfId="3" applyFont="1" applyFill="1" applyAlignment="1" applyProtection="1"/>
    <xf numFmtId="0" fontId="7" fillId="0" borderId="0" xfId="3" applyFont="1" applyFill="1" applyBorder="1" applyAlignment="1" applyProtection="1">
      <alignment horizontal="center" wrapText="1"/>
    </xf>
    <xf numFmtId="0" fontId="13" fillId="0" borderId="0" xfId="3" applyFont="1" applyFill="1" applyBorder="1" applyAlignment="1" applyProtection="1">
      <alignment horizontal="center" wrapText="1"/>
    </xf>
    <xf numFmtId="43" fontId="13" fillId="0" borderId="0" xfId="3" applyNumberFormat="1" applyFont="1" applyFill="1" applyBorder="1" applyProtection="1"/>
    <xf numFmtId="0" fontId="4" fillId="0" borderId="0" xfId="1" applyNumberFormat="1" applyFont="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 xfId="1" applyNumberFormat="1" applyFont="1" applyFill="1" applyBorder="1" applyAlignment="1" applyProtection="1">
      <alignment horizontal="center" wrapText="1"/>
    </xf>
    <xf numFmtId="0" fontId="10" fillId="0" borderId="1" xfId="0" applyFont="1" applyBorder="1" applyProtection="1"/>
    <xf numFmtId="0" fontId="10" fillId="0" borderId="1" xfId="1" applyNumberFormat="1" applyFont="1" applyBorder="1" applyAlignment="1" applyProtection="1">
      <alignment horizontal="center"/>
    </xf>
    <xf numFmtId="49" fontId="7" fillId="2" borderId="1" xfId="3" applyNumberFormat="1" applyFont="1" applyFill="1" applyBorder="1" applyAlignment="1" applyProtection="1">
      <alignment horizontal="center" vertical="center" wrapText="1"/>
    </xf>
    <xf numFmtId="49" fontId="9" fillId="2" borderId="1" xfId="3" applyNumberFormat="1" applyFont="1" applyFill="1" applyBorder="1" applyAlignment="1" applyProtection="1">
      <alignment horizontal="center" vertical="center" wrapText="1"/>
    </xf>
    <xf numFmtId="49" fontId="7" fillId="2" borderId="1" xfId="3" applyNumberFormat="1" applyFont="1" applyFill="1" applyBorder="1" applyProtection="1"/>
    <xf numFmtId="0" fontId="7" fillId="2" borderId="1" xfId="3" applyFont="1" applyFill="1" applyBorder="1" applyAlignment="1" applyProtection="1">
      <alignment horizontal="left" vertical="center" wrapText="1"/>
    </xf>
    <xf numFmtId="0" fontId="9" fillId="2" borderId="1" xfId="3" applyFont="1" applyFill="1" applyBorder="1" applyAlignment="1" applyProtection="1">
      <alignment horizontal="center"/>
    </xf>
    <xf numFmtId="43" fontId="9" fillId="2" borderId="1" xfId="3" applyNumberFormat="1" applyFont="1" applyFill="1" applyBorder="1" applyAlignment="1" applyProtection="1">
      <alignment horizontal="center"/>
    </xf>
    <xf numFmtId="49" fontId="9" fillId="0" borderId="1" xfId="3" applyNumberFormat="1" applyFont="1" applyFill="1" applyBorder="1" applyProtection="1"/>
    <xf numFmtId="0" fontId="9" fillId="0" borderId="1" xfId="3" applyFont="1" applyFill="1" applyBorder="1" applyAlignment="1" applyProtection="1">
      <alignment horizontal="left" vertical="center" wrapText="1" indent="3"/>
    </xf>
    <xf numFmtId="0" fontId="9" fillId="0" borderId="1" xfId="3" applyFont="1" applyFill="1" applyBorder="1" applyAlignment="1" applyProtection="1">
      <alignment horizontal="center"/>
    </xf>
    <xf numFmtId="43" fontId="9" fillId="3" borderId="1" xfId="3" applyNumberFormat="1" applyFont="1" applyFill="1" applyBorder="1" applyAlignment="1" applyProtection="1">
      <alignment horizontal="center"/>
    </xf>
    <xf numFmtId="0" fontId="7" fillId="2" borderId="1" xfId="3" applyFont="1" applyFill="1" applyBorder="1" applyAlignment="1" applyProtection="1">
      <alignment vertical="center" wrapText="1"/>
    </xf>
    <xf numFmtId="43" fontId="7" fillId="2" borderId="1" xfId="4" applyNumberFormat="1" applyFont="1" applyFill="1" applyBorder="1" applyAlignment="1" applyProtection="1">
      <alignment horizontal="center"/>
    </xf>
    <xf numFmtId="0" fontId="7" fillId="2" borderId="1" xfId="3" applyFont="1" applyFill="1" applyBorder="1" applyAlignment="1" applyProtection="1">
      <alignment horizontal="left" vertical="center"/>
    </xf>
    <xf numFmtId="43" fontId="7" fillId="2" borderId="1" xfId="3" applyNumberFormat="1" applyFont="1" applyFill="1" applyBorder="1" applyAlignment="1" applyProtection="1">
      <alignment vertical="center" wrapText="1"/>
    </xf>
    <xf numFmtId="43" fontId="7" fillId="2" borderId="1" xfId="3" applyNumberFormat="1" applyFont="1" applyFill="1" applyBorder="1" applyAlignment="1" applyProtection="1">
      <alignment horizontal="center"/>
    </xf>
    <xf numFmtId="0" fontId="4" fillId="0" borderId="0" xfId="0" applyFont="1" applyAlignment="1" applyProtection="1">
      <alignment vertical="center"/>
    </xf>
    <xf numFmtId="164" fontId="4" fillId="0" borderId="0" xfId="1" applyNumberFormat="1" applyFont="1" applyAlignment="1" applyProtection="1">
      <alignment vertical="center"/>
    </xf>
    <xf numFmtId="0" fontId="4" fillId="0" borderId="0" xfId="0" applyNumberFormat="1" applyFont="1" applyAlignment="1" applyProtection="1">
      <alignment horizontal="center" vertical="center"/>
    </xf>
    <xf numFmtId="0" fontId="8" fillId="0" borderId="0" xfId="0" applyNumberFormat="1" applyFont="1" applyAlignment="1" applyProtection="1">
      <alignment horizontal="center" vertical="center"/>
    </xf>
    <xf numFmtId="0" fontId="4" fillId="0" borderId="0" xfId="0" applyFont="1" applyAlignment="1" applyProtection="1"/>
    <xf numFmtId="164" fontId="4" fillId="0" borderId="0" xfId="1" applyNumberFormat="1" applyFont="1" applyAlignment="1" applyProtection="1"/>
    <xf numFmtId="164" fontId="4" fillId="5" borderId="0" xfId="1" applyNumberFormat="1" applyFont="1" applyFill="1" applyBorder="1" applyAlignment="1" applyProtection="1">
      <alignment vertical="center" wrapText="1"/>
    </xf>
    <xf numFmtId="164" fontId="4" fillId="5" borderId="28" xfId="1" applyNumberFormat="1" applyFont="1" applyFill="1" applyBorder="1" applyAlignment="1" applyProtection="1">
      <alignment vertical="center" wrapText="1"/>
    </xf>
    <xf numFmtId="0" fontId="9" fillId="0" borderId="1" xfId="3" applyFont="1" applyFill="1" applyBorder="1" applyAlignment="1" applyProtection="1">
      <alignment vertical="center" wrapText="1"/>
    </xf>
    <xf numFmtId="0" fontId="10" fillId="4" borderId="1" xfId="5" applyFont="1" applyFill="1" applyBorder="1" applyAlignment="1" applyProtection="1">
      <alignment horizontal="left" vertical="top" wrapText="1"/>
      <protection locked="0"/>
    </xf>
    <xf numFmtId="0" fontId="4" fillId="4" borderId="1" xfId="5" applyFont="1" applyFill="1" applyBorder="1" applyAlignment="1" applyProtection="1">
      <alignment horizontal="left" vertical="top" wrapText="1"/>
      <protection locked="0"/>
    </xf>
    <xf numFmtId="43" fontId="4" fillId="4" borderId="1" xfId="6" applyFont="1" applyFill="1" applyBorder="1" applyAlignment="1" applyProtection="1">
      <alignment horizontal="left" vertical="top" wrapText="1"/>
      <protection locked="0"/>
    </xf>
    <xf numFmtId="0" fontId="10" fillId="4" borderId="1" xfId="5" applyFont="1" applyFill="1" applyBorder="1" applyAlignment="1" applyProtection="1">
      <alignment vertical="top" wrapText="1"/>
      <protection locked="0"/>
    </xf>
    <xf numFmtId="43" fontId="10" fillId="4" borderId="1" xfId="6" applyFont="1" applyFill="1" applyBorder="1" applyAlignment="1" applyProtection="1">
      <alignment vertical="top" wrapText="1"/>
      <protection locked="0"/>
    </xf>
    <xf numFmtId="43" fontId="12" fillId="0" borderId="1" xfId="6" applyFont="1" applyFill="1" applyBorder="1" applyAlignment="1" applyProtection="1">
      <alignment horizontal="justify" vertical="top" wrapText="1"/>
      <protection locked="0"/>
    </xf>
    <xf numFmtId="0" fontId="10" fillId="4" borderId="1" xfId="5" applyFont="1" applyFill="1" applyBorder="1" applyAlignment="1" applyProtection="1">
      <alignment horizontal="justify" vertical="top" wrapText="1"/>
      <protection locked="0"/>
    </xf>
    <xf numFmtId="43" fontId="10" fillId="4" borderId="1" xfId="6" applyFont="1" applyFill="1" applyBorder="1" applyAlignment="1" applyProtection="1">
      <alignment horizontal="justify" vertical="top" wrapText="1"/>
      <protection locked="0"/>
    </xf>
    <xf numFmtId="43" fontId="10" fillId="4" borderId="1" xfId="6" applyFont="1" applyFill="1" applyBorder="1" applyAlignment="1" applyProtection="1">
      <alignment horizontal="center" vertical="top" wrapText="1"/>
      <protection locked="0"/>
    </xf>
    <xf numFmtId="0" fontId="9" fillId="0" borderId="0" xfId="3" applyFont="1" applyFill="1" applyProtection="1"/>
    <xf numFmtId="0" fontId="4" fillId="0" borderId="0" xfId="5" applyFont="1" applyProtection="1"/>
    <xf numFmtId="0" fontId="10" fillId="4" borderId="0" xfId="5" applyFont="1" applyFill="1" applyAlignment="1" applyProtection="1">
      <alignment wrapText="1"/>
    </xf>
    <xf numFmtId="43" fontId="10" fillId="4" borderId="0" xfId="6" applyFont="1" applyFill="1" applyProtection="1"/>
    <xf numFmtId="0" fontId="10" fillId="4" borderId="0" xfId="5" applyFont="1" applyFill="1" applyAlignment="1" applyProtection="1"/>
    <xf numFmtId="0" fontId="10" fillId="0" borderId="0" xfId="5" applyFont="1" applyBorder="1" applyProtection="1"/>
    <xf numFmtId="0" fontId="9" fillId="4" borderId="0" xfId="5" applyFont="1" applyFill="1" applyBorder="1" applyAlignment="1" applyProtection="1"/>
    <xf numFmtId="0" fontId="4" fillId="8" borderId="0" xfId="5" applyFont="1" applyFill="1" applyBorder="1" applyAlignment="1" applyProtection="1">
      <alignment horizontal="right" vertical="center" wrapText="1"/>
    </xf>
    <xf numFmtId="0" fontId="4" fillId="4" borderId="0" xfId="5" applyFont="1" applyFill="1" applyAlignment="1" applyProtection="1">
      <alignment vertical="center" wrapText="1"/>
    </xf>
    <xf numFmtId="0" fontId="10" fillId="2" borderId="1" xfId="5" applyFont="1" applyFill="1" applyBorder="1" applyAlignment="1" applyProtection="1">
      <alignment horizontal="left" vertical="center" wrapText="1"/>
    </xf>
    <xf numFmtId="0" fontId="10" fillId="2" borderId="1" xfId="5" applyFont="1" applyFill="1" applyBorder="1" applyAlignment="1" applyProtection="1">
      <alignment horizontal="center" vertical="center" wrapText="1"/>
    </xf>
    <xf numFmtId="0" fontId="10" fillId="2" borderId="1" xfId="5" applyFont="1" applyFill="1" applyBorder="1" applyAlignment="1" applyProtection="1">
      <alignment horizontal="center" vertical="center" textRotation="90" wrapText="1"/>
    </xf>
    <xf numFmtId="164" fontId="10" fillId="3" borderId="1" xfId="6" applyNumberFormat="1" applyFont="1" applyFill="1" applyBorder="1" applyAlignment="1" applyProtection="1">
      <alignment horizontal="center" vertical="center" wrapText="1"/>
    </xf>
    <xf numFmtId="164" fontId="10" fillId="3" borderId="1" xfId="6" applyNumberFormat="1" applyFont="1" applyFill="1" applyBorder="1" applyAlignment="1" applyProtection="1">
      <alignment horizontal="right" vertical="center" wrapText="1"/>
    </xf>
    <xf numFmtId="164" fontId="10" fillId="3" borderId="1" xfId="6" applyNumberFormat="1" applyFont="1" applyFill="1" applyBorder="1" applyAlignment="1" applyProtection="1">
      <alignment vertical="center"/>
    </xf>
    <xf numFmtId="9" fontId="4" fillId="3" borderId="1" xfId="7" applyFont="1" applyFill="1" applyBorder="1" applyAlignment="1" applyProtection="1">
      <alignment horizontal="center" vertical="center" wrapText="1"/>
    </xf>
    <xf numFmtId="166" fontId="4" fillId="3" borderId="1" xfId="8" applyNumberFormat="1" applyFont="1" applyFill="1" applyBorder="1" applyAlignment="1" applyProtection="1">
      <alignment horizontal="right" vertical="center" wrapText="1"/>
    </xf>
    <xf numFmtId="0" fontId="10" fillId="2" borderId="1" xfId="5" applyFont="1" applyFill="1" applyBorder="1" applyAlignment="1" applyProtection="1">
      <alignment vertical="center" wrapText="1"/>
    </xf>
    <xf numFmtId="9" fontId="10" fillId="2" borderId="1" xfId="7" applyFont="1" applyFill="1" applyBorder="1" applyAlignment="1" applyProtection="1">
      <alignment horizontal="center" vertical="center" wrapText="1"/>
    </xf>
    <xf numFmtId="164" fontId="10" fillId="2" borderId="1" xfId="6" applyNumberFormat="1" applyFont="1" applyFill="1" applyBorder="1" applyAlignment="1" applyProtection="1">
      <alignment horizontal="center" vertical="center" wrapText="1"/>
    </xf>
    <xf numFmtId="164" fontId="10" fillId="2" borderId="1" xfId="6" applyNumberFormat="1" applyFont="1" applyFill="1" applyBorder="1" applyAlignment="1" applyProtection="1">
      <alignment horizontal="right" vertical="center" wrapText="1"/>
    </xf>
    <xf numFmtId="166" fontId="10" fillId="2" borderId="1" xfId="8" applyNumberFormat="1" applyFont="1" applyFill="1" applyBorder="1" applyAlignment="1" applyProtection="1">
      <alignment vertical="center" wrapText="1"/>
    </xf>
    <xf numFmtId="166" fontId="10" fillId="2" borderId="1" xfId="8" applyNumberFormat="1" applyFont="1" applyFill="1" applyBorder="1" applyAlignment="1" applyProtection="1">
      <alignment horizontal="right" vertical="center" wrapText="1"/>
    </xf>
    <xf numFmtId="164" fontId="10" fillId="2" borderId="1" xfId="6" applyNumberFormat="1" applyFont="1" applyFill="1" applyBorder="1" applyAlignment="1" applyProtection="1">
      <alignment vertical="center"/>
    </xf>
    <xf numFmtId="0" fontId="10" fillId="4" borderId="0" xfId="5" applyFont="1" applyFill="1" applyBorder="1" applyAlignment="1" applyProtection="1"/>
    <xf numFmtId="0" fontId="10" fillId="7" borderId="0" xfId="5" applyFont="1" applyFill="1" applyProtection="1"/>
    <xf numFmtId="0" fontId="10" fillId="4" borderId="0" xfId="0" applyFont="1" applyFill="1" applyAlignment="1" applyProtection="1">
      <alignment horizontal="center"/>
    </xf>
    <xf numFmtId="0" fontId="10" fillId="7" borderId="0" xfId="0" applyFont="1" applyFill="1" applyAlignment="1" applyProtection="1">
      <alignment wrapText="1"/>
    </xf>
    <xf numFmtId="0" fontId="10" fillId="4" borderId="0" xfId="0" applyFont="1" applyFill="1" applyProtection="1"/>
    <xf numFmtId="0" fontId="10" fillId="2" borderId="1" xfId="0" applyFont="1" applyFill="1" applyBorder="1" applyAlignment="1" applyProtection="1">
      <alignment horizontal="center"/>
    </xf>
    <xf numFmtId="0" fontId="10" fillId="2" borderId="1" xfId="0" applyFont="1" applyFill="1" applyBorder="1" applyAlignment="1" applyProtection="1">
      <alignment vertical="top" wrapText="1"/>
    </xf>
    <xf numFmtId="0" fontId="10" fillId="2" borderId="1" xfId="0" applyFont="1" applyFill="1" applyBorder="1" applyAlignment="1" applyProtection="1">
      <alignment horizontal="center" vertical="top" wrapText="1"/>
    </xf>
    <xf numFmtId="0" fontId="16" fillId="2" borderId="1" xfId="0" applyFont="1" applyFill="1" applyBorder="1" applyAlignment="1" applyProtection="1">
      <alignment vertical="top" wrapText="1"/>
    </xf>
    <xf numFmtId="43" fontId="10" fillId="2" borderId="1" xfId="6" applyFont="1" applyFill="1" applyBorder="1" applyAlignment="1" applyProtection="1">
      <alignment vertical="top" wrapText="1"/>
    </xf>
    <xf numFmtId="0" fontId="10" fillId="4" borderId="1" xfId="0" applyFont="1" applyFill="1" applyBorder="1" applyAlignment="1" applyProtection="1">
      <alignment horizontal="center"/>
    </xf>
    <xf numFmtId="0" fontId="10" fillId="4" borderId="1" xfId="0" applyFont="1" applyFill="1" applyBorder="1" applyAlignment="1" applyProtection="1">
      <alignment vertical="top" wrapText="1"/>
    </xf>
    <xf numFmtId="43" fontId="10" fillId="3" borderId="1" xfId="6" applyFont="1" applyFill="1" applyBorder="1" applyAlignment="1" applyProtection="1">
      <alignment vertical="top" wrapText="1"/>
    </xf>
    <xf numFmtId="0" fontId="10" fillId="3" borderId="1" xfId="0" applyFont="1" applyFill="1" applyBorder="1" applyAlignment="1" applyProtection="1">
      <alignment vertical="top" wrapText="1"/>
    </xf>
    <xf numFmtId="43" fontId="10" fillId="0" borderId="1" xfId="6" applyFont="1" applyFill="1" applyBorder="1" applyAlignment="1" applyProtection="1">
      <alignment vertical="top" wrapText="1"/>
      <protection locked="0"/>
    </xf>
    <xf numFmtId="9" fontId="10" fillId="3" borderId="1" xfId="0" applyNumberFormat="1" applyFont="1" applyFill="1" applyBorder="1" applyAlignment="1" applyProtection="1">
      <alignment horizontal="right" vertical="top" wrapText="1"/>
    </xf>
    <xf numFmtId="43" fontId="10" fillId="3" borderId="1" xfId="6" applyFont="1" applyFill="1" applyBorder="1" applyAlignment="1" applyProtection="1">
      <alignment vertical="top"/>
    </xf>
    <xf numFmtId="0" fontId="10" fillId="3" borderId="1" xfId="0" applyFont="1" applyFill="1" applyBorder="1" applyAlignment="1" applyProtection="1">
      <alignment vertical="top"/>
    </xf>
    <xf numFmtId="43" fontId="11" fillId="2" borderId="1" xfId="6" applyFont="1" applyFill="1" applyBorder="1" applyAlignment="1" applyProtection="1">
      <alignment vertical="top" wrapText="1"/>
    </xf>
    <xf numFmtId="0" fontId="12" fillId="2" borderId="1" xfId="0" applyFont="1" applyFill="1" applyBorder="1" applyAlignment="1" applyProtection="1">
      <alignment vertical="top" wrapText="1"/>
    </xf>
    <xf numFmtId="0" fontId="4" fillId="4" borderId="0" xfId="0" applyFont="1" applyFill="1" applyAlignment="1" applyProtection="1"/>
    <xf numFmtId="43" fontId="4" fillId="4" borderId="3" xfId="10" applyNumberFormat="1" applyFont="1" applyFill="1" applyBorder="1" applyProtection="1">
      <protection locked="0"/>
    </xf>
    <xf numFmtId="0" fontId="4" fillId="2" borderId="1" xfId="0" applyNumberFormat="1" applyFont="1" applyFill="1" applyBorder="1" applyAlignment="1" applyProtection="1">
      <alignment horizontal="center" vertical="center" wrapText="1"/>
    </xf>
    <xf numFmtId="0" fontId="9" fillId="0" borderId="0" xfId="0" applyNumberFormat="1" applyFont="1" applyBorder="1" applyProtection="1"/>
    <xf numFmtId="0" fontId="9" fillId="0" borderId="0" xfId="0" applyFont="1" applyAlignment="1" applyProtection="1"/>
    <xf numFmtId="0" fontId="4" fillId="0" borderId="0" xfId="0" applyFont="1" applyAlignment="1" applyProtection="1">
      <alignment horizontal="center" vertical="center"/>
    </xf>
    <xf numFmtId="0" fontId="9" fillId="0" borderId="0" xfId="0" applyFont="1" applyBorder="1" applyProtection="1"/>
    <xf numFmtId="0" fontId="4" fillId="5" borderId="0" xfId="9" applyFont="1" applyFill="1" applyBorder="1" applyAlignment="1" applyProtection="1">
      <alignment horizontal="left" vertical="center" wrapText="1"/>
    </xf>
    <xf numFmtId="9" fontId="10" fillId="3" borderId="1" xfId="7" applyFont="1" applyFill="1" applyBorder="1" applyAlignment="1" applyProtection="1">
      <alignment horizontal="center" vertical="center" wrapText="1"/>
    </xf>
    <xf numFmtId="166" fontId="10" fillId="3" borderId="1" xfId="8" applyNumberFormat="1" applyFont="1" applyFill="1" applyBorder="1" applyAlignment="1" applyProtection="1">
      <alignment horizontal="right" vertical="center" wrapText="1"/>
    </xf>
    <xf numFmtId="0" fontId="12" fillId="4" borderId="0" xfId="5" applyFont="1" applyFill="1" applyAlignment="1" applyProtection="1">
      <alignment horizontal="center"/>
    </xf>
    <xf numFmtId="9" fontId="10" fillId="3" borderId="20" xfId="7" applyFont="1" applyFill="1" applyBorder="1" applyAlignment="1" applyProtection="1">
      <alignment horizontal="center" vertical="center" wrapText="1"/>
    </xf>
    <xf numFmtId="0" fontId="10" fillId="4" borderId="1" xfId="5" applyFont="1" applyFill="1" applyBorder="1" applyAlignment="1" applyProtection="1">
      <alignment horizontal="center" vertical="center" wrapText="1"/>
    </xf>
    <xf numFmtId="0" fontId="10" fillId="4" borderId="1" xfId="5" applyFont="1" applyFill="1" applyBorder="1" applyAlignment="1" applyProtection="1">
      <alignment horizontal="left" vertical="center" wrapText="1"/>
    </xf>
    <xf numFmtId="43" fontId="10" fillId="4" borderId="1" xfId="0" applyNumberFormat="1" applyFont="1" applyFill="1" applyBorder="1" applyProtection="1">
      <protection locked="0"/>
    </xf>
    <xf numFmtId="43" fontId="10" fillId="0" borderId="1" xfId="0" applyNumberFormat="1" applyFont="1" applyBorder="1" applyProtection="1">
      <protection locked="0"/>
    </xf>
    <xf numFmtId="43" fontId="9" fillId="0" borderId="1" xfId="2" applyNumberFormat="1" applyFont="1" applyBorder="1" applyProtection="1">
      <protection locked="0"/>
    </xf>
    <xf numFmtId="43" fontId="7" fillId="0" borderId="1" xfId="0" applyNumberFormat="1" applyFont="1" applyBorder="1" applyAlignment="1" applyProtection="1">
      <alignment horizontal="center" wrapText="1"/>
      <protection locked="0"/>
    </xf>
    <xf numFmtId="3" fontId="9" fillId="2" borderId="1" xfId="0" applyNumberFormat="1" applyFont="1" applyFill="1" applyBorder="1" applyAlignment="1" applyProtection="1">
      <alignment horizontal="center"/>
    </xf>
    <xf numFmtId="43" fontId="9" fillId="2" borderId="1" xfId="0" applyNumberFormat="1" applyFont="1" applyFill="1" applyBorder="1" applyProtection="1"/>
    <xf numFmtId="0" fontId="9" fillId="0" borderId="0" xfId="0" applyFont="1" applyProtection="1"/>
    <xf numFmtId="43" fontId="11" fillId="0" borderId="0" xfId="0" applyNumberFormat="1" applyFont="1" applyProtection="1"/>
    <xf numFmtId="0" fontId="11" fillId="0" borderId="0" xfId="0" applyFont="1" applyProtection="1"/>
    <xf numFmtId="0" fontId="9" fillId="0" borderId="1" xfId="2" applyFont="1" applyBorder="1" applyAlignment="1" applyProtection="1">
      <alignment horizontal="center"/>
    </xf>
    <xf numFmtId="0" fontId="5" fillId="0" borderId="0" xfId="0" applyFont="1" applyAlignment="1" applyProtection="1">
      <alignment horizontal="center"/>
    </xf>
    <xf numFmtId="0" fontId="4" fillId="0" borderId="5" xfId="0" applyFont="1" applyBorder="1" applyAlignment="1" applyProtection="1">
      <alignment horizontal="center"/>
    </xf>
    <xf numFmtId="0" fontId="4" fillId="0" borderId="3" xfId="0" applyFont="1" applyBorder="1" applyAlignment="1" applyProtection="1">
      <alignment horizontal="center"/>
    </xf>
    <xf numFmtId="0" fontId="9" fillId="0" borderId="0" xfId="2" applyFont="1" applyProtection="1"/>
    <xf numFmtId="0" fontId="7" fillId="0" borderId="0" xfId="0" applyFont="1" applyAlignment="1" applyProtection="1"/>
    <xf numFmtId="43" fontId="4" fillId="3" borderId="3" xfId="1" applyNumberFormat="1" applyFont="1" applyFill="1" applyBorder="1" applyProtection="1"/>
    <xf numFmtId="49" fontId="4" fillId="0" borderId="3" xfId="0" applyNumberFormat="1" applyFont="1" applyBorder="1" applyAlignment="1" applyProtection="1">
      <alignment horizontal="center"/>
    </xf>
    <xf numFmtId="0" fontId="4" fillId="0" borderId="3" xfId="0" applyFont="1" applyBorder="1" applyProtection="1"/>
    <xf numFmtId="49" fontId="4" fillId="0" borderId="3" xfId="0" applyNumberFormat="1" applyFont="1" applyBorder="1" applyAlignment="1" applyProtection="1">
      <alignment horizontal="left"/>
    </xf>
    <xf numFmtId="43" fontId="9" fillId="3" borderId="1" xfId="1" applyNumberFormat="1" applyFont="1" applyFill="1" applyBorder="1" applyAlignment="1" applyProtection="1">
      <alignment horizontal="center"/>
    </xf>
    <xf numFmtId="0" fontId="9" fillId="0" borderId="17" xfId="3" applyFont="1" applyFill="1" applyBorder="1" applyAlignment="1" applyProtection="1">
      <alignment horizontal="left" wrapText="1"/>
    </xf>
    <xf numFmtId="43" fontId="9" fillId="3" borderId="1" xfId="1" applyNumberFormat="1" applyFont="1" applyFill="1" applyBorder="1" applyProtection="1"/>
    <xf numFmtId="0" fontId="9" fillId="0" borderId="17" xfId="3" applyFont="1" applyFill="1" applyBorder="1" applyAlignment="1" applyProtection="1">
      <alignment horizontal="left" vertical="center" wrapText="1"/>
    </xf>
    <xf numFmtId="0" fontId="9" fillId="0" borderId="1" xfId="3" applyFont="1" applyFill="1" applyBorder="1" applyAlignment="1" applyProtection="1">
      <alignment horizontal="left" wrapText="1"/>
    </xf>
    <xf numFmtId="0" fontId="9" fillId="0" borderId="1" xfId="3" applyFont="1" applyFill="1" applyBorder="1" applyAlignment="1" applyProtection="1">
      <alignment horizontal="left" vertical="center" wrapText="1"/>
    </xf>
    <xf numFmtId="43" fontId="10" fillId="3" borderId="1" xfId="0" applyNumberFormat="1" applyFont="1" applyFill="1" applyBorder="1" applyProtection="1"/>
    <xf numFmtId="0" fontId="15" fillId="0" borderId="0" xfId="0" applyFont="1" applyAlignment="1" applyProtection="1">
      <alignment horizontal="center"/>
    </xf>
    <xf numFmtId="0" fontId="7" fillId="2" borderId="13"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43" fontId="9" fillId="4" borderId="1" xfId="3" applyNumberFormat="1" applyFont="1" applyFill="1" applyBorder="1" applyAlignment="1" applyProtection="1">
      <alignment horizontal="center"/>
      <protection locked="0"/>
    </xf>
    <xf numFmtId="0" fontId="4" fillId="0" borderId="0" xfId="0" applyFont="1" applyAlignment="1" applyProtection="1">
      <alignment horizontal="left" vertical="center" wrapText="1"/>
    </xf>
    <xf numFmtId="43" fontId="4" fillId="4" borderId="3" xfId="1" applyNumberFormat="1" applyFont="1" applyFill="1" applyBorder="1" applyAlignment="1" applyProtection="1">
      <alignment vertical="center" wrapText="1"/>
      <protection locked="0"/>
    </xf>
    <xf numFmtId="43" fontId="8" fillId="2" borderId="3" xfId="1" applyNumberFormat="1" applyFont="1" applyFill="1" applyBorder="1" applyAlignment="1" applyProtection="1">
      <alignment vertical="center" wrapText="1"/>
    </xf>
    <xf numFmtId="0" fontId="4" fillId="0" borderId="1"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9" fillId="0" borderId="1" xfId="0" applyFont="1" applyBorder="1" applyAlignment="1" applyProtection="1">
      <alignment horizontal="center"/>
    </xf>
    <xf numFmtId="0" fontId="4" fillId="2" borderId="8"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43" fontId="4" fillId="6" borderId="1" xfId="0" applyNumberFormat="1" applyFont="1" applyFill="1" applyBorder="1" applyAlignment="1" applyProtection="1">
      <alignment vertical="center"/>
      <protection locked="0"/>
    </xf>
    <xf numFmtId="0" fontId="4" fillId="2" borderId="1" xfId="0" applyFont="1" applyFill="1" applyBorder="1" applyAlignment="1" applyProtection="1">
      <alignment horizontal="center" vertical="center" wrapText="1"/>
    </xf>
    <xf numFmtId="43" fontId="4" fillId="2" borderId="1" xfId="0" applyNumberFormat="1" applyFont="1" applyFill="1" applyBorder="1" applyAlignment="1" applyProtection="1">
      <alignment horizontal="center" vertical="center" wrapText="1"/>
    </xf>
    <xf numFmtId="0" fontId="4" fillId="6" borderId="1" xfId="0" applyFont="1" applyFill="1" applyBorder="1" applyAlignment="1" applyProtection="1">
      <alignment vertical="center" wrapText="1"/>
    </xf>
    <xf numFmtId="0" fontId="4" fillId="6" borderId="1" xfId="0" applyFont="1" applyFill="1" applyBorder="1" applyAlignment="1" applyProtection="1">
      <alignment horizontal="center" vertical="center" wrapText="1"/>
    </xf>
    <xf numFmtId="0" fontId="4" fillId="0" borderId="1" xfId="0" applyFont="1" applyBorder="1" applyAlignment="1" applyProtection="1">
      <alignment vertical="center" wrapText="1"/>
    </xf>
    <xf numFmtId="0" fontId="9" fillId="0" borderId="0" xfId="2" applyFont="1" applyBorder="1" applyProtection="1"/>
    <xf numFmtId="4" fontId="9" fillId="0" borderId="0" xfId="0" applyNumberFormat="1" applyFont="1" applyBorder="1" applyProtection="1"/>
    <xf numFmtId="4" fontId="7" fillId="0" borderId="0" xfId="0" applyNumberFormat="1" applyFont="1" applyBorder="1" applyProtection="1"/>
    <xf numFmtId="0" fontId="9" fillId="2" borderId="1" xfId="0" applyFont="1" applyFill="1" applyBorder="1" applyAlignment="1" applyProtection="1">
      <alignment vertical="center" wrapText="1"/>
    </xf>
    <xf numFmtId="0" fontId="9"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9" fillId="0" borderId="1" xfId="0" applyFont="1" applyBorder="1" applyAlignment="1" applyProtection="1">
      <alignment vertical="center" wrapText="1"/>
      <protection locked="0"/>
    </xf>
    <xf numFmtId="0" fontId="12" fillId="2" borderId="1" xfId="5" applyFont="1" applyFill="1" applyBorder="1" applyAlignment="1" applyProtection="1">
      <alignment horizontal="center" vertical="top" wrapText="1"/>
    </xf>
    <xf numFmtId="0" fontId="8" fillId="2" borderId="1" xfId="5" applyFont="1" applyFill="1" applyBorder="1" applyAlignment="1" applyProtection="1">
      <alignment horizontal="left" vertical="top" wrapText="1"/>
    </xf>
    <xf numFmtId="43" fontId="8" fillId="2" borderId="1" xfId="6" applyFont="1" applyFill="1" applyBorder="1" applyAlignment="1" applyProtection="1">
      <alignment horizontal="left" vertical="top" wrapText="1"/>
    </xf>
    <xf numFmtId="9" fontId="8" fillId="2" borderId="1" xfId="8" applyFont="1" applyFill="1" applyBorder="1" applyAlignment="1" applyProtection="1">
      <alignment vertical="top" wrapText="1"/>
    </xf>
    <xf numFmtId="9" fontId="4" fillId="3" borderId="1" xfId="8" applyFont="1" applyFill="1" applyBorder="1" applyAlignment="1" applyProtection="1">
      <alignment vertical="top" wrapText="1"/>
    </xf>
    <xf numFmtId="167"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vertical="center" wrapText="1"/>
    </xf>
    <xf numFmtId="2" fontId="10" fillId="3" borderId="1" xfId="5" applyNumberFormat="1" applyFont="1" applyFill="1" applyBorder="1" applyAlignment="1" applyProtection="1">
      <alignment horizontal="center" vertical="top" wrapText="1"/>
    </xf>
    <xf numFmtId="0" fontId="9" fillId="3" borderId="1" xfId="0" applyFont="1" applyFill="1" applyBorder="1" applyAlignment="1" applyProtection="1">
      <alignment horizontal="justify" vertical="center" wrapText="1"/>
    </xf>
    <xf numFmtId="2" fontId="10" fillId="4" borderId="1" xfId="5" applyNumberFormat="1" applyFont="1" applyFill="1" applyBorder="1" applyAlignment="1" applyProtection="1">
      <alignment horizontal="center" vertical="top" wrapText="1"/>
    </xf>
    <xf numFmtId="0" fontId="9" fillId="4" borderId="1" xfId="5" applyFont="1" applyFill="1" applyBorder="1" applyAlignment="1" applyProtection="1">
      <alignment vertical="center" wrapText="1"/>
    </xf>
    <xf numFmtId="0" fontId="10" fillId="3" borderId="1" xfId="5" applyFont="1" applyFill="1" applyBorder="1" applyAlignment="1" applyProtection="1">
      <alignment horizontal="left" vertical="top" wrapText="1"/>
    </xf>
    <xf numFmtId="43" fontId="10" fillId="3" borderId="1" xfId="6" applyFont="1" applyFill="1" applyBorder="1" applyAlignment="1" applyProtection="1">
      <alignment horizontal="left" vertical="top" wrapText="1"/>
    </xf>
    <xf numFmtId="0" fontId="10" fillId="4" borderId="1" xfId="5" applyFont="1" applyFill="1" applyBorder="1" applyAlignment="1" applyProtection="1">
      <alignment horizontal="center" vertical="top" wrapText="1"/>
    </xf>
    <xf numFmtId="0" fontId="12" fillId="2" borderId="1" xfId="5" applyFont="1" applyFill="1" applyBorder="1" applyAlignment="1" applyProtection="1">
      <alignment horizontal="left" vertical="top" wrapText="1"/>
    </xf>
    <xf numFmtId="43" fontId="12" fillId="2" borderId="1" xfId="6" applyFont="1" applyFill="1" applyBorder="1" applyAlignment="1" applyProtection="1">
      <alignment horizontal="left" vertical="top" wrapText="1"/>
    </xf>
    <xf numFmtId="43" fontId="8" fillId="2" borderId="1" xfId="6" applyFont="1" applyFill="1" applyBorder="1" applyAlignment="1" applyProtection="1">
      <alignment vertical="top" wrapText="1"/>
    </xf>
    <xf numFmtId="0" fontId="10" fillId="3" borderId="1" xfId="5" applyFont="1" applyFill="1" applyBorder="1" applyAlignment="1" applyProtection="1">
      <alignment horizontal="center" vertical="top" wrapText="1"/>
    </xf>
    <xf numFmtId="9" fontId="10" fillId="3" borderId="1" xfId="8" applyFont="1" applyFill="1" applyBorder="1" applyAlignment="1" applyProtection="1">
      <alignment vertical="top" wrapText="1"/>
    </xf>
    <xf numFmtId="0" fontId="10" fillId="4" borderId="1" xfId="5" applyNumberFormat="1" applyFont="1" applyFill="1" applyBorder="1" applyAlignment="1" applyProtection="1">
      <alignment horizontal="center" vertical="top" wrapText="1"/>
    </xf>
    <xf numFmtId="0" fontId="12" fillId="4" borderId="0" xfId="5" applyFont="1" applyFill="1" applyAlignment="1" applyProtection="1">
      <alignment wrapText="1"/>
    </xf>
    <xf numFmtId="0" fontId="10" fillId="2" borderId="1" xfId="5" applyFont="1" applyFill="1" applyBorder="1" applyAlignment="1" applyProtection="1">
      <alignment horizontal="left" vertical="top" wrapText="1"/>
    </xf>
    <xf numFmtId="0" fontId="10" fillId="2" borderId="1" xfId="5" applyFont="1" applyFill="1" applyBorder="1" applyAlignment="1" applyProtection="1">
      <alignment horizontal="center" vertical="top" wrapText="1"/>
    </xf>
    <xf numFmtId="43" fontId="10" fillId="2" borderId="1" xfId="6" applyFont="1" applyFill="1" applyBorder="1" applyAlignment="1" applyProtection="1">
      <alignment horizontal="center" vertical="center" wrapText="1"/>
    </xf>
    <xf numFmtId="165" fontId="10" fillId="2" borderId="1" xfId="6" applyNumberFormat="1" applyFont="1" applyFill="1" applyBorder="1" applyAlignment="1" applyProtection="1">
      <alignment wrapText="1"/>
    </xf>
    <xf numFmtId="0" fontId="12" fillId="2" borderId="1" xfId="5" applyFont="1" applyFill="1" applyBorder="1" applyAlignment="1" applyProtection="1">
      <alignment horizontal="center" vertical="center" wrapText="1"/>
    </xf>
    <xf numFmtId="43" fontId="12" fillId="2" borderId="1" xfId="6" applyFont="1" applyFill="1" applyBorder="1" applyAlignment="1" applyProtection="1">
      <alignment vertical="center" wrapText="1"/>
    </xf>
    <xf numFmtId="9" fontId="12" fillId="2" borderId="1" xfId="8" applyFont="1" applyFill="1" applyBorder="1" applyAlignment="1" applyProtection="1">
      <alignment vertical="center" wrapText="1"/>
    </xf>
    <xf numFmtId="43" fontId="8" fillId="4" borderId="1" xfId="6" applyFont="1" applyFill="1" applyBorder="1" applyAlignment="1" applyProtection="1">
      <alignment horizontal="left" vertical="top" wrapText="1"/>
      <protection locked="0"/>
    </xf>
    <xf numFmtId="0" fontId="12" fillId="2" borderId="1" xfId="5" applyFont="1" applyFill="1" applyBorder="1" applyAlignment="1" applyProtection="1">
      <alignment vertical="top" wrapText="1"/>
    </xf>
    <xf numFmtId="43" fontId="12" fillId="2" borderId="1" xfId="6" applyFont="1" applyFill="1" applyBorder="1" applyAlignment="1" applyProtection="1">
      <alignment vertical="top" wrapText="1"/>
    </xf>
    <xf numFmtId="43" fontId="12" fillId="2" borderId="1" xfId="6" applyFont="1" applyFill="1" applyBorder="1" applyProtection="1"/>
    <xf numFmtId="0" fontId="12" fillId="0" borderId="0" xfId="5" applyFont="1" applyProtection="1"/>
    <xf numFmtId="0" fontId="10" fillId="7" borderId="0" xfId="5" applyFont="1" applyFill="1" applyAlignment="1" applyProtection="1">
      <alignment wrapText="1"/>
    </xf>
    <xf numFmtId="43" fontId="10" fillId="7" borderId="0" xfId="6" applyFont="1" applyFill="1" applyProtection="1"/>
    <xf numFmtId="0" fontId="10" fillId="7" borderId="0" xfId="5" applyFont="1" applyFill="1" applyAlignment="1" applyProtection="1"/>
    <xf numFmtId="0" fontId="12" fillId="2" borderId="1" xfId="5" applyFont="1" applyFill="1" applyBorder="1" applyAlignment="1" applyProtection="1">
      <alignment horizontal="justify" vertical="top" wrapText="1"/>
    </xf>
    <xf numFmtId="43" fontId="4" fillId="3" borderId="1" xfId="6" applyFont="1" applyFill="1" applyBorder="1" applyAlignment="1" applyProtection="1">
      <alignment vertical="top" wrapText="1"/>
    </xf>
    <xf numFmtId="43" fontId="10" fillId="3" borderId="1" xfId="6" applyFont="1" applyFill="1" applyBorder="1" applyProtection="1"/>
    <xf numFmtId="0" fontId="10" fillId="4" borderId="1" xfId="5" applyFont="1" applyFill="1" applyBorder="1" applyAlignment="1" applyProtection="1">
      <alignment horizontal="left" vertical="top" wrapText="1"/>
    </xf>
    <xf numFmtId="43" fontId="12" fillId="2" borderId="1" xfId="6" applyFont="1" applyFill="1" applyBorder="1" applyAlignment="1" applyProtection="1">
      <alignment horizontal="justify" vertical="top" wrapText="1"/>
    </xf>
    <xf numFmtId="0" fontId="10" fillId="4" borderId="1" xfId="5" applyFont="1" applyFill="1" applyBorder="1" applyAlignment="1" applyProtection="1">
      <alignment vertical="top" wrapText="1"/>
    </xf>
    <xf numFmtId="43" fontId="12" fillId="2" borderId="1" xfId="6" applyFont="1" applyFill="1" applyBorder="1" applyAlignment="1" applyProtection="1">
      <alignment horizontal="center" vertical="top" wrapText="1"/>
    </xf>
    <xf numFmtId="2" fontId="10" fillId="4" borderId="1" xfId="5" applyNumberFormat="1" applyFont="1" applyFill="1" applyBorder="1" applyAlignment="1" applyProtection="1">
      <alignment vertical="top" wrapText="1"/>
    </xf>
    <xf numFmtId="0" fontId="10" fillId="4" borderId="1" xfId="5" applyFont="1" applyFill="1" applyBorder="1" applyAlignment="1" applyProtection="1">
      <alignment horizontal="justify" vertical="top" wrapText="1"/>
    </xf>
    <xf numFmtId="0" fontId="4" fillId="4" borderId="1" xfId="5" applyFont="1" applyFill="1" applyBorder="1" applyAlignment="1" applyProtection="1">
      <alignment horizontal="left" vertical="top" wrapText="1"/>
    </xf>
    <xf numFmtId="0" fontId="10" fillId="0" borderId="0" xfId="5" applyFont="1" applyAlignment="1" applyProtection="1"/>
    <xf numFmtId="0" fontId="12" fillId="0" borderId="0" xfId="5" applyFont="1" applyAlignment="1" applyProtection="1">
      <alignment vertical="center"/>
    </xf>
    <xf numFmtId="0" fontId="10" fillId="4" borderId="20" xfId="5" applyFont="1" applyFill="1" applyBorder="1" applyAlignment="1" applyProtection="1">
      <alignment horizontal="center" vertical="center" wrapText="1"/>
    </xf>
    <xf numFmtId="166" fontId="10" fillId="3" borderId="1" xfId="8" applyNumberFormat="1" applyFont="1" applyFill="1" applyBorder="1" applyAlignment="1" applyProtection="1">
      <alignment vertical="center" wrapText="1"/>
    </xf>
    <xf numFmtId="0" fontId="10" fillId="4" borderId="29" xfId="5" applyFont="1" applyFill="1" applyBorder="1" applyAlignment="1" applyProtection="1">
      <alignment vertical="center" wrapText="1"/>
    </xf>
    <xf numFmtId="0" fontId="10" fillId="4" borderId="0" xfId="5" applyFont="1" applyFill="1" applyBorder="1" applyAlignment="1" applyProtection="1">
      <alignment vertical="center" wrapText="1"/>
    </xf>
    <xf numFmtId="9" fontId="10" fillId="3" borderId="29" xfId="7" applyFont="1" applyFill="1" applyBorder="1" applyAlignment="1" applyProtection="1">
      <alignment vertical="center" wrapText="1"/>
    </xf>
    <xf numFmtId="0" fontId="10" fillId="4" borderId="20" xfId="5" applyFont="1" applyFill="1" applyBorder="1" applyAlignment="1" applyProtection="1">
      <alignment vertical="center" wrapText="1"/>
    </xf>
    <xf numFmtId="0" fontId="10" fillId="4" borderId="2" xfId="5" applyFont="1" applyFill="1" applyBorder="1" applyAlignment="1" applyProtection="1">
      <alignment vertical="center" wrapText="1"/>
    </xf>
    <xf numFmtId="9" fontId="10" fillId="3" borderId="20" xfId="7" applyFont="1" applyFill="1" applyBorder="1" applyAlignment="1" applyProtection="1">
      <alignment vertical="center" wrapText="1"/>
    </xf>
    <xf numFmtId="0" fontId="10" fillId="4" borderId="21" xfId="5" applyFont="1" applyFill="1" applyBorder="1" applyAlignment="1" applyProtection="1">
      <alignment vertical="center" wrapText="1"/>
    </xf>
    <xf numFmtId="0" fontId="10" fillId="4" borderId="34" xfId="5" applyFont="1" applyFill="1" applyBorder="1" applyAlignment="1" applyProtection="1">
      <alignment vertical="center" wrapText="1"/>
    </xf>
    <xf numFmtId="9" fontId="10" fillId="3" borderId="21" xfId="7" applyFont="1" applyFill="1" applyBorder="1" applyAlignment="1" applyProtection="1">
      <alignment vertical="center" wrapText="1"/>
    </xf>
    <xf numFmtId="0" fontId="10" fillId="4" borderId="32" xfId="5" applyFont="1" applyFill="1" applyBorder="1" applyAlignment="1" applyProtection="1">
      <alignment vertical="center" wrapText="1"/>
    </xf>
    <xf numFmtId="0" fontId="10" fillId="4" borderId="33" xfId="5" applyFont="1" applyFill="1" applyBorder="1" applyAlignment="1" applyProtection="1">
      <alignment vertical="center" wrapText="1"/>
    </xf>
    <xf numFmtId="0" fontId="10" fillId="4" borderId="21" xfId="5" applyFont="1" applyFill="1" applyBorder="1" applyAlignment="1" applyProtection="1">
      <alignment horizontal="justify" vertical="center" wrapText="1"/>
    </xf>
    <xf numFmtId="0" fontId="10" fillId="4" borderId="30" xfId="5" applyFont="1" applyFill="1" applyBorder="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horizontal="center" vertical="center" wrapText="1"/>
    </xf>
    <xf numFmtId="0" fontId="9" fillId="0" borderId="0" xfId="0" applyFont="1" applyAlignment="1" applyProtection="1"/>
    <xf numFmtId="0" fontId="7" fillId="0" borderId="0" xfId="3" applyFont="1" applyFill="1" applyAlignment="1" applyProtection="1">
      <alignment horizontal="center" vertical="center"/>
    </xf>
    <xf numFmtId="0" fontId="7" fillId="0" borderId="0" xfId="3" applyFont="1" applyFill="1" applyAlignment="1" applyProtection="1">
      <alignment horizontal="center" vertical="center" wrapText="1"/>
    </xf>
    <xf numFmtId="164" fontId="4" fillId="5" borderId="0" xfId="1" applyNumberFormat="1" applyFont="1" applyFill="1" applyBorder="1" applyAlignment="1" applyProtection="1">
      <alignment horizontal="center" vertical="center" wrapText="1"/>
    </xf>
    <xf numFmtId="0" fontId="9" fillId="4" borderId="0" xfId="0" applyFont="1" applyFill="1" applyProtection="1"/>
    <xf numFmtId="49" fontId="9" fillId="0" borderId="0" xfId="3" applyNumberFormat="1" applyFont="1" applyFill="1" applyAlignment="1" applyProtection="1">
      <alignment horizontal="left" vertical="center"/>
    </xf>
    <xf numFmtId="0" fontId="9" fillId="0" borderId="0" xfId="3" applyFont="1" applyFill="1" applyAlignment="1" applyProtection="1">
      <alignment horizontal="center" vertical="center"/>
    </xf>
    <xf numFmtId="49" fontId="7" fillId="2" borderId="1" xfId="3" applyNumberFormat="1" applyFont="1" applyFill="1" applyBorder="1" applyAlignment="1" applyProtection="1">
      <alignment horizontal="center" vertical="center"/>
    </xf>
    <xf numFmtId="49" fontId="9" fillId="2" borderId="1" xfId="3" applyNumberFormat="1" applyFont="1" applyFill="1" applyBorder="1" applyAlignment="1" applyProtection="1">
      <alignment horizontal="left" vertical="center"/>
    </xf>
    <xf numFmtId="49" fontId="7" fillId="2" borderId="0" xfId="3" applyNumberFormat="1" applyFont="1" applyFill="1" applyAlignment="1" applyProtection="1">
      <alignment horizontal="left" vertical="center"/>
    </xf>
    <xf numFmtId="0" fontId="7" fillId="2" borderId="15" xfId="3" applyFont="1" applyFill="1" applyBorder="1" applyAlignment="1" applyProtection="1">
      <alignment horizontal="center" wrapText="1"/>
    </xf>
    <xf numFmtId="43" fontId="7" fillId="2" borderId="1" xfId="4" applyFont="1" applyFill="1" applyBorder="1" applyProtection="1"/>
    <xf numFmtId="49" fontId="7" fillId="2" borderId="1" xfId="3" applyNumberFormat="1" applyFont="1" applyFill="1" applyBorder="1" applyAlignment="1" applyProtection="1">
      <alignment horizontal="left" vertical="center"/>
    </xf>
    <xf numFmtId="49" fontId="9" fillId="0" borderId="1" xfId="3" applyNumberFormat="1" applyFont="1" applyFill="1" applyBorder="1" applyAlignment="1" applyProtection="1">
      <alignment horizontal="left" vertical="center"/>
    </xf>
    <xf numFmtId="0" fontId="9" fillId="0" borderId="1" xfId="3" applyFont="1" applyFill="1" applyBorder="1" applyAlignment="1" applyProtection="1">
      <alignment horizontal="center" vertical="center"/>
    </xf>
    <xf numFmtId="43" fontId="9" fillId="3" borderId="1" xfId="4" applyFont="1" applyFill="1" applyBorder="1" applyProtection="1"/>
    <xf numFmtId="0" fontId="7" fillId="2" borderId="15" xfId="3" applyFont="1" applyFill="1" applyBorder="1" applyAlignment="1" applyProtection="1">
      <alignment horizontal="left" vertical="center" wrapText="1"/>
    </xf>
    <xf numFmtId="43" fontId="9" fillId="2" borderId="1" xfId="4" applyFont="1" applyFill="1" applyBorder="1" applyProtection="1"/>
    <xf numFmtId="0" fontId="9" fillId="0" borderId="16" xfId="3" applyFont="1" applyFill="1" applyBorder="1" applyAlignment="1" applyProtection="1">
      <alignment horizontal="left" vertical="center" wrapText="1"/>
    </xf>
    <xf numFmtId="0" fontId="7" fillId="2" borderId="16" xfId="3" applyFont="1" applyFill="1" applyBorder="1" applyAlignment="1" applyProtection="1">
      <alignment horizontal="left" vertical="center" wrapText="1"/>
    </xf>
    <xf numFmtId="0" fontId="7" fillId="2" borderId="1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xf>
    <xf numFmtId="43" fontId="7" fillId="2" borderId="19" xfId="4" applyNumberFormat="1" applyFont="1" applyFill="1" applyBorder="1" applyProtection="1"/>
    <xf numFmtId="0" fontId="7" fillId="2" borderId="2" xfId="3" applyFont="1" applyFill="1" applyBorder="1" applyAlignment="1" applyProtection="1">
      <alignment horizontal="center" vertical="center" wrapText="1"/>
    </xf>
    <xf numFmtId="0" fontId="9" fillId="2" borderId="20" xfId="3" applyFont="1" applyFill="1" applyBorder="1" applyAlignment="1" applyProtection="1">
      <alignment horizontal="center" vertical="center"/>
    </xf>
    <xf numFmtId="43" fontId="9" fillId="2" borderId="20" xfId="4" applyFont="1" applyFill="1" applyBorder="1" applyProtection="1"/>
    <xf numFmtId="0" fontId="7" fillId="2" borderId="16" xfId="3" applyFont="1" applyFill="1" applyBorder="1" applyAlignment="1" applyProtection="1">
      <alignment horizontal="left" wrapText="1"/>
    </xf>
    <xf numFmtId="43" fontId="9" fillId="3" borderId="1" xfId="4" applyNumberFormat="1" applyFont="1" applyFill="1" applyBorder="1" applyProtection="1"/>
    <xf numFmtId="43" fontId="9" fillId="2" borderId="21" xfId="4" applyFont="1" applyFill="1" applyBorder="1" applyProtection="1"/>
    <xf numFmtId="49" fontId="9" fillId="2" borderId="19" xfId="3" applyNumberFormat="1" applyFont="1" applyFill="1" applyBorder="1" applyAlignment="1" applyProtection="1">
      <alignment horizontal="left" vertical="center"/>
    </xf>
    <xf numFmtId="43" fontId="7" fillId="2" borderId="19" xfId="4" applyFont="1" applyFill="1" applyBorder="1" applyProtection="1"/>
    <xf numFmtId="49" fontId="9" fillId="2" borderId="20" xfId="3" applyNumberFormat="1" applyFont="1" applyFill="1" applyBorder="1" applyAlignment="1" applyProtection="1">
      <alignment horizontal="left" vertical="center"/>
    </xf>
    <xf numFmtId="0" fontId="7" fillId="2" borderId="22" xfId="3" applyFont="1" applyFill="1" applyBorder="1" applyAlignment="1" applyProtection="1">
      <alignment horizontal="center" wrapText="1"/>
    </xf>
    <xf numFmtId="0" fontId="7" fillId="2" borderId="23" xfId="3" applyFont="1" applyFill="1" applyBorder="1" applyAlignment="1" applyProtection="1">
      <alignment horizontal="center" vertical="center" wrapText="1"/>
    </xf>
    <xf numFmtId="0" fontId="9" fillId="2" borderId="21" xfId="3" applyFont="1" applyFill="1" applyBorder="1" applyAlignment="1" applyProtection="1">
      <alignment horizontal="center" vertical="center"/>
    </xf>
    <xf numFmtId="43" fontId="7" fillId="2" borderId="21" xfId="4" applyFont="1" applyFill="1" applyBorder="1" applyProtection="1"/>
    <xf numFmtId="49" fontId="7" fillId="2" borderId="24" xfId="3" applyNumberFormat="1" applyFont="1" applyFill="1" applyBorder="1" applyAlignment="1" applyProtection="1">
      <alignment horizontal="left" vertical="center"/>
    </xf>
    <xf numFmtId="0" fontId="7" fillId="2" borderId="25"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xf>
    <xf numFmtId="43" fontId="7" fillId="2" borderId="26" xfId="4" applyFont="1" applyFill="1" applyBorder="1" applyProtection="1"/>
    <xf numFmtId="49" fontId="9" fillId="0" borderId="0" xfId="3" applyNumberFormat="1" applyFont="1" applyFill="1" applyAlignment="1" applyProtection="1">
      <alignment horizontal="left"/>
    </xf>
    <xf numFmtId="0" fontId="9" fillId="0" borderId="0" xfId="3" applyFont="1" applyFill="1" applyAlignment="1" applyProtection="1">
      <alignment wrapText="1"/>
    </xf>
    <xf numFmtId="0" fontId="9" fillId="0" borderId="0" xfId="3" applyFont="1" applyFill="1" applyAlignment="1" applyProtection="1">
      <alignment horizontal="center"/>
    </xf>
    <xf numFmtId="43" fontId="9" fillId="0" borderId="0" xfId="3" applyNumberFormat="1" applyFont="1" applyFill="1" applyProtection="1"/>
    <xf numFmtId="43" fontId="11" fillId="0" borderId="0" xfId="3" applyNumberFormat="1" applyFont="1" applyFill="1" applyProtection="1"/>
    <xf numFmtId="0" fontId="5" fillId="0" borderId="0" xfId="0" applyFont="1" applyAlignment="1" applyProtection="1">
      <alignment horizontal="left" indent="21"/>
    </xf>
    <xf numFmtId="49" fontId="9" fillId="0" borderId="0" xfId="3" applyNumberFormat="1" applyFont="1" applyFill="1" applyAlignment="1" applyProtection="1">
      <alignment horizontal="center"/>
    </xf>
    <xf numFmtId="0" fontId="4" fillId="0" borderId="0" xfId="0" applyFont="1" applyAlignment="1" applyProtection="1">
      <alignment horizontal="center" vertical="center"/>
    </xf>
    <xf numFmtId="0" fontId="9" fillId="0" borderId="0" xfId="0" applyFont="1" applyBorder="1" applyProtection="1"/>
    <xf numFmtId="0" fontId="4" fillId="0" borderId="0" xfId="0" applyFont="1" applyAlignment="1" applyProtection="1">
      <alignment horizontal="left"/>
    </xf>
    <xf numFmtId="0" fontId="8" fillId="2" borderId="1" xfId="0" applyFont="1" applyFill="1" applyBorder="1" applyAlignment="1" applyProtection="1">
      <alignment horizontal="center" vertical="center" wrapText="1"/>
    </xf>
    <xf numFmtId="0" fontId="4" fillId="0" borderId="0" xfId="0" applyFont="1" applyAlignment="1" applyProtection="1">
      <alignment horizontal="center" vertical="center"/>
    </xf>
    <xf numFmtId="0" fontId="10" fillId="4" borderId="1" xfId="5" applyFont="1" applyFill="1" applyBorder="1" applyAlignment="1" applyProtection="1">
      <alignment vertic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2" fillId="4" borderId="0" xfId="0" applyFont="1" applyFill="1" applyAlignment="1" applyProtection="1">
      <alignment horizontal="center"/>
    </xf>
    <xf numFmtId="43" fontId="9" fillId="2" borderId="1" xfId="0" applyNumberFormat="1" applyFont="1" applyFill="1" applyBorder="1" applyAlignment="1" applyProtection="1">
      <alignment vertical="center" wrapText="1"/>
    </xf>
    <xf numFmtId="0" fontId="9" fillId="0" borderId="0" xfId="0" applyFont="1" applyBorder="1" applyAlignment="1" applyProtection="1">
      <alignment vertical="center" wrapText="1"/>
    </xf>
    <xf numFmtId="0" fontId="9" fillId="0" borderId="0" xfId="0" applyFont="1" applyBorder="1" applyAlignment="1" applyProtection="1">
      <alignment vertical="center"/>
    </xf>
    <xf numFmtId="0" fontId="4" fillId="6" borderId="0" xfId="0" applyFont="1" applyFill="1" applyAlignment="1" applyProtection="1">
      <alignment vertical="center" wrapText="1"/>
    </xf>
    <xf numFmtId="0" fontId="8" fillId="6" borderId="36" xfId="0" applyFont="1" applyFill="1" applyBorder="1" applyAlignment="1" applyProtection="1">
      <alignment vertical="center"/>
    </xf>
    <xf numFmtId="0" fontId="4" fillId="6" borderId="0" xfId="0" applyFont="1" applyFill="1" applyAlignment="1" applyProtection="1">
      <alignment vertical="center"/>
    </xf>
    <xf numFmtId="0" fontId="9" fillId="0" borderId="0" xfId="0" applyFont="1" applyAlignment="1" applyProtection="1">
      <alignment vertical="center" wrapText="1"/>
    </xf>
    <xf numFmtId="0" fontId="9" fillId="2" borderId="1" xfId="0" applyFont="1" applyFill="1" applyBorder="1" applyAlignment="1" applyProtection="1">
      <alignment horizontal="center" vertical="center"/>
    </xf>
    <xf numFmtId="0" fontId="9" fillId="2" borderId="15" xfId="0" applyFont="1" applyFill="1" applyBorder="1" applyAlignment="1" applyProtection="1">
      <alignment horizontal="center" vertical="center"/>
    </xf>
    <xf numFmtId="0" fontId="9" fillId="0" borderId="0" xfId="0" applyFont="1" applyAlignment="1" applyProtection="1">
      <alignment horizontal="right" vertical="center"/>
    </xf>
    <xf numFmtId="0" fontId="7" fillId="0" borderId="0" xfId="0" applyFont="1" applyAlignment="1" applyProtection="1">
      <alignment horizontal="center" vertical="center"/>
    </xf>
    <xf numFmtId="0" fontId="9" fillId="0" borderId="0" xfId="0" applyFont="1" applyBorder="1" applyAlignment="1" applyProtection="1">
      <alignment horizontal="center" vertical="center" wrapText="1"/>
    </xf>
    <xf numFmtId="0" fontId="4" fillId="0" borderId="0" xfId="0" applyFont="1" applyBorder="1" applyAlignment="1" applyProtection="1">
      <alignment horizontal="right" vertical="center" wrapText="1"/>
    </xf>
    <xf numFmtId="0" fontId="4" fillId="2" borderId="1" xfId="0" applyFont="1" applyFill="1" applyBorder="1" applyAlignment="1" applyProtection="1">
      <alignment horizontal="center" vertical="center" textRotation="90"/>
    </xf>
    <xf numFmtId="0" fontId="8" fillId="2" borderId="15" xfId="0" applyFont="1" applyFill="1" applyBorder="1" applyAlignment="1" applyProtection="1">
      <alignment horizontal="center" vertical="center"/>
    </xf>
    <xf numFmtId="0" fontId="8" fillId="2" borderId="39"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43" fontId="4" fillId="2" borderId="1" xfId="0" applyNumberFormat="1" applyFont="1" applyFill="1" applyBorder="1" applyAlignment="1" applyProtection="1">
      <alignment vertical="center"/>
    </xf>
    <xf numFmtId="0" fontId="17" fillId="0" borderId="0" xfId="0" applyFont="1" applyBorder="1" applyAlignment="1" applyProtection="1">
      <alignment vertical="center"/>
    </xf>
    <xf numFmtId="0" fontId="4" fillId="0" borderId="0" xfId="0" applyFont="1" applyBorder="1" applyAlignment="1" applyProtection="1">
      <alignment vertical="center"/>
    </xf>
    <xf numFmtId="0" fontId="18" fillId="0" borderId="0" xfId="0" applyFont="1" applyBorder="1" applyAlignment="1" applyProtection="1">
      <alignment vertical="center"/>
    </xf>
    <xf numFmtId="0" fontId="9" fillId="0" borderId="35" xfId="0" applyFont="1" applyBorder="1" applyProtection="1"/>
    <xf numFmtId="0" fontId="4" fillId="2" borderId="15" xfId="0" applyFont="1" applyFill="1" applyBorder="1" applyAlignment="1" applyProtection="1">
      <alignment horizontal="center" vertical="center"/>
    </xf>
    <xf numFmtId="0" fontId="4" fillId="0" borderId="0" xfId="0" applyFont="1" applyAlignment="1" applyProtection="1">
      <alignment horizontal="left" vertical="center" indent="1"/>
    </xf>
    <xf numFmtId="0" fontId="4" fillId="0" borderId="0" xfId="0" applyFont="1" applyAlignment="1" applyProtection="1">
      <alignment horizontal="right" vertical="center"/>
    </xf>
    <xf numFmtId="0" fontId="9" fillId="0" borderId="0" xfId="0" applyFont="1" applyAlignment="1" applyProtection="1">
      <alignment horizontal="center" vertical="center" wrapText="1"/>
    </xf>
    <xf numFmtId="0" fontId="9" fillId="0" borderId="0" xfId="0" applyFont="1" applyAlignment="1" applyProtection="1">
      <alignment horizontal="center"/>
    </xf>
    <xf numFmtId="0" fontId="4" fillId="2" borderId="1" xfId="0" applyFont="1" applyFill="1" applyBorder="1" applyAlignment="1" applyProtection="1">
      <alignment horizontal="center" vertical="center" textRotation="90" wrapText="1"/>
    </xf>
    <xf numFmtId="0" fontId="4" fillId="2" borderId="15" xfId="0" applyFont="1" applyFill="1" applyBorder="1" applyAlignment="1" applyProtection="1">
      <alignment horizontal="center" vertical="center" wrapText="1"/>
    </xf>
    <xf numFmtId="43" fontId="9" fillId="0" borderId="1" xfId="0" applyNumberFormat="1" applyFont="1" applyBorder="1" applyAlignment="1" applyProtection="1">
      <alignment vertical="center" wrapText="1"/>
      <protection locked="0"/>
    </xf>
    <xf numFmtId="43" fontId="9" fillId="0" borderId="1" xfId="0" applyNumberFormat="1" applyFont="1" applyBorder="1" applyAlignment="1" applyProtection="1">
      <alignment vertical="center"/>
      <protection locked="0"/>
    </xf>
    <xf numFmtId="0" fontId="9" fillId="0" borderId="15" xfId="0" applyFont="1" applyBorder="1" applyAlignment="1" applyProtection="1">
      <alignment horizontal="center" vertical="center" wrapText="1"/>
      <protection locked="0"/>
    </xf>
    <xf numFmtId="43" fontId="9" fillId="0" borderId="15" xfId="0" applyNumberFormat="1"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43" fontId="4" fillId="0" borderId="1" xfId="0" applyNumberFormat="1" applyFont="1" applyBorder="1" applyAlignment="1" applyProtection="1">
      <alignment horizontal="center" vertical="center" wrapText="1"/>
      <protection locked="0"/>
    </xf>
    <xf numFmtId="43" fontId="4" fillId="0" borderId="15" xfId="0" applyNumberFormat="1"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43" fontId="4" fillId="0" borderId="1" xfId="0" applyNumberFormat="1" applyFont="1" applyBorder="1" applyAlignment="1" applyProtection="1">
      <alignment vertical="center"/>
      <protection locked="0"/>
    </xf>
    <xf numFmtId="43" fontId="17" fillId="0" borderId="1" xfId="0" applyNumberFormat="1" applyFont="1" applyBorder="1" applyAlignment="1" applyProtection="1">
      <alignment vertical="center"/>
      <protection locked="0"/>
    </xf>
    <xf numFmtId="43" fontId="8" fillId="6" borderId="1" xfId="0" applyNumberFormat="1" applyFont="1" applyFill="1" applyBorder="1" applyAlignment="1" applyProtection="1">
      <alignment horizontal="center" vertical="center" wrapText="1"/>
      <protection locked="0"/>
    </xf>
    <xf numFmtId="43" fontId="4" fillId="0" borderId="15" xfId="0" applyNumberFormat="1" applyFont="1" applyBorder="1" applyAlignment="1" applyProtection="1">
      <alignment vertical="center"/>
      <protection locked="0"/>
    </xf>
    <xf numFmtId="0" fontId="9" fillId="2" borderId="1" xfId="2" applyFont="1" applyFill="1" applyBorder="1" applyProtection="1"/>
    <xf numFmtId="0" fontId="9" fillId="2" borderId="1" xfId="0" applyFont="1" applyFill="1" applyBorder="1" applyProtection="1"/>
    <xf numFmtId="1" fontId="7" fillId="2" borderId="1" xfId="0" applyNumberFormat="1" applyFont="1" applyFill="1" applyBorder="1" applyAlignment="1" applyProtection="1">
      <alignment horizontal="center"/>
    </xf>
    <xf numFmtId="43" fontId="9" fillId="3" borderId="1" xfId="0" applyNumberFormat="1" applyFont="1" applyFill="1" applyBorder="1" applyProtection="1"/>
    <xf numFmtId="1" fontId="7" fillId="0" borderId="1" xfId="0" applyNumberFormat="1" applyFont="1" applyBorder="1" applyAlignment="1" applyProtection="1">
      <alignment horizontal="center"/>
    </xf>
    <xf numFmtId="0" fontId="9" fillId="0" borderId="1" xfId="2" applyFont="1" applyBorder="1" applyProtection="1"/>
    <xf numFmtId="0" fontId="9" fillId="0" borderId="1" xfId="0" applyFont="1" applyBorder="1" applyProtection="1"/>
    <xf numFmtId="0" fontId="7" fillId="2" borderId="1" xfId="2" applyFont="1" applyFill="1" applyBorder="1" applyProtection="1"/>
    <xf numFmtId="0" fontId="7" fillId="2" borderId="1" xfId="0" applyFont="1" applyFill="1" applyBorder="1" applyProtection="1"/>
    <xf numFmtId="1" fontId="7" fillId="2" borderId="1" xfId="0" applyNumberFormat="1" applyFont="1" applyFill="1" applyBorder="1" applyAlignment="1" applyProtection="1">
      <alignment horizontal="center" vertical="center"/>
    </xf>
    <xf numFmtId="43" fontId="7" fillId="2" borderId="1" xfId="0" applyNumberFormat="1" applyFont="1" applyFill="1" applyBorder="1" applyProtection="1"/>
    <xf numFmtId="0" fontId="7" fillId="2" borderId="1" xfId="0" applyFont="1" applyFill="1" applyBorder="1" applyAlignment="1" applyProtection="1">
      <alignment horizontal="center" vertical="center"/>
    </xf>
    <xf numFmtId="0" fontId="7" fillId="0" borderId="0" xfId="2" applyFont="1" applyProtection="1"/>
    <xf numFmtId="0" fontId="7" fillId="2" borderId="1" xfId="0" applyFont="1" applyFill="1" applyBorder="1" applyAlignment="1" applyProtection="1">
      <alignment horizontal="center" wrapText="1"/>
    </xf>
    <xf numFmtId="1" fontId="7" fillId="0" borderId="1" xfId="0" applyNumberFormat="1" applyFont="1" applyBorder="1" applyAlignment="1" applyProtection="1">
      <alignment horizontal="center" vertical="center"/>
    </xf>
    <xf numFmtId="2" fontId="9" fillId="0" borderId="1" xfId="2" applyNumberFormat="1" applyFont="1" applyBorder="1" applyProtection="1"/>
    <xf numFmtId="0" fontId="7" fillId="2" borderId="1" xfId="2" applyFont="1" applyFill="1" applyBorder="1" applyAlignment="1" applyProtection="1">
      <alignment horizontal="center" vertical="center"/>
    </xf>
    <xf numFmtId="0" fontId="7" fillId="2" borderId="1" xfId="0" applyFont="1" applyFill="1" applyBorder="1" applyAlignment="1" applyProtection="1">
      <alignment wrapText="1"/>
    </xf>
    <xf numFmtId="0" fontId="9" fillId="0" borderId="1" xfId="2" applyFont="1" applyBorder="1" applyAlignment="1" applyProtection="1">
      <alignment horizontal="center" vertical="center"/>
    </xf>
    <xf numFmtId="0" fontId="9" fillId="4" borderId="1" xfId="0" applyFont="1" applyFill="1" applyBorder="1" applyAlignment="1">
      <alignment vertical="center" wrapText="1"/>
    </xf>
    <xf numFmtId="164" fontId="10" fillId="4" borderId="1" xfId="6" applyNumberFormat="1" applyFont="1" applyFill="1" applyBorder="1" applyAlignme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right" vertical="center" wrapText="1"/>
    </xf>
    <xf numFmtId="0" fontId="7" fillId="0" borderId="0" xfId="2" applyFont="1" applyAlignment="1">
      <alignment horizontal="center"/>
    </xf>
    <xf numFmtId="0" fontId="9" fillId="0" borderId="0" xfId="2" applyFont="1" applyAlignment="1">
      <alignment horizontal="right" wrapText="1"/>
    </xf>
    <xf numFmtId="0" fontId="4" fillId="0" borderId="0" xfId="0" applyFont="1" applyAlignment="1" applyProtection="1">
      <alignment horizontal="center" vertical="center"/>
    </xf>
    <xf numFmtId="0" fontId="9" fillId="0" borderId="0" xfId="2" applyFont="1" applyAlignment="1" applyProtection="1">
      <alignment horizontal="right" wrapText="1"/>
    </xf>
    <xf numFmtId="0" fontId="7" fillId="0" borderId="0" xfId="0" applyFont="1" applyAlignment="1" applyProtection="1">
      <alignment horizontal="center"/>
    </xf>
    <xf numFmtId="0" fontId="4" fillId="2" borderId="1" xfId="0" applyNumberFormat="1" applyFont="1" applyFill="1" applyBorder="1" applyAlignment="1" applyProtection="1">
      <alignment horizontal="center" vertical="center" wrapText="1"/>
    </xf>
    <xf numFmtId="0" fontId="9" fillId="2" borderId="1" xfId="0" applyNumberFormat="1" applyFont="1" applyFill="1" applyBorder="1" applyAlignment="1" applyProtection="1">
      <alignment horizontal="center"/>
    </xf>
    <xf numFmtId="0" fontId="4" fillId="0" borderId="0" xfId="0" applyNumberFormat="1" applyFont="1" applyAlignment="1" applyProtection="1">
      <alignment horizontal="right" vertical="center" wrapText="1"/>
    </xf>
    <xf numFmtId="0" fontId="8" fillId="0" borderId="0" xfId="0" applyNumberFormat="1" applyFont="1" applyAlignment="1" applyProtection="1">
      <alignment horizontal="center"/>
    </xf>
    <xf numFmtId="0" fontId="10" fillId="0" borderId="0" xfId="0" applyNumberFormat="1" applyFont="1" applyAlignment="1" applyProtection="1"/>
    <xf numFmtId="0" fontId="4" fillId="5" borderId="0" xfId="0" applyNumberFormat="1" applyFont="1" applyFill="1" applyBorder="1" applyAlignment="1" applyProtection="1">
      <alignment horizontal="left" vertical="center" wrapText="1"/>
    </xf>
    <xf numFmtId="0" fontId="9" fillId="0" borderId="0" xfId="0" applyNumberFormat="1" applyFont="1" applyBorder="1" applyProtection="1"/>
    <xf numFmtId="0" fontId="4" fillId="5" borderId="0"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8" fillId="0" borderId="0" xfId="0" applyFont="1" applyAlignment="1" applyProtection="1">
      <alignment horizontal="center" vertical="top" wrapText="1"/>
    </xf>
    <xf numFmtId="0" fontId="4" fillId="2" borderId="4" xfId="0" applyFont="1" applyFill="1" applyBorder="1" applyAlignment="1" applyProtection="1">
      <alignment horizontal="center" wrapText="1"/>
    </xf>
    <xf numFmtId="0" fontId="9" fillId="2" borderId="9" xfId="0" applyFont="1" applyFill="1" applyBorder="1" applyProtection="1"/>
    <xf numFmtId="0" fontId="9" fillId="2" borderId="6" xfId="0" applyFont="1" applyFill="1" applyBorder="1" applyProtection="1"/>
    <xf numFmtId="0" fontId="9" fillId="2" borderId="7" xfId="0" applyFont="1" applyFill="1" applyBorder="1" applyProtection="1"/>
    <xf numFmtId="0" fontId="4" fillId="2" borderId="5" xfId="0" applyFont="1" applyFill="1" applyBorder="1" applyAlignment="1" applyProtection="1">
      <alignment horizontal="center" vertical="center" wrapText="1"/>
    </xf>
    <xf numFmtId="0" fontId="9" fillId="2" borderId="10" xfId="0" applyFont="1" applyFill="1" applyBorder="1" applyProtection="1"/>
    <xf numFmtId="0" fontId="4" fillId="0" borderId="0" xfId="0" applyFont="1" applyAlignment="1" applyProtection="1">
      <alignment horizontal="right" wrapText="1"/>
    </xf>
    <xf numFmtId="0" fontId="9" fillId="0" borderId="0" xfId="0" applyFont="1" applyAlignment="1" applyProtection="1"/>
    <xf numFmtId="0" fontId="8" fillId="0" borderId="0" xfId="0" applyFont="1" applyAlignment="1" applyProtection="1">
      <alignment horizontal="center"/>
    </xf>
    <xf numFmtId="49" fontId="8" fillId="2" borderId="5" xfId="0" applyNumberFormat="1" applyFont="1" applyFill="1" applyBorder="1" applyAlignment="1" applyProtection="1">
      <alignment horizontal="left" vertical="center" wrapText="1"/>
    </xf>
    <xf numFmtId="49" fontId="9" fillId="2" borderId="8" xfId="0" applyNumberFormat="1" applyFont="1" applyFill="1" applyBorder="1" applyAlignment="1" applyProtection="1">
      <alignment horizontal="left"/>
    </xf>
    <xf numFmtId="49" fontId="9" fillId="2" borderId="10" xfId="0" applyNumberFormat="1" applyFont="1" applyFill="1" applyBorder="1" applyAlignment="1" applyProtection="1">
      <alignment horizontal="left"/>
    </xf>
    <xf numFmtId="0" fontId="8" fillId="2" borderId="5" xfId="0" applyFont="1" applyFill="1" applyBorder="1" applyAlignment="1" applyProtection="1">
      <alignment horizontal="center" vertical="center" wrapText="1"/>
    </xf>
    <xf numFmtId="0" fontId="9" fillId="2" borderId="8" xfId="0" applyFont="1" applyFill="1" applyBorder="1" applyProtection="1"/>
    <xf numFmtId="0" fontId="8" fillId="2" borderId="4" xfId="0" applyFont="1" applyFill="1" applyBorder="1" applyAlignment="1" applyProtection="1">
      <alignment horizontal="center" vertical="center" wrapText="1"/>
    </xf>
    <xf numFmtId="0" fontId="7" fillId="0" borderId="0" xfId="3" applyFont="1" applyFill="1" applyAlignment="1" applyProtection="1">
      <alignment horizontal="center" vertical="center"/>
    </xf>
    <xf numFmtId="0" fontId="9" fillId="0" borderId="0" xfId="0" applyFont="1" applyAlignment="1" applyProtection="1">
      <alignment horizontal="left" vertical="center" wrapText="1"/>
    </xf>
    <xf numFmtId="0" fontId="9" fillId="0" borderId="0" xfId="0" applyFont="1" applyAlignment="1" applyProtection="1">
      <alignment horizontal="right" wrapText="1"/>
    </xf>
    <xf numFmtId="0" fontId="9" fillId="0" borderId="0" xfId="0" applyFont="1" applyAlignment="1" applyProtection="1">
      <alignment horizontal="right"/>
    </xf>
    <xf numFmtId="0" fontId="7" fillId="0" borderId="0" xfId="3" applyFont="1" applyFill="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xf>
    <xf numFmtId="164" fontId="4" fillId="5" borderId="28" xfId="1" applyNumberFormat="1" applyFont="1" applyFill="1" applyBorder="1" applyAlignment="1" applyProtection="1">
      <alignment horizontal="center" vertical="center" wrapText="1"/>
    </xf>
    <xf numFmtId="0" fontId="8" fillId="5" borderId="27" xfId="0" applyFont="1" applyFill="1" applyBorder="1" applyAlignment="1" applyProtection="1">
      <alignment horizontal="center" vertical="center" wrapText="1"/>
    </xf>
    <xf numFmtId="0" fontId="9" fillId="0" borderId="0" xfId="0" applyFont="1" applyBorder="1" applyProtection="1"/>
    <xf numFmtId="0" fontId="4" fillId="0" borderId="0" xfId="0" applyFont="1" applyAlignment="1" applyProtection="1">
      <alignment horizontal="center" wrapText="1"/>
    </xf>
    <xf numFmtId="0" fontId="8" fillId="0" borderId="0" xfId="0" applyFont="1" applyAlignment="1" applyProtection="1">
      <alignment horizontal="left" vertical="center"/>
    </xf>
    <xf numFmtId="0" fontId="4" fillId="0" borderId="0" xfId="0" applyFont="1" applyAlignment="1" applyProtection="1">
      <alignment horizontal="left"/>
    </xf>
    <xf numFmtId="0" fontId="4" fillId="5" borderId="0" xfId="0" applyFont="1" applyFill="1" applyBorder="1" applyAlignment="1" applyProtection="1">
      <alignment horizontal="left" vertical="center" wrapText="1"/>
    </xf>
    <xf numFmtId="164" fontId="4" fillId="5" borderId="0" xfId="1" applyNumberFormat="1" applyFont="1" applyFill="1" applyBorder="1" applyAlignment="1" applyProtection="1">
      <alignment horizontal="center" vertical="center" wrapText="1"/>
    </xf>
    <xf numFmtId="4" fontId="9" fillId="0" borderId="0" xfId="0" applyNumberFormat="1" applyFont="1" applyBorder="1" applyAlignment="1" applyProtection="1">
      <alignment horizontal="right" wrapText="1"/>
    </xf>
    <xf numFmtId="0" fontId="4" fillId="6"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wrapText="1"/>
    </xf>
    <xf numFmtId="0" fontId="9" fillId="0" borderId="0" xfId="0" applyFont="1" applyAlignment="1" applyProtection="1">
      <alignment horizontal="center" wrapText="1"/>
    </xf>
    <xf numFmtId="0" fontId="12" fillId="4" borderId="0" xfId="5" applyFont="1" applyFill="1" applyAlignment="1" applyProtection="1">
      <alignment horizontal="center" wrapText="1"/>
    </xf>
    <xf numFmtId="0" fontId="10" fillId="0" borderId="0" xfId="9" applyFont="1" applyAlignment="1" applyProtection="1">
      <alignment horizontal="right" vertical="top" wrapText="1"/>
    </xf>
    <xf numFmtId="0" fontId="7" fillId="0" borderId="0" xfId="9" applyFont="1" applyAlignment="1" applyProtection="1">
      <alignment horizontal="center" vertical="center" wrapText="1"/>
    </xf>
    <xf numFmtId="0" fontId="4" fillId="5" borderId="0" xfId="9" applyFont="1" applyFill="1" applyBorder="1" applyAlignment="1" applyProtection="1">
      <alignment horizontal="left" vertical="center" wrapText="1"/>
    </xf>
    <xf numFmtId="0" fontId="9" fillId="0" borderId="0" xfId="0" applyFont="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textRotation="90" wrapText="1"/>
    </xf>
    <xf numFmtId="0" fontId="4" fillId="2" borderId="29" xfId="0" applyFont="1" applyFill="1" applyBorder="1" applyAlignment="1" applyProtection="1">
      <alignment horizontal="center" vertical="center" textRotation="90" wrapText="1"/>
    </xf>
    <xf numFmtId="0" fontId="4" fillId="2" borderId="20" xfId="0" applyFont="1" applyFill="1" applyBorder="1" applyAlignment="1" applyProtection="1">
      <alignment horizontal="center" vertical="center" textRotation="90" wrapText="1"/>
    </xf>
    <xf numFmtId="0" fontId="4" fillId="0" borderId="0" xfId="0" applyFont="1" applyBorder="1" applyAlignment="1" applyProtection="1">
      <alignment horizontal="right" vertical="center" wrapText="1"/>
    </xf>
    <xf numFmtId="0" fontId="4" fillId="2" borderId="23" xfId="0" applyFont="1" applyFill="1" applyBorder="1" applyAlignment="1" applyProtection="1">
      <alignment horizontal="center" vertical="center" textRotation="90"/>
    </xf>
    <xf numFmtId="0" fontId="4" fillId="2" borderId="31" xfId="0" applyFont="1" applyFill="1" applyBorder="1" applyAlignment="1" applyProtection="1">
      <alignment horizontal="center" vertical="center" textRotation="90"/>
    </xf>
    <xf numFmtId="0" fontId="4" fillId="2" borderId="22" xfId="0" applyFont="1" applyFill="1" applyBorder="1" applyAlignment="1" applyProtection="1">
      <alignment horizontal="center" vertical="center" textRotation="90"/>
    </xf>
    <xf numFmtId="0" fontId="4" fillId="2" borderId="37" xfId="0" applyFont="1" applyFill="1" applyBorder="1" applyAlignment="1" applyProtection="1">
      <alignment horizontal="center" vertical="center" textRotation="90" wrapText="1"/>
    </xf>
    <xf numFmtId="0" fontId="4" fillId="2" borderId="27" xfId="0" applyFont="1" applyFill="1" applyBorder="1" applyAlignment="1" applyProtection="1">
      <alignment horizontal="center" vertical="center" textRotation="90" wrapText="1"/>
    </xf>
    <xf numFmtId="0" fontId="4" fillId="2" borderId="38" xfId="0" applyFont="1" applyFill="1" applyBorder="1" applyAlignment="1" applyProtection="1">
      <alignment horizontal="center" vertical="center" textRotation="90" wrapText="1"/>
    </xf>
    <xf numFmtId="0" fontId="4" fillId="2" borderId="23"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4" fillId="2" borderId="2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textRotation="90" wrapText="1"/>
    </xf>
    <xf numFmtId="0" fontId="4" fillId="2" borderId="31" xfId="0" applyFont="1" applyFill="1" applyBorder="1" applyAlignment="1" applyProtection="1">
      <alignment horizontal="center" vertical="center" textRotation="90" wrapText="1"/>
    </xf>
    <xf numFmtId="0" fontId="4" fillId="2" borderId="22" xfId="0" applyFont="1" applyFill="1" applyBorder="1" applyAlignment="1" applyProtection="1">
      <alignment horizontal="center" vertical="center" textRotation="90" wrapText="1"/>
    </xf>
    <xf numFmtId="0" fontId="4" fillId="6" borderId="0" xfId="0" applyFont="1" applyFill="1" applyAlignment="1" applyProtection="1">
      <alignment vertical="center"/>
    </xf>
    <xf numFmtId="0" fontId="9" fillId="0" borderId="35" xfId="0" applyFont="1" applyBorder="1" applyProtection="1"/>
    <xf numFmtId="0" fontId="4" fillId="6" borderId="36" xfId="0" applyFont="1" applyFill="1" applyBorder="1" applyAlignment="1" applyProtection="1">
      <alignment vertical="center" wrapText="1"/>
    </xf>
    <xf numFmtId="0" fontId="7" fillId="0" borderId="0" xfId="0" applyFont="1" applyBorder="1" applyAlignment="1" applyProtection="1">
      <alignment vertical="center"/>
    </xf>
    <xf numFmtId="0" fontId="17" fillId="2" borderId="15"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4" fillId="2" borderId="1" xfId="0" applyFont="1" applyFill="1" applyBorder="1" applyAlignment="1" applyProtection="1">
      <alignment horizontal="center" vertical="center" textRotation="90" wrapTex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textRotation="90"/>
    </xf>
    <xf numFmtId="0" fontId="4" fillId="8" borderId="0" xfId="5" applyFont="1" applyFill="1" applyBorder="1" applyAlignment="1" applyProtection="1">
      <alignment horizontal="left" vertical="center" wrapText="1"/>
    </xf>
    <xf numFmtId="0" fontId="10" fillId="4" borderId="1" xfId="5" applyFont="1" applyFill="1" applyBorder="1" applyAlignment="1" applyProtection="1">
      <alignment vertical="center" wrapText="1"/>
    </xf>
    <xf numFmtId="0" fontId="10" fillId="4" borderId="0" xfId="5" applyFont="1" applyFill="1" applyAlignment="1" applyProtection="1">
      <alignment horizontal="center" wrapText="1"/>
    </xf>
    <xf numFmtId="0" fontId="8" fillId="4" borderId="0" xfId="5" applyFont="1" applyFill="1" applyAlignment="1" applyProtection="1">
      <alignment horizontal="center" wrapText="1"/>
    </xf>
    <xf numFmtId="0" fontId="12" fillId="4" borderId="0" xfId="5" applyFont="1" applyFill="1" applyAlignment="1" applyProtection="1">
      <alignment horizontal="center"/>
    </xf>
    <xf numFmtId="0" fontId="10" fillId="4" borderId="1" xfId="5" applyFont="1" applyFill="1" applyBorder="1" applyAlignment="1" applyProtection="1">
      <alignment horizontal="justify" vertical="center" wrapText="1"/>
    </xf>
    <xf numFmtId="0" fontId="10" fillId="7" borderId="0" xfId="0" applyFont="1" applyFill="1" applyAlignment="1" applyProtection="1">
      <alignment horizontal="center" wrapText="1"/>
    </xf>
    <xf numFmtId="43" fontId="10" fillId="2" borderId="23" xfId="6" applyFont="1" applyFill="1" applyBorder="1" applyAlignment="1" applyProtection="1">
      <alignment horizontal="center" vertical="top"/>
    </xf>
    <xf numFmtId="43" fontId="10" fillId="2" borderId="30" xfId="6" applyFont="1" applyFill="1" applyBorder="1" applyAlignment="1" applyProtection="1">
      <alignment horizontal="center" vertical="top"/>
    </xf>
    <xf numFmtId="43" fontId="10" fillId="2" borderId="31" xfId="6" applyFont="1" applyFill="1" applyBorder="1" applyAlignment="1" applyProtection="1">
      <alignment horizontal="center" vertical="top"/>
    </xf>
    <xf numFmtId="43" fontId="10" fillId="2" borderId="32" xfId="6" applyFont="1" applyFill="1" applyBorder="1" applyAlignment="1" applyProtection="1">
      <alignment horizontal="center" vertical="top"/>
    </xf>
    <xf numFmtId="43" fontId="10" fillId="2" borderId="22" xfId="6" applyFont="1" applyFill="1" applyBorder="1" applyAlignment="1" applyProtection="1">
      <alignment horizontal="center" vertical="top"/>
    </xf>
    <xf numFmtId="43" fontId="10" fillId="2" borderId="33" xfId="6" applyFont="1" applyFill="1" applyBorder="1" applyAlignment="1" applyProtection="1">
      <alignment horizontal="center" vertical="top"/>
    </xf>
    <xf numFmtId="0" fontId="12" fillId="4" borderId="0" xfId="0" applyFont="1" applyFill="1" applyAlignment="1" applyProtection="1">
      <alignment horizontal="center"/>
    </xf>
    <xf numFmtId="0" fontId="4" fillId="8" borderId="0" xfId="0" applyFont="1" applyFill="1" applyBorder="1" applyAlignment="1" applyProtection="1">
      <alignment horizontal="left" vertical="center" wrapText="1"/>
    </xf>
    <xf numFmtId="0" fontId="4" fillId="4" borderId="0" xfId="0" applyFont="1" applyFill="1" applyAlignment="1" applyProtection="1">
      <alignment horizontal="right" vertical="center" wrapText="1"/>
    </xf>
  </cellXfs>
  <cellStyles count="12">
    <cellStyle name="Comma" xfId="1" builtinId="3"/>
    <cellStyle name="Comma 2" xfId="4" xr:uid="{D322BA85-A264-4F2B-B93C-95496D29F739}"/>
    <cellStyle name="Comma 3" xfId="6" xr:uid="{DA254A17-B170-4805-9B09-B44EF63D9449}"/>
    <cellStyle name="Comma 4" xfId="10" xr:uid="{573BCB9C-5330-49E0-876B-7FECD39D533F}"/>
    <cellStyle name="Explanatory Text" xfId="2" builtinId="53" customBuiltin="1"/>
    <cellStyle name="Normal" xfId="0" builtinId="0"/>
    <cellStyle name="Normal 2" xfId="3" xr:uid="{7BB39964-8E0E-4CB6-9DD8-28EC0DAB0B8B}"/>
    <cellStyle name="Normal 3" xfId="5" xr:uid="{2A1E61DB-2D40-487D-A5A4-E93CAC881D89}"/>
    <cellStyle name="Normal 4" xfId="9" xr:uid="{B031ADB5-8A9B-456D-8087-38C38E144E7F}"/>
    <cellStyle name="Percent" xfId="8" builtinId="5"/>
    <cellStyle name="Percent 2" xfId="7" xr:uid="{5B337552-D2A9-4C8B-8D13-96C3859817C9}"/>
    <cellStyle name="Percent 3" xfId="11" xr:uid="{3F0EF58E-F4AC-4BFF-8C5D-0606888B6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xdr:col>
      <xdr:colOff>3139440</xdr:colOff>
      <xdr:row>23</xdr:row>
      <xdr:rowOff>0</xdr:rowOff>
    </xdr:from>
    <xdr:ext cx="192763" cy="264560"/>
    <xdr:sp macro="" textlink="">
      <xdr:nvSpPr>
        <xdr:cNvPr id="2" name="TextBox 1">
          <a:extLst>
            <a:ext uri="{FF2B5EF4-FFF2-40B4-BE49-F238E27FC236}">
              <a16:creationId xmlns:a16="http://schemas.microsoft.com/office/drawing/2014/main" id="{A9B0BF03-7777-48C5-B9FA-654CF1D7ECBA}"/>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3" name="TextBox 2">
          <a:extLst>
            <a:ext uri="{FF2B5EF4-FFF2-40B4-BE49-F238E27FC236}">
              <a16:creationId xmlns:a16="http://schemas.microsoft.com/office/drawing/2014/main" id="{39AB98D7-893C-4A76-B8F7-66E77DF8173D}"/>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303466"/>
    <xdr:sp macro="" textlink="">
      <xdr:nvSpPr>
        <xdr:cNvPr id="4" name="TextBox 3">
          <a:extLst>
            <a:ext uri="{FF2B5EF4-FFF2-40B4-BE49-F238E27FC236}">
              <a16:creationId xmlns:a16="http://schemas.microsoft.com/office/drawing/2014/main" id="{5FF2DF9F-664B-4DB9-B37D-946DFB80E318}"/>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5" name="TextBox 4">
          <a:extLst>
            <a:ext uri="{FF2B5EF4-FFF2-40B4-BE49-F238E27FC236}">
              <a16:creationId xmlns:a16="http://schemas.microsoft.com/office/drawing/2014/main" id="{50D67061-0D17-45B5-BB4C-3D0AEF4975E3}"/>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1BBC1314-7999-4D84-8E57-A2C1291FEA6F}"/>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7" name="TextBox 6">
          <a:extLst>
            <a:ext uri="{FF2B5EF4-FFF2-40B4-BE49-F238E27FC236}">
              <a16:creationId xmlns:a16="http://schemas.microsoft.com/office/drawing/2014/main" id="{7F38EBAB-5DA6-4E18-8579-87572BB9EC4D}"/>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8" name="TextBox 7">
          <a:extLst>
            <a:ext uri="{FF2B5EF4-FFF2-40B4-BE49-F238E27FC236}">
              <a16:creationId xmlns:a16="http://schemas.microsoft.com/office/drawing/2014/main" id="{2E0A469C-27F1-412C-B6DE-875C78233201}"/>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9" name="TextBox 8">
          <a:extLst>
            <a:ext uri="{FF2B5EF4-FFF2-40B4-BE49-F238E27FC236}">
              <a16:creationId xmlns:a16="http://schemas.microsoft.com/office/drawing/2014/main" id="{69F5AAA3-3968-475C-A945-023AEF1CBB12}"/>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10" name="TextBox 9">
          <a:extLst>
            <a:ext uri="{FF2B5EF4-FFF2-40B4-BE49-F238E27FC236}">
              <a16:creationId xmlns:a16="http://schemas.microsoft.com/office/drawing/2014/main" id="{F7535605-95EB-4283-8A8C-3AA30F45BE2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1" name="TextBox 10">
          <a:extLst>
            <a:ext uri="{FF2B5EF4-FFF2-40B4-BE49-F238E27FC236}">
              <a16:creationId xmlns:a16="http://schemas.microsoft.com/office/drawing/2014/main" id="{9EAAAA5B-1C2F-4BDF-8B04-BE07260D6AA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12" name="TextBox 11">
          <a:extLst>
            <a:ext uri="{FF2B5EF4-FFF2-40B4-BE49-F238E27FC236}">
              <a16:creationId xmlns:a16="http://schemas.microsoft.com/office/drawing/2014/main" id="{CF2342F9-945F-4092-B340-A35E02443D3F}"/>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3" name="TextBox 12">
          <a:extLst>
            <a:ext uri="{FF2B5EF4-FFF2-40B4-BE49-F238E27FC236}">
              <a16:creationId xmlns:a16="http://schemas.microsoft.com/office/drawing/2014/main" id="{FD8CF5D2-D6A1-42FB-9C6C-CC6DC7280E23}"/>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4" name="TextBox 13">
          <a:extLst>
            <a:ext uri="{FF2B5EF4-FFF2-40B4-BE49-F238E27FC236}">
              <a16:creationId xmlns:a16="http://schemas.microsoft.com/office/drawing/2014/main" id="{84505DBC-8AB2-47BC-8BF0-ACA7A5B5CC42}"/>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5" name="TextBox 14">
          <a:extLst>
            <a:ext uri="{FF2B5EF4-FFF2-40B4-BE49-F238E27FC236}">
              <a16:creationId xmlns:a16="http://schemas.microsoft.com/office/drawing/2014/main" id="{F0A09348-CA95-4F25-BE00-26C6C61C0C45}"/>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6" name="TextBox 15">
          <a:extLst>
            <a:ext uri="{FF2B5EF4-FFF2-40B4-BE49-F238E27FC236}">
              <a16:creationId xmlns:a16="http://schemas.microsoft.com/office/drawing/2014/main" id="{F6DBA697-B4C8-4727-8E50-D352722593A9}"/>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303466"/>
    <xdr:sp macro="" textlink="">
      <xdr:nvSpPr>
        <xdr:cNvPr id="17" name="TextBox 16">
          <a:extLst>
            <a:ext uri="{FF2B5EF4-FFF2-40B4-BE49-F238E27FC236}">
              <a16:creationId xmlns:a16="http://schemas.microsoft.com/office/drawing/2014/main" id="{723AC6C3-5C2A-49DB-9AF4-B9A9AA54939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8" name="TextBox 17">
          <a:extLst>
            <a:ext uri="{FF2B5EF4-FFF2-40B4-BE49-F238E27FC236}">
              <a16:creationId xmlns:a16="http://schemas.microsoft.com/office/drawing/2014/main" id="{11639C6B-086D-4B42-8B17-28A586715267}"/>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23</xdr:row>
      <xdr:rowOff>0</xdr:rowOff>
    </xdr:from>
    <xdr:ext cx="184731" cy="264560"/>
    <xdr:sp macro="" textlink="">
      <xdr:nvSpPr>
        <xdr:cNvPr id="19" name="TextBox 18">
          <a:extLst>
            <a:ext uri="{FF2B5EF4-FFF2-40B4-BE49-F238E27FC236}">
              <a16:creationId xmlns:a16="http://schemas.microsoft.com/office/drawing/2014/main" id="{4921D828-CFCE-445D-A299-9E4C07BBEB5D}"/>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0" name="TextBox 19">
          <a:extLst>
            <a:ext uri="{FF2B5EF4-FFF2-40B4-BE49-F238E27FC236}">
              <a16:creationId xmlns:a16="http://schemas.microsoft.com/office/drawing/2014/main" id="{B9EF8E93-29E4-47FC-9E3E-D05028255E55}"/>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21" name="TextBox 20">
          <a:extLst>
            <a:ext uri="{FF2B5EF4-FFF2-40B4-BE49-F238E27FC236}">
              <a16:creationId xmlns:a16="http://schemas.microsoft.com/office/drawing/2014/main" id="{6710F343-873F-4096-891E-41DC0D806EA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2" name="TextBox 21">
          <a:extLst>
            <a:ext uri="{FF2B5EF4-FFF2-40B4-BE49-F238E27FC236}">
              <a16:creationId xmlns:a16="http://schemas.microsoft.com/office/drawing/2014/main" id="{A2608AFC-8A41-4B0A-9E3E-0D3AC4E88352}"/>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23" name="TextBox 22">
          <a:extLst>
            <a:ext uri="{FF2B5EF4-FFF2-40B4-BE49-F238E27FC236}">
              <a16:creationId xmlns:a16="http://schemas.microsoft.com/office/drawing/2014/main" id="{AAD247E6-AE51-412E-8932-300719614BD8}"/>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4" name="TextBox 23">
          <a:extLst>
            <a:ext uri="{FF2B5EF4-FFF2-40B4-BE49-F238E27FC236}">
              <a16:creationId xmlns:a16="http://schemas.microsoft.com/office/drawing/2014/main" id="{C98349B5-439C-438F-891D-0FFBC2244F1D}"/>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25</xdr:row>
      <xdr:rowOff>0</xdr:rowOff>
    </xdr:from>
    <xdr:ext cx="184731" cy="264560"/>
    <xdr:sp macro="" textlink="">
      <xdr:nvSpPr>
        <xdr:cNvPr id="25" name="TextBox 24">
          <a:extLst>
            <a:ext uri="{FF2B5EF4-FFF2-40B4-BE49-F238E27FC236}">
              <a16:creationId xmlns:a16="http://schemas.microsoft.com/office/drawing/2014/main" id="{108C1655-CC49-4B96-B525-AE103C93A875}"/>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6" name="TextBox 25">
          <a:extLst>
            <a:ext uri="{FF2B5EF4-FFF2-40B4-BE49-F238E27FC236}">
              <a16:creationId xmlns:a16="http://schemas.microsoft.com/office/drawing/2014/main" id="{42EAB88E-2A3F-4EFB-B45A-741DF7F1C94D}"/>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7" name="TextBox 26">
          <a:extLst>
            <a:ext uri="{FF2B5EF4-FFF2-40B4-BE49-F238E27FC236}">
              <a16:creationId xmlns:a16="http://schemas.microsoft.com/office/drawing/2014/main" id="{B1EB331D-C3B0-4328-8297-F5B63E97504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8" name="TextBox 27">
          <a:extLst>
            <a:ext uri="{FF2B5EF4-FFF2-40B4-BE49-F238E27FC236}">
              <a16:creationId xmlns:a16="http://schemas.microsoft.com/office/drawing/2014/main" id="{5FE05B95-781A-4F08-B2FF-19AD3EB3741E}"/>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29" name="TextBox 28">
          <a:extLst>
            <a:ext uri="{FF2B5EF4-FFF2-40B4-BE49-F238E27FC236}">
              <a16:creationId xmlns:a16="http://schemas.microsoft.com/office/drawing/2014/main" id="{D48394B6-760A-4E91-94E8-1BE3D5A21C33}"/>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303466"/>
    <xdr:sp macro="" textlink="">
      <xdr:nvSpPr>
        <xdr:cNvPr id="30" name="TextBox 29">
          <a:extLst>
            <a:ext uri="{FF2B5EF4-FFF2-40B4-BE49-F238E27FC236}">
              <a16:creationId xmlns:a16="http://schemas.microsoft.com/office/drawing/2014/main" id="{80C49F92-6707-44ED-BA9F-FB1F0EC1E7B5}"/>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1" name="TextBox 30">
          <a:extLst>
            <a:ext uri="{FF2B5EF4-FFF2-40B4-BE49-F238E27FC236}">
              <a16:creationId xmlns:a16="http://schemas.microsoft.com/office/drawing/2014/main" id="{7CBC0604-FBD3-4AA6-A02B-1F6AB6D76C5A}"/>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23</xdr:row>
      <xdr:rowOff>0</xdr:rowOff>
    </xdr:from>
    <xdr:ext cx="184731" cy="264560"/>
    <xdr:sp macro="" textlink="">
      <xdr:nvSpPr>
        <xdr:cNvPr id="32" name="TextBox 31">
          <a:extLst>
            <a:ext uri="{FF2B5EF4-FFF2-40B4-BE49-F238E27FC236}">
              <a16:creationId xmlns:a16="http://schemas.microsoft.com/office/drawing/2014/main" id="{E44A0347-5063-4671-82E9-B3FCFF4ABA60}"/>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3" name="TextBox 32">
          <a:extLst>
            <a:ext uri="{FF2B5EF4-FFF2-40B4-BE49-F238E27FC236}">
              <a16:creationId xmlns:a16="http://schemas.microsoft.com/office/drawing/2014/main" id="{CAEFD94C-138C-4998-A67B-1E0D562246C8}"/>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4" name="TextBox 33">
          <a:extLst>
            <a:ext uri="{FF2B5EF4-FFF2-40B4-BE49-F238E27FC236}">
              <a16:creationId xmlns:a16="http://schemas.microsoft.com/office/drawing/2014/main" id="{7D39C464-0BCA-4092-8FB7-4F17EAD85170}"/>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5" name="TextBox 34">
          <a:extLst>
            <a:ext uri="{FF2B5EF4-FFF2-40B4-BE49-F238E27FC236}">
              <a16:creationId xmlns:a16="http://schemas.microsoft.com/office/drawing/2014/main" id="{DA0D63E3-C93E-4048-903B-C74B431887C2}"/>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36" name="TextBox 35">
          <a:extLst>
            <a:ext uri="{FF2B5EF4-FFF2-40B4-BE49-F238E27FC236}">
              <a16:creationId xmlns:a16="http://schemas.microsoft.com/office/drawing/2014/main" id="{28999CDC-0D1D-455A-8CAA-30F222F46E4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7" name="TextBox 36">
          <a:extLst>
            <a:ext uri="{FF2B5EF4-FFF2-40B4-BE49-F238E27FC236}">
              <a16:creationId xmlns:a16="http://schemas.microsoft.com/office/drawing/2014/main" id="{FE6EFC05-4DE0-47E4-A76F-155B310F524A}"/>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25</xdr:row>
      <xdr:rowOff>0</xdr:rowOff>
    </xdr:from>
    <xdr:ext cx="184731" cy="264560"/>
    <xdr:sp macro="" textlink="">
      <xdr:nvSpPr>
        <xdr:cNvPr id="38" name="TextBox 37">
          <a:extLst>
            <a:ext uri="{FF2B5EF4-FFF2-40B4-BE49-F238E27FC236}">
              <a16:creationId xmlns:a16="http://schemas.microsoft.com/office/drawing/2014/main" id="{14E9F480-7931-4418-9212-69F4DD564C4B}"/>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9" name="TextBox 38">
          <a:extLst>
            <a:ext uri="{FF2B5EF4-FFF2-40B4-BE49-F238E27FC236}">
              <a16:creationId xmlns:a16="http://schemas.microsoft.com/office/drawing/2014/main" id="{770494E3-E508-48CE-9A90-F2AAFA0038D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40" name="TextBox 39">
          <a:extLst>
            <a:ext uri="{FF2B5EF4-FFF2-40B4-BE49-F238E27FC236}">
              <a16:creationId xmlns:a16="http://schemas.microsoft.com/office/drawing/2014/main" id="{979DF914-574E-4520-8E68-9977FF600684}"/>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41" name="TextBox 40">
          <a:extLst>
            <a:ext uri="{FF2B5EF4-FFF2-40B4-BE49-F238E27FC236}">
              <a16:creationId xmlns:a16="http://schemas.microsoft.com/office/drawing/2014/main" id="{DA2D85EF-14B6-40A2-AC5F-F6B044ADD643}"/>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42" name="TextBox 41">
          <a:extLst>
            <a:ext uri="{FF2B5EF4-FFF2-40B4-BE49-F238E27FC236}">
              <a16:creationId xmlns:a16="http://schemas.microsoft.com/office/drawing/2014/main" id="{1535829B-81D8-4D3F-B7BC-827C8317113A}"/>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43" name="TextBox 42">
          <a:extLst>
            <a:ext uri="{FF2B5EF4-FFF2-40B4-BE49-F238E27FC236}">
              <a16:creationId xmlns:a16="http://schemas.microsoft.com/office/drawing/2014/main" id="{641F3F6D-CA62-4DCF-9AAF-BBA188B63D2C}"/>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4" name="TextBox 43">
          <a:extLst>
            <a:ext uri="{FF2B5EF4-FFF2-40B4-BE49-F238E27FC236}">
              <a16:creationId xmlns:a16="http://schemas.microsoft.com/office/drawing/2014/main" id="{52C17CBD-CE0A-48C1-9F76-22F91B1EF34E}"/>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5" name="TextBox 44">
          <a:extLst>
            <a:ext uri="{FF2B5EF4-FFF2-40B4-BE49-F238E27FC236}">
              <a16:creationId xmlns:a16="http://schemas.microsoft.com/office/drawing/2014/main" id="{1906300C-C76C-4480-BD3A-76054CE5C708}"/>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46" name="TextBox 45">
          <a:extLst>
            <a:ext uri="{FF2B5EF4-FFF2-40B4-BE49-F238E27FC236}">
              <a16:creationId xmlns:a16="http://schemas.microsoft.com/office/drawing/2014/main" id="{D7D03737-53C4-46B2-B670-30D6C08C1E84}"/>
            </a:ext>
          </a:extLst>
        </xdr:cNvPr>
        <xdr:cNvSpPr txBox="1"/>
      </xdr:nvSpPr>
      <xdr:spPr>
        <a:xfrm>
          <a:off x="3339465"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264560"/>
    <xdr:sp macro="" textlink="">
      <xdr:nvSpPr>
        <xdr:cNvPr id="47" name="TextBox 46">
          <a:extLst>
            <a:ext uri="{FF2B5EF4-FFF2-40B4-BE49-F238E27FC236}">
              <a16:creationId xmlns:a16="http://schemas.microsoft.com/office/drawing/2014/main" id="{492E22FE-5DE7-435A-BF5F-58ADF9092EF4}"/>
            </a:ext>
          </a:extLst>
        </xdr:cNvPr>
        <xdr:cNvSpPr txBox="1"/>
      </xdr:nvSpPr>
      <xdr:spPr>
        <a:xfrm>
          <a:off x="3339465" y="4210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303466"/>
    <xdr:sp macro="" textlink="">
      <xdr:nvSpPr>
        <xdr:cNvPr id="48" name="TextBox 47">
          <a:extLst>
            <a:ext uri="{FF2B5EF4-FFF2-40B4-BE49-F238E27FC236}">
              <a16:creationId xmlns:a16="http://schemas.microsoft.com/office/drawing/2014/main" id="{E1B6A038-BFAB-4542-BEA9-2F6DDCE6232A}"/>
            </a:ext>
          </a:extLst>
        </xdr:cNvPr>
        <xdr:cNvSpPr txBox="1"/>
      </xdr:nvSpPr>
      <xdr:spPr>
        <a:xfrm>
          <a:off x="3339465" y="43719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49" name="TextBox 48">
          <a:extLst>
            <a:ext uri="{FF2B5EF4-FFF2-40B4-BE49-F238E27FC236}">
              <a16:creationId xmlns:a16="http://schemas.microsoft.com/office/drawing/2014/main" id="{FDBAACF3-3E88-45D4-960F-9A7704E31A30}"/>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50" name="TextBox 49">
          <a:extLst>
            <a:ext uri="{FF2B5EF4-FFF2-40B4-BE49-F238E27FC236}">
              <a16:creationId xmlns:a16="http://schemas.microsoft.com/office/drawing/2014/main" id="{15918F0C-D7E1-477C-BB41-07B0DE99AF2D}"/>
            </a:ext>
          </a:extLst>
        </xdr:cNvPr>
        <xdr:cNvSpPr txBox="1"/>
      </xdr:nvSpPr>
      <xdr:spPr>
        <a:xfrm>
          <a:off x="3339465" y="4533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1" name="TextBox 50">
          <a:extLst>
            <a:ext uri="{FF2B5EF4-FFF2-40B4-BE49-F238E27FC236}">
              <a16:creationId xmlns:a16="http://schemas.microsoft.com/office/drawing/2014/main" id="{493AC4E1-3D28-42D9-B321-7A0C25DF3F2B}"/>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52" name="TextBox 51">
          <a:extLst>
            <a:ext uri="{FF2B5EF4-FFF2-40B4-BE49-F238E27FC236}">
              <a16:creationId xmlns:a16="http://schemas.microsoft.com/office/drawing/2014/main" id="{966D00F6-C0D3-497D-B1D0-4866147612FE}"/>
            </a:ext>
          </a:extLst>
        </xdr:cNvPr>
        <xdr:cNvSpPr txBox="1"/>
      </xdr:nvSpPr>
      <xdr:spPr>
        <a:xfrm>
          <a:off x="3339465" y="4695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3" name="TextBox 52">
          <a:extLst>
            <a:ext uri="{FF2B5EF4-FFF2-40B4-BE49-F238E27FC236}">
              <a16:creationId xmlns:a16="http://schemas.microsoft.com/office/drawing/2014/main" id="{6CD38EE1-C9F8-475B-8C3B-11DC990714EA}"/>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54" name="TextBox 53">
          <a:extLst>
            <a:ext uri="{FF2B5EF4-FFF2-40B4-BE49-F238E27FC236}">
              <a16:creationId xmlns:a16="http://schemas.microsoft.com/office/drawing/2014/main" id="{8ABBC54D-7AC5-4ECF-B306-E785358231F5}"/>
            </a:ext>
          </a:extLst>
        </xdr:cNvPr>
        <xdr:cNvSpPr txBox="1"/>
      </xdr:nvSpPr>
      <xdr:spPr>
        <a:xfrm>
          <a:off x="3339465" y="4857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5" name="TextBox 54">
          <a:extLst>
            <a:ext uri="{FF2B5EF4-FFF2-40B4-BE49-F238E27FC236}">
              <a16:creationId xmlns:a16="http://schemas.microsoft.com/office/drawing/2014/main" id="{80087E87-9F89-4AE3-8CF5-A647C405712B}"/>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56" name="TextBox 55">
          <a:extLst>
            <a:ext uri="{FF2B5EF4-FFF2-40B4-BE49-F238E27FC236}">
              <a16:creationId xmlns:a16="http://schemas.microsoft.com/office/drawing/2014/main" id="{36E055CB-A2EE-49F9-85B5-FB9A5247410E}"/>
            </a:ext>
          </a:extLst>
        </xdr:cNvPr>
        <xdr:cNvSpPr txBox="1"/>
      </xdr:nvSpPr>
      <xdr:spPr>
        <a:xfrm>
          <a:off x="3339465" y="5019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7" name="TextBox 56">
          <a:extLst>
            <a:ext uri="{FF2B5EF4-FFF2-40B4-BE49-F238E27FC236}">
              <a16:creationId xmlns:a16="http://schemas.microsoft.com/office/drawing/2014/main" id="{F892E87B-4C20-469A-826B-46D006BE58E1}"/>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30</xdr:row>
      <xdr:rowOff>0</xdr:rowOff>
    </xdr:from>
    <xdr:ext cx="192763" cy="264560"/>
    <xdr:sp macro="" textlink="">
      <xdr:nvSpPr>
        <xdr:cNvPr id="58" name="TextBox 57">
          <a:extLst>
            <a:ext uri="{FF2B5EF4-FFF2-40B4-BE49-F238E27FC236}">
              <a16:creationId xmlns:a16="http://schemas.microsoft.com/office/drawing/2014/main" id="{75393556-3698-447C-A606-8340FE1D505F}"/>
            </a:ext>
          </a:extLst>
        </xdr:cNvPr>
        <xdr:cNvSpPr txBox="1"/>
      </xdr:nvSpPr>
      <xdr:spPr>
        <a:xfrm>
          <a:off x="3339465" y="5181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59" name="TextBox 58">
          <a:extLst>
            <a:ext uri="{FF2B5EF4-FFF2-40B4-BE49-F238E27FC236}">
              <a16:creationId xmlns:a16="http://schemas.microsoft.com/office/drawing/2014/main" id="{C89F7A76-732E-4183-A8EC-73EFDC6F3574}"/>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60" name="TextBox 59">
          <a:extLst>
            <a:ext uri="{FF2B5EF4-FFF2-40B4-BE49-F238E27FC236}">
              <a16:creationId xmlns:a16="http://schemas.microsoft.com/office/drawing/2014/main" id="{F45930AB-DA4D-4E66-8D18-031058B8A84A}"/>
            </a:ext>
          </a:extLst>
        </xdr:cNvPr>
        <xdr:cNvSpPr txBox="1"/>
      </xdr:nvSpPr>
      <xdr:spPr>
        <a:xfrm>
          <a:off x="5810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303466"/>
    <xdr:sp macro="" textlink="">
      <xdr:nvSpPr>
        <xdr:cNvPr id="61" name="TextBox 60">
          <a:extLst>
            <a:ext uri="{FF2B5EF4-FFF2-40B4-BE49-F238E27FC236}">
              <a16:creationId xmlns:a16="http://schemas.microsoft.com/office/drawing/2014/main" id="{E9D5725D-6E55-4CD7-9EB2-C2F96CF7BC72}"/>
            </a:ext>
          </a:extLst>
        </xdr:cNvPr>
        <xdr:cNvSpPr txBox="1"/>
      </xdr:nvSpPr>
      <xdr:spPr>
        <a:xfrm>
          <a:off x="5810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2" name="TextBox 61">
          <a:extLst>
            <a:ext uri="{FF2B5EF4-FFF2-40B4-BE49-F238E27FC236}">
              <a16:creationId xmlns:a16="http://schemas.microsoft.com/office/drawing/2014/main" id="{FB20143C-D22D-42F6-9F54-2CE547E13565}"/>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26</xdr:row>
      <xdr:rowOff>0</xdr:rowOff>
    </xdr:from>
    <xdr:ext cx="184731" cy="264560"/>
    <xdr:sp macro="" textlink="">
      <xdr:nvSpPr>
        <xdr:cNvPr id="63" name="TextBox 62">
          <a:extLst>
            <a:ext uri="{FF2B5EF4-FFF2-40B4-BE49-F238E27FC236}">
              <a16:creationId xmlns:a16="http://schemas.microsoft.com/office/drawing/2014/main" id="{524D65D7-E053-44F1-BA3C-A510C2F19D94}"/>
            </a:ext>
          </a:extLst>
        </xdr:cNvPr>
        <xdr:cNvSpPr txBox="1"/>
      </xdr:nvSpPr>
      <xdr:spPr>
        <a:xfrm>
          <a:off x="5810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4" name="TextBox 63">
          <a:extLst>
            <a:ext uri="{FF2B5EF4-FFF2-40B4-BE49-F238E27FC236}">
              <a16:creationId xmlns:a16="http://schemas.microsoft.com/office/drawing/2014/main" id="{4E1AB721-DD8E-4E75-A806-9FE97B018CDC}"/>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65" name="TextBox 64">
          <a:extLst>
            <a:ext uri="{FF2B5EF4-FFF2-40B4-BE49-F238E27FC236}">
              <a16:creationId xmlns:a16="http://schemas.microsoft.com/office/drawing/2014/main" id="{40BF90D1-997B-4E78-9081-C76E3CEF6723}"/>
            </a:ext>
          </a:extLst>
        </xdr:cNvPr>
        <xdr:cNvSpPr txBox="1"/>
      </xdr:nvSpPr>
      <xdr:spPr>
        <a:xfrm>
          <a:off x="5810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6" name="TextBox 65">
          <a:extLst>
            <a:ext uri="{FF2B5EF4-FFF2-40B4-BE49-F238E27FC236}">
              <a16:creationId xmlns:a16="http://schemas.microsoft.com/office/drawing/2014/main" id="{0FDD557F-6A1A-4CD1-A059-42E1C7DECB9F}"/>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67" name="TextBox 66">
          <a:extLst>
            <a:ext uri="{FF2B5EF4-FFF2-40B4-BE49-F238E27FC236}">
              <a16:creationId xmlns:a16="http://schemas.microsoft.com/office/drawing/2014/main" id="{60F447B3-8722-4367-AA84-AE13C8E4F099}"/>
            </a:ext>
          </a:extLst>
        </xdr:cNvPr>
        <xdr:cNvSpPr txBox="1"/>
      </xdr:nvSpPr>
      <xdr:spPr>
        <a:xfrm>
          <a:off x="5810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8" name="TextBox 67">
          <a:extLst>
            <a:ext uri="{FF2B5EF4-FFF2-40B4-BE49-F238E27FC236}">
              <a16:creationId xmlns:a16="http://schemas.microsoft.com/office/drawing/2014/main" id="{4C1048F6-D398-44E0-8E05-002F546A3B33}"/>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69" name="TextBox 68">
          <a:extLst>
            <a:ext uri="{FF2B5EF4-FFF2-40B4-BE49-F238E27FC236}">
              <a16:creationId xmlns:a16="http://schemas.microsoft.com/office/drawing/2014/main" id="{09493DB2-37FB-4D25-8E71-79C1260A59FE}"/>
            </a:ext>
          </a:extLst>
        </xdr:cNvPr>
        <xdr:cNvSpPr txBox="1"/>
      </xdr:nvSpPr>
      <xdr:spPr>
        <a:xfrm>
          <a:off x="5810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0" name="TextBox 69">
          <a:extLst>
            <a:ext uri="{FF2B5EF4-FFF2-40B4-BE49-F238E27FC236}">
              <a16:creationId xmlns:a16="http://schemas.microsoft.com/office/drawing/2014/main" id="{73095C41-F571-4599-8705-5B8D3B53BC19}"/>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30</xdr:row>
      <xdr:rowOff>0</xdr:rowOff>
    </xdr:from>
    <xdr:ext cx="184731" cy="264560"/>
    <xdr:sp macro="" textlink="">
      <xdr:nvSpPr>
        <xdr:cNvPr id="71" name="TextBox 70">
          <a:extLst>
            <a:ext uri="{FF2B5EF4-FFF2-40B4-BE49-F238E27FC236}">
              <a16:creationId xmlns:a16="http://schemas.microsoft.com/office/drawing/2014/main" id="{29CA2DDD-5E5B-42A6-ACF2-30CB09E41A95}"/>
            </a:ext>
          </a:extLst>
        </xdr:cNvPr>
        <xdr:cNvSpPr txBox="1"/>
      </xdr:nvSpPr>
      <xdr:spPr>
        <a:xfrm>
          <a:off x="5810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72" name="TextBox 71">
          <a:extLst>
            <a:ext uri="{FF2B5EF4-FFF2-40B4-BE49-F238E27FC236}">
              <a16:creationId xmlns:a16="http://schemas.microsoft.com/office/drawing/2014/main" id="{0C330E39-6B27-495F-A108-96807C48E93D}"/>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73" name="TextBox 72">
          <a:extLst>
            <a:ext uri="{FF2B5EF4-FFF2-40B4-BE49-F238E27FC236}">
              <a16:creationId xmlns:a16="http://schemas.microsoft.com/office/drawing/2014/main" id="{C01A2656-6884-4EF1-AF5F-0E99B1D14232}"/>
            </a:ext>
          </a:extLst>
        </xdr:cNvPr>
        <xdr:cNvSpPr txBox="1"/>
      </xdr:nvSpPr>
      <xdr:spPr>
        <a:xfrm>
          <a:off x="6953250" y="42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303466"/>
    <xdr:sp macro="" textlink="">
      <xdr:nvSpPr>
        <xdr:cNvPr id="74" name="TextBox 73">
          <a:extLst>
            <a:ext uri="{FF2B5EF4-FFF2-40B4-BE49-F238E27FC236}">
              <a16:creationId xmlns:a16="http://schemas.microsoft.com/office/drawing/2014/main" id="{5A2899C7-F653-45E9-92C3-06F7700A2304}"/>
            </a:ext>
          </a:extLst>
        </xdr:cNvPr>
        <xdr:cNvSpPr txBox="1"/>
      </xdr:nvSpPr>
      <xdr:spPr>
        <a:xfrm>
          <a:off x="6953250" y="43719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5" name="TextBox 74">
          <a:extLst>
            <a:ext uri="{FF2B5EF4-FFF2-40B4-BE49-F238E27FC236}">
              <a16:creationId xmlns:a16="http://schemas.microsoft.com/office/drawing/2014/main" id="{3D74E0FA-A19F-4275-8367-6461D4CA08E5}"/>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26</xdr:row>
      <xdr:rowOff>0</xdr:rowOff>
    </xdr:from>
    <xdr:ext cx="184731" cy="264560"/>
    <xdr:sp macro="" textlink="">
      <xdr:nvSpPr>
        <xdr:cNvPr id="76" name="TextBox 75">
          <a:extLst>
            <a:ext uri="{FF2B5EF4-FFF2-40B4-BE49-F238E27FC236}">
              <a16:creationId xmlns:a16="http://schemas.microsoft.com/office/drawing/2014/main" id="{6F4B8B2E-18DD-4802-9539-093799176B2B}"/>
            </a:ext>
          </a:extLst>
        </xdr:cNvPr>
        <xdr:cNvSpPr txBox="1"/>
      </xdr:nvSpPr>
      <xdr:spPr>
        <a:xfrm>
          <a:off x="6953250" y="453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7" name="TextBox 76">
          <a:extLst>
            <a:ext uri="{FF2B5EF4-FFF2-40B4-BE49-F238E27FC236}">
              <a16:creationId xmlns:a16="http://schemas.microsoft.com/office/drawing/2014/main" id="{9AD53752-6C1E-439C-B507-81CEDD84F80B}"/>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78" name="TextBox 77">
          <a:extLst>
            <a:ext uri="{FF2B5EF4-FFF2-40B4-BE49-F238E27FC236}">
              <a16:creationId xmlns:a16="http://schemas.microsoft.com/office/drawing/2014/main" id="{B1713FBE-D6C5-4A24-AFE3-ECC507160831}"/>
            </a:ext>
          </a:extLst>
        </xdr:cNvPr>
        <xdr:cNvSpPr txBox="1"/>
      </xdr:nvSpPr>
      <xdr:spPr>
        <a:xfrm>
          <a:off x="6953250" y="469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79" name="TextBox 78">
          <a:extLst>
            <a:ext uri="{FF2B5EF4-FFF2-40B4-BE49-F238E27FC236}">
              <a16:creationId xmlns:a16="http://schemas.microsoft.com/office/drawing/2014/main" id="{E7125AA5-B80B-489E-8DAC-BBFEC04143BD}"/>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80" name="TextBox 79">
          <a:extLst>
            <a:ext uri="{FF2B5EF4-FFF2-40B4-BE49-F238E27FC236}">
              <a16:creationId xmlns:a16="http://schemas.microsoft.com/office/drawing/2014/main" id="{105290F7-F297-4E52-BD48-DAF7991BEA3F}"/>
            </a:ext>
          </a:extLst>
        </xdr:cNvPr>
        <xdr:cNvSpPr txBox="1"/>
      </xdr:nvSpPr>
      <xdr:spPr>
        <a:xfrm>
          <a:off x="6953250" y="485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1" name="TextBox 80">
          <a:extLst>
            <a:ext uri="{FF2B5EF4-FFF2-40B4-BE49-F238E27FC236}">
              <a16:creationId xmlns:a16="http://schemas.microsoft.com/office/drawing/2014/main" id="{8E000070-04A5-4E1C-8C21-0DC9BEE76E13}"/>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82" name="TextBox 81">
          <a:extLst>
            <a:ext uri="{FF2B5EF4-FFF2-40B4-BE49-F238E27FC236}">
              <a16:creationId xmlns:a16="http://schemas.microsoft.com/office/drawing/2014/main" id="{0CA4B291-9ACA-413C-AA0D-126F4D1C1F97}"/>
            </a:ext>
          </a:extLst>
        </xdr:cNvPr>
        <xdr:cNvSpPr txBox="1"/>
      </xdr:nvSpPr>
      <xdr:spPr>
        <a:xfrm>
          <a:off x="6953250" y="501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3" name="TextBox 82">
          <a:extLst>
            <a:ext uri="{FF2B5EF4-FFF2-40B4-BE49-F238E27FC236}">
              <a16:creationId xmlns:a16="http://schemas.microsoft.com/office/drawing/2014/main" id="{068FE2A0-1985-43D4-9B2F-62238B948C77}"/>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30</xdr:row>
      <xdr:rowOff>0</xdr:rowOff>
    </xdr:from>
    <xdr:ext cx="184731" cy="264560"/>
    <xdr:sp macro="" textlink="">
      <xdr:nvSpPr>
        <xdr:cNvPr id="84" name="TextBox 83">
          <a:extLst>
            <a:ext uri="{FF2B5EF4-FFF2-40B4-BE49-F238E27FC236}">
              <a16:creationId xmlns:a16="http://schemas.microsoft.com/office/drawing/2014/main" id="{41E92121-281F-48BD-B5FE-E22F6F7DE88F}"/>
            </a:ext>
          </a:extLst>
        </xdr:cNvPr>
        <xdr:cNvSpPr txBox="1"/>
      </xdr:nvSpPr>
      <xdr:spPr>
        <a:xfrm>
          <a:off x="6953250" y="518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23</xdr:row>
      <xdr:rowOff>0</xdr:rowOff>
    </xdr:from>
    <xdr:ext cx="192763" cy="264560"/>
    <xdr:sp macro="" textlink="">
      <xdr:nvSpPr>
        <xdr:cNvPr id="85" name="TextBox 84">
          <a:extLst>
            <a:ext uri="{FF2B5EF4-FFF2-40B4-BE49-F238E27FC236}">
              <a16:creationId xmlns:a16="http://schemas.microsoft.com/office/drawing/2014/main" id="{39B803E0-76C5-4C32-B6F5-E1646C644CEF}"/>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23</xdr:row>
      <xdr:rowOff>0</xdr:rowOff>
    </xdr:from>
    <xdr:ext cx="192763" cy="264560"/>
    <xdr:sp macro="" textlink="">
      <xdr:nvSpPr>
        <xdr:cNvPr id="86" name="TextBox 85">
          <a:extLst>
            <a:ext uri="{FF2B5EF4-FFF2-40B4-BE49-F238E27FC236}">
              <a16:creationId xmlns:a16="http://schemas.microsoft.com/office/drawing/2014/main" id="{6BF9C1DC-3016-4C9E-89E1-552A0D18616C}"/>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23</xdr:row>
      <xdr:rowOff>0</xdr:rowOff>
    </xdr:from>
    <xdr:ext cx="192763" cy="264560"/>
    <xdr:sp macro="" textlink="">
      <xdr:nvSpPr>
        <xdr:cNvPr id="87" name="TextBox 86">
          <a:extLst>
            <a:ext uri="{FF2B5EF4-FFF2-40B4-BE49-F238E27FC236}">
              <a16:creationId xmlns:a16="http://schemas.microsoft.com/office/drawing/2014/main" id="{8977067F-B499-4DF8-A04B-8BF982593BD6}"/>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24</xdr:row>
      <xdr:rowOff>0</xdr:rowOff>
    </xdr:from>
    <xdr:ext cx="183125" cy="264560"/>
    <xdr:sp macro="" textlink="">
      <xdr:nvSpPr>
        <xdr:cNvPr id="88" name="TextBox 87">
          <a:extLst>
            <a:ext uri="{FF2B5EF4-FFF2-40B4-BE49-F238E27FC236}">
              <a16:creationId xmlns:a16="http://schemas.microsoft.com/office/drawing/2014/main" id="{66ACA1D4-FFD9-4E70-AF15-AF82038D1EA3}"/>
            </a:ext>
          </a:extLst>
        </xdr:cNvPr>
        <xdr:cNvSpPr txBox="1"/>
      </xdr:nvSpPr>
      <xdr:spPr>
        <a:xfrm>
          <a:off x="3348990" y="42100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24</xdr:row>
      <xdr:rowOff>0</xdr:rowOff>
    </xdr:from>
    <xdr:ext cx="184731" cy="271710"/>
    <xdr:sp macro="" textlink="">
      <xdr:nvSpPr>
        <xdr:cNvPr id="89" name="TextBox 88">
          <a:extLst>
            <a:ext uri="{FF2B5EF4-FFF2-40B4-BE49-F238E27FC236}">
              <a16:creationId xmlns:a16="http://schemas.microsoft.com/office/drawing/2014/main" id="{3E98C84B-C994-4CAD-8BC2-1D7AF0CFBD52}"/>
            </a:ext>
          </a:extLst>
        </xdr:cNvPr>
        <xdr:cNvSpPr txBox="1"/>
      </xdr:nvSpPr>
      <xdr:spPr>
        <a:xfrm>
          <a:off x="531495" y="42100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24</xdr:row>
      <xdr:rowOff>0</xdr:rowOff>
    </xdr:from>
    <xdr:ext cx="184731" cy="264560"/>
    <xdr:sp macro="" textlink="">
      <xdr:nvSpPr>
        <xdr:cNvPr id="90" name="TextBox 89">
          <a:extLst>
            <a:ext uri="{FF2B5EF4-FFF2-40B4-BE49-F238E27FC236}">
              <a16:creationId xmlns:a16="http://schemas.microsoft.com/office/drawing/2014/main" id="{FEF89240-DF63-49F2-B247-EED7CD26DCFB}"/>
            </a:ext>
          </a:extLst>
        </xdr:cNvPr>
        <xdr:cNvSpPr txBox="1"/>
      </xdr:nvSpPr>
      <xdr:spPr>
        <a:xfrm>
          <a:off x="5810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24</xdr:row>
      <xdr:rowOff>0</xdr:rowOff>
    </xdr:from>
    <xdr:ext cx="184731" cy="264560"/>
    <xdr:sp macro="" textlink="">
      <xdr:nvSpPr>
        <xdr:cNvPr id="91" name="TextBox 90">
          <a:extLst>
            <a:ext uri="{FF2B5EF4-FFF2-40B4-BE49-F238E27FC236}">
              <a16:creationId xmlns:a16="http://schemas.microsoft.com/office/drawing/2014/main" id="{531E0EFF-F39E-4AD2-93FE-E0A1E32202DC}"/>
            </a:ext>
          </a:extLst>
        </xdr:cNvPr>
        <xdr:cNvSpPr txBox="1"/>
      </xdr:nvSpPr>
      <xdr:spPr>
        <a:xfrm>
          <a:off x="6953250" y="4048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24</xdr:row>
      <xdr:rowOff>0</xdr:rowOff>
    </xdr:from>
    <xdr:ext cx="192763" cy="264560"/>
    <xdr:sp macro="" textlink="">
      <xdr:nvSpPr>
        <xdr:cNvPr id="92" name="TextBox 91">
          <a:extLst>
            <a:ext uri="{FF2B5EF4-FFF2-40B4-BE49-F238E27FC236}">
              <a16:creationId xmlns:a16="http://schemas.microsoft.com/office/drawing/2014/main" id="{4DE2A2F3-FC47-482B-97F7-D192A1CF08EC}"/>
            </a:ext>
          </a:extLst>
        </xdr:cNvPr>
        <xdr:cNvSpPr txBox="1"/>
      </xdr:nvSpPr>
      <xdr:spPr>
        <a:xfrm>
          <a:off x="5806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24</xdr:row>
      <xdr:rowOff>0</xdr:rowOff>
    </xdr:from>
    <xdr:ext cx="192763" cy="264560"/>
    <xdr:sp macro="" textlink="">
      <xdr:nvSpPr>
        <xdr:cNvPr id="93" name="TextBox 92">
          <a:extLst>
            <a:ext uri="{FF2B5EF4-FFF2-40B4-BE49-F238E27FC236}">
              <a16:creationId xmlns:a16="http://schemas.microsoft.com/office/drawing/2014/main" id="{F03C1E12-E4BC-43E7-843F-96878D482A4D}"/>
            </a:ext>
          </a:extLst>
        </xdr:cNvPr>
        <xdr:cNvSpPr txBox="1"/>
      </xdr:nvSpPr>
      <xdr:spPr>
        <a:xfrm>
          <a:off x="69494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24</xdr:row>
      <xdr:rowOff>0</xdr:rowOff>
    </xdr:from>
    <xdr:ext cx="192763" cy="264560"/>
    <xdr:sp macro="" textlink="">
      <xdr:nvSpPr>
        <xdr:cNvPr id="94" name="TextBox 93">
          <a:extLst>
            <a:ext uri="{FF2B5EF4-FFF2-40B4-BE49-F238E27FC236}">
              <a16:creationId xmlns:a16="http://schemas.microsoft.com/office/drawing/2014/main" id="{47D663EE-0780-45ED-9D21-7B8815ED2C88}"/>
            </a:ext>
          </a:extLst>
        </xdr:cNvPr>
        <xdr:cNvSpPr txBox="1"/>
      </xdr:nvSpPr>
      <xdr:spPr>
        <a:xfrm>
          <a:off x="8435340" y="40481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CA34950F-2D1B-4A58-B893-5B7A5C8C4DAA}"/>
            </a:ext>
          </a:extLst>
        </xdr:cNvPr>
        <xdr:cNvSpPr txBox="1"/>
      </xdr:nvSpPr>
      <xdr:spPr>
        <a:xfrm>
          <a:off x="357759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556CF059-E1A4-4E74-979A-63AD121528D7}"/>
            </a:ext>
          </a:extLst>
        </xdr:cNvPr>
        <xdr:cNvSpPr txBox="1"/>
      </xdr:nvSpPr>
      <xdr:spPr>
        <a:xfrm>
          <a:off x="3577590" y="13315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F04EBCA0-460B-439A-B2ED-3EBB8F969169}"/>
            </a:ext>
          </a:extLst>
        </xdr:cNvPr>
        <xdr:cNvSpPr txBox="1"/>
      </xdr:nvSpPr>
      <xdr:spPr>
        <a:xfrm>
          <a:off x="3577590" y="134588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C786D0CC-3B9B-40CC-ABC7-27273ED4CE66}"/>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4BCB9239-C780-4AFD-8232-C14E2FA8AE25}"/>
            </a:ext>
          </a:extLst>
        </xdr:cNvPr>
        <xdr:cNvSpPr txBox="1"/>
      </xdr:nvSpPr>
      <xdr:spPr>
        <a:xfrm>
          <a:off x="3577590" y="13601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A54C886B-219A-4C18-8835-E74C6A9207B5}"/>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29A7A906-84C5-4189-B993-E98AF8DB6D02}"/>
            </a:ext>
          </a:extLst>
        </xdr:cNvPr>
        <xdr:cNvSpPr txBox="1"/>
      </xdr:nvSpPr>
      <xdr:spPr>
        <a:xfrm>
          <a:off x="3577590" y="13744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2F59E499-6FAC-435A-962C-26106BF0A5F5}"/>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A89D7F42-C0E1-46F1-8162-DD28BD003BEA}"/>
            </a:ext>
          </a:extLst>
        </xdr:cNvPr>
        <xdr:cNvSpPr txBox="1"/>
      </xdr:nvSpPr>
      <xdr:spPr>
        <a:xfrm>
          <a:off x="3577590" y="13887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E47F4C76-2E41-4007-B537-3FD0F2AD4FD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8B7C97FB-4E10-4E03-A9A6-7574BB1E2BA5}"/>
            </a:ext>
          </a:extLst>
        </xdr:cNvPr>
        <xdr:cNvSpPr txBox="1"/>
      </xdr:nvSpPr>
      <xdr:spPr>
        <a:xfrm>
          <a:off x="3577590" y="1403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030BCDCC-1BB9-4447-B732-DC6DAD12ACE1}"/>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230A0708-C658-48DF-A5DF-D7377A68724A}"/>
            </a:ext>
          </a:extLst>
        </xdr:cNvPr>
        <xdr:cNvSpPr txBox="1"/>
      </xdr:nvSpPr>
      <xdr:spPr>
        <a:xfrm>
          <a:off x="3577590" y="14173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F6F114DB-3AE1-4DAD-A3BD-F15A810A4E55}"/>
            </a:ext>
          </a:extLst>
        </xdr:cNvPr>
        <xdr:cNvSpPr txBox="1"/>
      </xdr:nvSpPr>
      <xdr:spPr>
        <a:xfrm>
          <a:off x="56959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AEE71ABA-C664-46F1-A7EB-C10DFE51CB9F}"/>
            </a:ext>
          </a:extLst>
        </xdr:cNvPr>
        <xdr:cNvSpPr txBox="1"/>
      </xdr:nvSpPr>
      <xdr:spPr>
        <a:xfrm>
          <a:off x="56959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792FB8AD-D174-4AC9-98B2-8492FD8218B1}"/>
            </a:ext>
          </a:extLst>
        </xdr:cNvPr>
        <xdr:cNvSpPr txBox="1"/>
      </xdr:nvSpPr>
      <xdr:spPr>
        <a:xfrm>
          <a:off x="56959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FFD468C3-F0D0-4DA6-B948-0CD196932C5F}"/>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EF573A72-04A0-47C7-B513-D3EDD29D4A5C}"/>
            </a:ext>
          </a:extLst>
        </xdr:cNvPr>
        <xdr:cNvSpPr txBox="1"/>
      </xdr:nvSpPr>
      <xdr:spPr>
        <a:xfrm>
          <a:off x="56959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84827A43-7ACD-4FEB-A161-BDD3AD2D4A9D}"/>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4A7747F9-4C9A-4B03-A54E-40AFE60D660C}"/>
            </a:ext>
          </a:extLst>
        </xdr:cNvPr>
        <xdr:cNvSpPr txBox="1"/>
      </xdr:nvSpPr>
      <xdr:spPr>
        <a:xfrm>
          <a:off x="56959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F9DCCF97-DCF9-4D9D-ADC8-D3A2DE9C711F}"/>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E7EE0413-BBCB-4176-8A68-668BBF2A5443}"/>
            </a:ext>
          </a:extLst>
        </xdr:cNvPr>
        <xdr:cNvSpPr txBox="1"/>
      </xdr:nvSpPr>
      <xdr:spPr>
        <a:xfrm>
          <a:off x="56959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81609D6E-7DAB-42C3-BE52-16213F11D8FD}"/>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03CA7069-4096-44C5-95B0-3EDA60469D13}"/>
            </a:ext>
          </a:extLst>
        </xdr:cNvPr>
        <xdr:cNvSpPr txBox="1"/>
      </xdr:nvSpPr>
      <xdr:spPr>
        <a:xfrm>
          <a:off x="56959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EACA4D95-1D03-4013-9CF6-ADB2C8C79886}"/>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B901FDC4-FC55-4ED9-A953-D3D3B7AB3D23}"/>
            </a:ext>
          </a:extLst>
        </xdr:cNvPr>
        <xdr:cNvSpPr txBox="1"/>
      </xdr:nvSpPr>
      <xdr:spPr>
        <a:xfrm>
          <a:off x="56959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95F93D88-B714-479F-88F7-2FAB55A6785D}"/>
            </a:ext>
          </a:extLst>
        </xdr:cNvPr>
        <xdr:cNvSpPr txBox="1"/>
      </xdr:nvSpPr>
      <xdr:spPr>
        <a:xfrm>
          <a:off x="7334250" y="1317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B07DDDDB-B8BC-418D-9458-2E8BB10F0967}"/>
            </a:ext>
          </a:extLst>
        </xdr:cNvPr>
        <xdr:cNvSpPr txBox="1"/>
      </xdr:nvSpPr>
      <xdr:spPr>
        <a:xfrm>
          <a:off x="7334250" y="1331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32853973-703F-4612-BF5F-3EB0D4E352CE}"/>
            </a:ext>
          </a:extLst>
        </xdr:cNvPr>
        <xdr:cNvSpPr txBox="1"/>
      </xdr:nvSpPr>
      <xdr:spPr>
        <a:xfrm>
          <a:off x="7334250" y="134588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776A8C55-C201-4FB9-AAA6-38493C1F53A0}"/>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434C78F1-1F9A-4277-B379-01F1CED57EA4}"/>
            </a:ext>
          </a:extLst>
        </xdr:cNvPr>
        <xdr:cNvSpPr txBox="1"/>
      </xdr:nvSpPr>
      <xdr:spPr>
        <a:xfrm>
          <a:off x="7334250" y="136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1382EE3C-4A56-494A-9872-20C243C49FDE}"/>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103659FB-E95A-4EFE-BF69-31BB08EBEAC4}"/>
            </a:ext>
          </a:extLst>
        </xdr:cNvPr>
        <xdr:cNvSpPr txBox="1"/>
      </xdr:nvSpPr>
      <xdr:spPr>
        <a:xfrm>
          <a:off x="7334250" y="1374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C916AA6-6E48-429F-B542-CD0F73B0B916}"/>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FFB6D2BC-0218-448E-A59D-592810783351}"/>
            </a:ext>
          </a:extLst>
        </xdr:cNvPr>
        <xdr:cNvSpPr txBox="1"/>
      </xdr:nvSpPr>
      <xdr:spPr>
        <a:xfrm>
          <a:off x="7334250" y="1388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91168178-A1EE-45D0-8E73-D7FB34581968}"/>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55F8CEBA-1437-401E-8DEA-F2E7082D43E1}"/>
            </a:ext>
          </a:extLst>
        </xdr:cNvPr>
        <xdr:cNvSpPr txBox="1"/>
      </xdr:nvSpPr>
      <xdr:spPr>
        <a:xfrm>
          <a:off x="7334250" y="1403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5DF9C674-DA75-4F27-B9D4-77D035AD3D5B}"/>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EC963DCE-929A-41CD-A1E4-9E2D92562856}"/>
            </a:ext>
          </a:extLst>
        </xdr:cNvPr>
        <xdr:cNvSpPr txBox="1"/>
      </xdr:nvSpPr>
      <xdr:spPr>
        <a:xfrm>
          <a:off x="7334250" y="1417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D893DE3B-45B2-4D9D-BA3B-5E7B9D57C7FA}"/>
            </a:ext>
          </a:extLst>
        </xdr:cNvPr>
        <xdr:cNvSpPr txBox="1"/>
      </xdr:nvSpPr>
      <xdr:spPr>
        <a:xfrm>
          <a:off x="56921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41B35EC6-1761-4ED1-9CA8-E52DA320BC68}"/>
            </a:ext>
          </a:extLst>
        </xdr:cNvPr>
        <xdr:cNvSpPr txBox="1"/>
      </xdr:nvSpPr>
      <xdr:spPr>
        <a:xfrm>
          <a:off x="7330440"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CD935BF5-41FE-42B3-BC0E-40A023EB2534}"/>
            </a:ext>
          </a:extLst>
        </xdr:cNvPr>
        <xdr:cNvSpPr txBox="1"/>
      </xdr:nvSpPr>
      <xdr:spPr>
        <a:xfrm>
          <a:off x="8863965" y="13173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7DAC0E5-1FAF-4788-A706-49156F375720}"/>
            </a:ext>
          </a:extLst>
        </xdr:cNvPr>
        <xdr:cNvSpPr txBox="1"/>
      </xdr:nvSpPr>
      <xdr:spPr>
        <a:xfrm>
          <a:off x="3587115" y="133159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84BF3D05-53EE-4905-8BFF-09C7CC9B368E}"/>
            </a:ext>
          </a:extLst>
        </xdr:cNvPr>
        <xdr:cNvSpPr txBox="1"/>
      </xdr:nvSpPr>
      <xdr:spPr>
        <a:xfrm>
          <a:off x="769620" y="133159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3139440</xdr:colOff>
      <xdr:row>100</xdr:row>
      <xdr:rowOff>0</xdr:rowOff>
    </xdr:from>
    <xdr:ext cx="192763" cy="264560"/>
    <xdr:sp macro="" textlink="">
      <xdr:nvSpPr>
        <xdr:cNvPr id="2" name="TextBox 1">
          <a:extLst>
            <a:ext uri="{FF2B5EF4-FFF2-40B4-BE49-F238E27FC236}">
              <a16:creationId xmlns:a16="http://schemas.microsoft.com/office/drawing/2014/main" id="{195EA89D-D3EF-4217-8390-796130A73DA4}"/>
            </a:ext>
          </a:extLst>
        </xdr:cNvPr>
        <xdr:cNvSpPr txBox="1"/>
      </xdr:nvSpPr>
      <xdr:spPr>
        <a:xfrm>
          <a:off x="3139440"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101</xdr:row>
      <xdr:rowOff>0</xdr:rowOff>
    </xdr:from>
    <xdr:ext cx="192763" cy="264560"/>
    <xdr:sp macro="" textlink="">
      <xdr:nvSpPr>
        <xdr:cNvPr id="3" name="TextBox 2">
          <a:extLst>
            <a:ext uri="{FF2B5EF4-FFF2-40B4-BE49-F238E27FC236}">
              <a16:creationId xmlns:a16="http://schemas.microsoft.com/office/drawing/2014/main" id="{16ED32BD-11D8-458D-8C98-874B81CDE67A}"/>
            </a:ext>
          </a:extLst>
        </xdr:cNvPr>
        <xdr:cNvSpPr txBox="1"/>
      </xdr:nvSpPr>
      <xdr:spPr>
        <a:xfrm>
          <a:off x="3139440" y="15992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102</xdr:row>
      <xdr:rowOff>0</xdr:rowOff>
    </xdr:from>
    <xdr:ext cx="192763" cy="303466"/>
    <xdr:sp macro="" textlink="">
      <xdr:nvSpPr>
        <xdr:cNvPr id="4" name="TextBox 3">
          <a:extLst>
            <a:ext uri="{FF2B5EF4-FFF2-40B4-BE49-F238E27FC236}">
              <a16:creationId xmlns:a16="http://schemas.microsoft.com/office/drawing/2014/main" id="{2EDA2A3A-3625-4BC9-8D30-FF3246CC475A}"/>
            </a:ext>
          </a:extLst>
        </xdr:cNvPr>
        <xdr:cNvSpPr txBox="1"/>
      </xdr:nvSpPr>
      <xdr:spPr>
        <a:xfrm>
          <a:off x="3139440" y="161544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5" name="TextBox 4">
          <a:extLst>
            <a:ext uri="{FF2B5EF4-FFF2-40B4-BE49-F238E27FC236}">
              <a16:creationId xmlns:a16="http://schemas.microsoft.com/office/drawing/2014/main" id="{3DA66DB2-B470-47FE-9CE7-4D5C2FEFCD59}"/>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103</xdr:row>
      <xdr:rowOff>0</xdr:rowOff>
    </xdr:from>
    <xdr:ext cx="192763" cy="264560"/>
    <xdr:sp macro="" textlink="">
      <xdr:nvSpPr>
        <xdr:cNvPr id="6" name="TextBox 5">
          <a:extLst>
            <a:ext uri="{FF2B5EF4-FFF2-40B4-BE49-F238E27FC236}">
              <a16:creationId xmlns:a16="http://schemas.microsoft.com/office/drawing/2014/main" id="{EF6C2687-FAC8-4935-ADEE-0F48C6757F44}"/>
            </a:ext>
          </a:extLst>
        </xdr:cNvPr>
        <xdr:cNvSpPr txBox="1"/>
      </xdr:nvSpPr>
      <xdr:spPr>
        <a:xfrm>
          <a:off x="3139440" y="16316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7" name="TextBox 6">
          <a:extLst>
            <a:ext uri="{FF2B5EF4-FFF2-40B4-BE49-F238E27FC236}">
              <a16:creationId xmlns:a16="http://schemas.microsoft.com/office/drawing/2014/main" id="{D3BC90AB-8D38-4F35-AEFB-A0BD80F1606E}"/>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104</xdr:row>
      <xdr:rowOff>0</xdr:rowOff>
    </xdr:from>
    <xdr:ext cx="192763" cy="264560"/>
    <xdr:sp macro="" textlink="">
      <xdr:nvSpPr>
        <xdr:cNvPr id="8" name="TextBox 7">
          <a:extLst>
            <a:ext uri="{FF2B5EF4-FFF2-40B4-BE49-F238E27FC236}">
              <a16:creationId xmlns:a16="http://schemas.microsoft.com/office/drawing/2014/main" id="{02A0D8A4-010C-40E8-8FE8-377B2D2ACC0B}"/>
            </a:ext>
          </a:extLst>
        </xdr:cNvPr>
        <xdr:cNvSpPr txBox="1"/>
      </xdr:nvSpPr>
      <xdr:spPr>
        <a:xfrm>
          <a:off x="3139440" y="16478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9" name="TextBox 8">
          <a:extLst>
            <a:ext uri="{FF2B5EF4-FFF2-40B4-BE49-F238E27FC236}">
              <a16:creationId xmlns:a16="http://schemas.microsoft.com/office/drawing/2014/main" id="{DA3AF27C-4B57-4FEF-B5C8-59A318B44D6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105</xdr:row>
      <xdr:rowOff>0</xdr:rowOff>
    </xdr:from>
    <xdr:ext cx="192763" cy="264560"/>
    <xdr:sp macro="" textlink="">
      <xdr:nvSpPr>
        <xdr:cNvPr id="10" name="TextBox 9">
          <a:extLst>
            <a:ext uri="{FF2B5EF4-FFF2-40B4-BE49-F238E27FC236}">
              <a16:creationId xmlns:a16="http://schemas.microsoft.com/office/drawing/2014/main" id="{DBD4FF41-E646-403E-A1FE-4375F56C8EEC}"/>
            </a:ext>
          </a:extLst>
        </xdr:cNvPr>
        <xdr:cNvSpPr txBox="1"/>
      </xdr:nvSpPr>
      <xdr:spPr>
        <a:xfrm>
          <a:off x="3139440" y="16640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1" name="TextBox 10">
          <a:extLst>
            <a:ext uri="{FF2B5EF4-FFF2-40B4-BE49-F238E27FC236}">
              <a16:creationId xmlns:a16="http://schemas.microsoft.com/office/drawing/2014/main" id="{F2A6508E-46DC-4B75-B8D8-6DD16050EE97}"/>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106</xdr:row>
      <xdr:rowOff>0</xdr:rowOff>
    </xdr:from>
    <xdr:ext cx="192763" cy="264560"/>
    <xdr:sp macro="" textlink="">
      <xdr:nvSpPr>
        <xdr:cNvPr id="12" name="TextBox 11">
          <a:extLst>
            <a:ext uri="{FF2B5EF4-FFF2-40B4-BE49-F238E27FC236}">
              <a16:creationId xmlns:a16="http://schemas.microsoft.com/office/drawing/2014/main" id="{6575B51C-6475-452A-AF4F-9B818FBCEC95}"/>
            </a:ext>
          </a:extLst>
        </xdr:cNvPr>
        <xdr:cNvSpPr txBox="1"/>
      </xdr:nvSpPr>
      <xdr:spPr>
        <a:xfrm>
          <a:off x="3139440" y="16802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3" name="TextBox 12">
          <a:extLst>
            <a:ext uri="{FF2B5EF4-FFF2-40B4-BE49-F238E27FC236}">
              <a16:creationId xmlns:a16="http://schemas.microsoft.com/office/drawing/2014/main" id="{1D6471C1-B082-4FA1-8C4F-B4B81E424E67}"/>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3139440</xdr:colOff>
      <xdr:row>107</xdr:row>
      <xdr:rowOff>0</xdr:rowOff>
    </xdr:from>
    <xdr:ext cx="192763" cy="264560"/>
    <xdr:sp macro="" textlink="">
      <xdr:nvSpPr>
        <xdr:cNvPr id="14" name="TextBox 13">
          <a:extLst>
            <a:ext uri="{FF2B5EF4-FFF2-40B4-BE49-F238E27FC236}">
              <a16:creationId xmlns:a16="http://schemas.microsoft.com/office/drawing/2014/main" id="{C0924838-96A9-46AC-B5D3-5E38DCAB3ECD}"/>
            </a:ext>
          </a:extLst>
        </xdr:cNvPr>
        <xdr:cNvSpPr txBox="1"/>
      </xdr:nvSpPr>
      <xdr:spPr>
        <a:xfrm>
          <a:off x="3139440" y="16964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100</xdr:row>
      <xdr:rowOff>0</xdr:rowOff>
    </xdr:from>
    <xdr:ext cx="184731" cy="264560"/>
    <xdr:sp macro="" textlink="">
      <xdr:nvSpPr>
        <xdr:cNvPr id="15" name="TextBox 14">
          <a:extLst>
            <a:ext uri="{FF2B5EF4-FFF2-40B4-BE49-F238E27FC236}">
              <a16:creationId xmlns:a16="http://schemas.microsoft.com/office/drawing/2014/main" id="{57B2AA7B-588C-43AB-8BFD-55900601C63F}"/>
            </a:ext>
          </a:extLst>
        </xdr:cNvPr>
        <xdr:cNvSpPr txBox="1"/>
      </xdr:nvSpPr>
      <xdr:spPr>
        <a:xfrm>
          <a:off x="635317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101</xdr:row>
      <xdr:rowOff>0</xdr:rowOff>
    </xdr:from>
    <xdr:ext cx="184731" cy="264560"/>
    <xdr:sp macro="" textlink="">
      <xdr:nvSpPr>
        <xdr:cNvPr id="16" name="TextBox 15">
          <a:extLst>
            <a:ext uri="{FF2B5EF4-FFF2-40B4-BE49-F238E27FC236}">
              <a16:creationId xmlns:a16="http://schemas.microsoft.com/office/drawing/2014/main" id="{898A3C4C-C3AE-4DF6-B533-5AE6507936E0}"/>
            </a:ext>
          </a:extLst>
        </xdr:cNvPr>
        <xdr:cNvSpPr txBox="1"/>
      </xdr:nvSpPr>
      <xdr:spPr>
        <a:xfrm>
          <a:off x="635317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102</xdr:row>
      <xdr:rowOff>0</xdr:rowOff>
    </xdr:from>
    <xdr:ext cx="184731" cy="303466"/>
    <xdr:sp macro="" textlink="">
      <xdr:nvSpPr>
        <xdr:cNvPr id="17" name="TextBox 16">
          <a:extLst>
            <a:ext uri="{FF2B5EF4-FFF2-40B4-BE49-F238E27FC236}">
              <a16:creationId xmlns:a16="http://schemas.microsoft.com/office/drawing/2014/main" id="{DBD5FCC1-3FE7-42FF-A8F8-1FA4FECF57BE}"/>
            </a:ext>
          </a:extLst>
        </xdr:cNvPr>
        <xdr:cNvSpPr txBox="1"/>
      </xdr:nvSpPr>
      <xdr:spPr>
        <a:xfrm>
          <a:off x="635317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8" name="TextBox 17">
          <a:extLst>
            <a:ext uri="{FF2B5EF4-FFF2-40B4-BE49-F238E27FC236}">
              <a16:creationId xmlns:a16="http://schemas.microsoft.com/office/drawing/2014/main" id="{1B115646-DBB7-4C9C-8010-29C52B9E94CF}"/>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103</xdr:row>
      <xdr:rowOff>0</xdr:rowOff>
    </xdr:from>
    <xdr:ext cx="184731" cy="264560"/>
    <xdr:sp macro="" textlink="">
      <xdr:nvSpPr>
        <xdr:cNvPr id="19" name="TextBox 18">
          <a:extLst>
            <a:ext uri="{FF2B5EF4-FFF2-40B4-BE49-F238E27FC236}">
              <a16:creationId xmlns:a16="http://schemas.microsoft.com/office/drawing/2014/main" id="{D240B144-7164-4B3B-8C89-87AE3DFEF701}"/>
            </a:ext>
          </a:extLst>
        </xdr:cNvPr>
        <xdr:cNvSpPr txBox="1"/>
      </xdr:nvSpPr>
      <xdr:spPr>
        <a:xfrm>
          <a:off x="635317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0" name="TextBox 19">
          <a:extLst>
            <a:ext uri="{FF2B5EF4-FFF2-40B4-BE49-F238E27FC236}">
              <a16:creationId xmlns:a16="http://schemas.microsoft.com/office/drawing/2014/main" id="{38547455-02E3-4205-8165-FBDDD3830396}"/>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104</xdr:row>
      <xdr:rowOff>0</xdr:rowOff>
    </xdr:from>
    <xdr:ext cx="184731" cy="264560"/>
    <xdr:sp macro="" textlink="">
      <xdr:nvSpPr>
        <xdr:cNvPr id="21" name="TextBox 20">
          <a:extLst>
            <a:ext uri="{FF2B5EF4-FFF2-40B4-BE49-F238E27FC236}">
              <a16:creationId xmlns:a16="http://schemas.microsoft.com/office/drawing/2014/main" id="{C9CB200D-A4AD-47A2-A54F-ADDB751E212D}"/>
            </a:ext>
          </a:extLst>
        </xdr:cNvPr>
        <xdr:cNvSpPr txBox="1"/>
      </xdr:nvSpPr>
      <xdr:spPr>
        <a:xfrm>
          <a:off x="635317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2" name="TextBox 21">
          <a:extLst>
            <a:ext uri="{FF2B5EF4-FFF2-40B4-BE49-F238E27FC236}">
              <a16:creationId xmlns:a16="http://schemas.microsoft.com/office/drawing/2014/main" id="{938131A0-426D-422A-B0A9-45BBE4B5CA59}"/>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105</xdr:row>
      <xdr:rowOff>0</xdr:rowOff>
    </xdr:from>
    <xdr:ext cx="184731" cy="264560"/>
    <xdr:sp macro="" textlink="">
      <xdr:nvSpPr>
        <xdr:cNvPr id="23" name="TextBox 22">
          <a:extLst>
            <a:ext uri="{FF2B5EF4-FFF2-40B4-BE49-F238E27FC236}">
              <a16:creationId xmlns:a16="http://schemas.microsoft.com/office/drawing/2014/main" id="{15792219-5C40-4A30-8EE1-415A0176EC77}"/>
            </a:ext>
          </a:extLst>
        </xdr:cNvPr>
        <xdr:cNvSpPr txBox="1"/>
      </xdr:nvSpPr>
      <xdr:spPr>
        <a:xfrm>
          <a:off x="635317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4" name="TextBox 23">
          <a:extLst>
            <a:ext uri="{FF2B5EF4-FFF2-40B4-BE49-F238E27FC236}">
              <a16:creationId xmlns:a16="http://schemas.microsoft.com/office/drawing/2014/main" id="{DE29DF1C-C647-4133-99E9-6C5DC8297FA1}"/>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106</xdr:row>
      <xdr:rowOff>0</xdr:rowOff>
    </xdr:from>
    <xdr:ext cx="184731" cy="264560"/>
    <xdr:sp macro="" textlink="">
      <xdr:nvSpPr>
        <xdr:cNvPr id="25" name="TextBox 24">
          <a:extLst>
            <a:ext uri="{FF2B5EF4-FFF2-40B4-BE49-F238E27FC236}">
              <a16:creationId xmlns:a16="http://schemas.microsoft.com/office/drawing/2014/main" id="{23B6D8D8-A74B-417B-A339-21D7D8D563C9}"/>
            </a:ext>
          </a:extLst>
        </xdr:cNvPr>
        <xdr:cNvSpPr txBox="1"/>
      </xdr:nvSpPr>
      <xdr:spPr>
        <a:xfrm>
          <a:off x="635317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6" name="TextBox 25">
          <a:extLst>
            <a:ext uri="{FF2B5EF4-FFF2-40B4-BE49-F238E27FC236}">
              <a16:creationId xmlns:a16="http://schemas.microsoft.com/office/drawing/2014/main" id="{BFF3A8F3-4563-4729-A00C-58D594430E52}"/>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107</xdr:row>
      <xdr:rowOff>0</xdr:rowOff>
    </xdr:from>
    <xdr:ext cx="184731" cy="264560"/>
    <xdr:sp macro="" textlink="">
      <xdr:nvSpPr>
        <xdr:cNvPr id="27" name="TextBox 26">
          <a:extLst>
            <a:ext uri="{FF2B5EF4-FFF2-40B4-BE49-F238E27FC236}">
              <a16:creationId xmlns:a16="http://schemas.microsoft.com/office/drawing/2014/main" id="{94BA6916-B2DC-46BD-B8EE-0FFF49718986}"/>
            </a:ext>
          </a:extLst>
        </xdr:cNvPr>
        <xdr:cNvSpPr txBox="1"/>
      </xdr:nvSpPr>
      <xdr:spPr>
        <a:xfrm>
          <a:off x="635317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8" name="TextBox 27">
          <a:extLst>
            <a:ext uri="{FF2B5EF4-FFF2-40B4-BE49-F238E27FC236}">
              <a16:creationId xmlns:a16="http://schemas.microsoft.com/office/drawing/2014/main" id="{81AB5E05-EF73-48F7-B2E8-51FC9CC233FA}"/>
            </a:ext>
          </a:extLst>
        </xdr:cNvPr>
        <xdr:cNvSpPr txBox="1"/>
      </xdr:nvSpPr>
      <xdr:spPr>
        <a:xfrm>
          <a:off x="7820025" y="1583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9" name="TextBox 28">
          <a:extLst>
            <a:ext uri="{FF2B5EF4-FFF2-40B4-BE49-F238E27FC236}">
              <a16:creationId xmlns:a16="http://schemas.microsoft.com/office/drawing/2014/main" id="{23EDB5B7-3734-4D9B-B847-A77A25DAC4BA}"/>
            </a:ext>
          </a:extLst>
        </xdr:cNvPr>
        <xdr:cNvSpPr txBox="1"/>
      </xdr:nvSpPr>
      <xdr:spPr>
        <a:xfrm>
          <a:off x="7820025" y="1599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102</xdr:row>
      <xdr:rowOff>0</xdr:rowOff>
    </xdr:from>
    <xdr:ext cx="184731" cy="303466"/>
    <xdr:sp macro="" textlink="">
      <xdr:nvSpPr>
        <xdr:cNvPr id="30" name="TextBox 29">
          <a:extLst>
            <a:ext uri="{FF2B5EF4-FFF2-40B4-BE49-F238E27FC236}">
              <a16:creationId xmlns:a16="http://schemas.microsoft.com/office/drawing/2014/main" id="{FBEFCD04-1D58-4398-B6D3-C3453EB156B3}"/>
            </a:ext>
          </a:extLst>
        </xdr:cNvPr>
        <xdr:cNvSpPr txBox="1"/>
      </xdr:nvSpPr>
      <xdr:spPr>
        <a:xfrm>
          <a:off x="7820025" y="161544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1" name="TextBox 30">
          <a:extLst>
            <a:ext uri="{FF2B5EF4-FFF2-40B4-BE49-F238E27FC236}">
              <a16:creationId xmlns:a16="http://schemas.microsoft.com/office/drawing/2014/main" id="{FD2657F3-78FF-45E3-93D3-87E155A0E4A9}"/>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103</xdr:row>
      <xdr:rowOff>0</xdr:rowOff>
    </xdr:from>
    <xdr:ext cx="184731" cy="264560"/>
    <xdr:sp macro="" textlink="">
      <xdr:nvSpPr>
        <xdr:cNvPr id="32" name="TextBox 31">
          <a:extLst>
            <a:ext uri="{FF2B5EF4-FFF2-40B4-BE49-F238E27FC236}">
              <a16:creationId xmlns:a16="http://schemas.microsoft.com/office/drawing/2014/main" id="{6738FD2E-5BE4-4614-AA79-40D22B0FDAA0}"/>
            </a:ext>
          </a:extLst>
        </xdr:cNvPr>
        <xdr:cNvSpPr txBox="1"/>
      </xdr:nvSpPr>
      <xdr:spPr>
        <a:xfrm>
          <a:off x="7820025" y="1631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3" name="TextBox 32">
          <a:extLst>
            <a:ext uri="{FF2B5EF4-FFF2-40B4-BE49-F238E27FC236}">
              <a16:creationId xmlns:a16="http://schemas.microsoft.com/office/drawing/2014/main" id="{A6BF03DB-F202-4827-885F-FAEA23303839}"/>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104</xdr:row>
      <xdr:rowOff>0</xdr:rowOff>
    </xdr:from>
    <xdr:ext cx="184731" cy="264560"/>
    <xdr:sp macro="" textlink="">
      <xdr:nvSpPr>
        <xdr:cNvPr id="34" name="TextBox 33">
          <a:extLst>
            <a:ext uri="{FF2B5EF4-FFF2-40B4-BE49-F238E27FC236}">
              <a16:creationId xmlns:a16="http://schemas.microsoft.com/office/drawing/2014/main" id="{1F38DA8F-4743-43F3-AFCB-585FA9AD06DE}"/>
            </a:ext>
          </a:extLst>
        </xdr:cNvPr>
        <xdr:cNvSpPr txBox="1"/>
      </xdr:nvSpPr>
      <xdr:spPr>
        <a:xfrm>
          <a:off x="7820025" y="1647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5" name="TextBox 34">
          <a:extLst>
            <a:ext uri="{FF2B5EF4-FFF2-40B4-BE49-F238E27FC236}">
              <a16:creationId xmlns:a16="http://schemas.microsoft.com/office/drawing/2014/main" id="{D179418B-2FE8-4A69-8F08-8DCE324C7903}"/>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105</xdr:row>
      <xdr:rowOff>0</xdr:rowOff>
    </xdr:from>
    <xdr:ext cx="184731" cy="264560"/>
    <xdr:sp macro="" textlink="">
      <xdr:nvSpPr>
        <xdr:cNvPr id="36" name="TextBox 35">
          <a:extLst>
            <a:ext uri="{FF2B5EF4-FFF2-40B4-BE49-F238E27FC236}">
              <a16:creationId xmlns:a16="http://schemas.microsoft.com/office/drawing/2014/main" id="{87289C97-68C8-40AA-BCCD-E1D38A0C623D}"/>
            </a:ext>
          </a:extLst>
        </xdr:cNvPr>
        <xdr:cNvSpPr txBox="1"/>
      </xdr:nvSpPr>
      <xdr:spPr>
        <a:xfrm>
          <a:off x="7820025" y="1664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7" name="TextBox 36">
          <a:extLst>
            <a:ext uri="{FF2B5EF4-FFF2-40B4-BE49-F238E27FC236}">
              <a16:creationId xmlns:a16="http://schemas.microsoft.com/office/drawing/2014/main" id="{EF59861E-6688-483D-AFD4-DAEA64F9A80C}"/>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106</xdr:row>
      <xdr:rowOff>0</xdr:rowOff>
    </xdr:from>
    <xdr:ext cx="184731" cy="264560"/>
    <xdr:sp macro="" textlink="">
      <xdr:nvSpPr>
        <xdr:cNvPr id="38" name="TextBox 37">
          <a:extLst>
            <a:ext uri="{FF2B5EF4-FFF2-40B4-BE49-F238E27FC236}">
              <a16:creationId xmlns:a16="http://schemas.microsoft.com/office/drawing/2014/main" id="{956D539D-B7C2-418E-A0CE-84A824FDF7D3}"/>
            </a:ext>
          </a:extLst>
        </xdr:cNvPr>
        <xdr:cNvSpPr txBox="1"/>
      </xdr:nvSpPr>
      <xdr:spPr>
        <a:xfrm>
          <a:off x="7820025" y="1680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39" name="TextBox 38">
          <a:extLst>
            <a:ext uri="{FF2B5EF4-FFF2-40B4-BE49-F238E27FC236}">
              <a16:creationId xmlns:a16="http://schemas.microsoft.com/office/drawing/2014/main" id="{4A0D8075-5BDF-4ECB-9AD9-514667266230}"/>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107</xdr:row>
      <xdr:rowOff>0</xdr:rowOff>
    </xdr:from>
    <xdr:ext cx="184731" cy="264560"/>
    <xdr:sp macro="" textlink="">
      <xdr:nvSpPr>
        <xdr:cNvPr id="40" name="TextBox 39">
          <a:extLst>
            <a:ext uri="{FF2B5EF4-FFF2-40B4-BE49-F238E27FC236}">
              <a16:creationId xmlns:a16="http://schemas.microsoft.com/office/drawing/2014/main" id="{816C8149-A725-43E3-B07F-F8A0607B97C6}"/>
            </a:ext>
          </a:extLst>
        </xdr:cNvPr>
        <xdr:cNvSpPr txBox="1"/>
      </xdr:nvSpPr>
      <xdr:spPr>
        <a:xfrm>
          <a:off x="7820025" y="1696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41" name="TextBox 40">
          <a:extLst>
            <a:ext uri="{FF2B5EF4-FFF2-40B4-BE49-F238E27FC236}">
              <a16:creationId xmlns:a16="http://schemas.microsoft.com/office/drawing/2014/main" id="{41AF2F77-C70D-42F2-B818-3035DC6F39BE}"/>
            </a:ext>
          </a:extLst>
        </xdr:cNvPr>
        <xdr:cNvSpPr txBox="1"/>
      </xdr:nvSpPr>
      <xdr:spPr>
        <a:xfrm>
          <a:off x="63493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100</xdr:row>
      <xdr:rowOff>0</xdr:rowOff>
    </xdr:from>
    <xdr:ext cx="192763" cy="264560"/>
    <xdr:sp macro="" textlink="">
      <xdr:nvSpPr>
        <xdr:cNvPr id="42" name="TextBox 41">
          <a:extLst>
            <a:ext uri="{FF2B5EF4-FFF2-40B4-BE49-F238E27FC236}">
              <a16:creationId xmlns:a16="http://schemas.microsoft.com/office/drawing/2014/main" id="{69DEDD3A-8B7C-4CE9-A017-292FE5FA70CC}"/>
            </a:ext>
          </a:extLst>
        </xdr:cNvPr>
        <xdr:cNvSpPr txBox="1"/>
      </xdr:nvSpPr>
      <xdr:spPr>
        <a:xfrm>
          <a:off x="781621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100</xdr:row>
      <xdr:rowOff>0</xdr:rowOff>
    </xdr:from>
    <xdr:ext cx="192763" cy="264560"/>
    <xdr:sp macro="" textlink="">
      <xdr:nvSpPr>
        <xdr:cNvPr id="43" name="TextBox 42">
          <a:extLst>
            <a:ext uri="{FF2B5EF4-FFF2-40B4-BE49-F238E27FC236}">
              <a16:creationId xmlns:a16="http://schemas.microsoft.com/office/drawing/2014/main" id="{FA674048-8E6F-44F8-9699-BE80739F1173}"/>
            </a:ext>
          </a:extLst>
        </xdr:cNvPr>
        <xdr:cNvSpPr txBox="1"/>
      </xdr:nvSpPr>
      <xdr:spPr>
        <a:xfrm>
          <a:off x="9283065" y="15830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3148965</xdr:colOff>
      <xdr:row>101</xdr:row>
      <xdr:rowOff>0</xdr:rowOff>
    </xdr:from>
    <xdr:ext cx="183125" cy="264560"/>
    <xdr:sp macro="" textlink="">
      <xdr:nvSpPr>
        <xdr:cNvPr id="44" name="TextBox 43">
          <a:extLst>
            <a:ext uri="{FF2B5EF4-FFF2-40B4-BE49-F238E27FC236}">
              <a16:creationId xmlns:a16="http://schemas.microsoft.com/office/drawing/2014/main" id="{3760D578-E9BD-4487-97AD-059B44A15095}"/>
            </a:ext>
          </a:extLst>
        </xdr:cNvPr>
        <xdr:cNvSpPr txBox="1"/>
      </xdr:nvSpPr>
      <xdr:spPr>
        <a:xfrm>
          <a:off x="3148965" y="159924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101</xdr:row>
      <xdr:rowOff>0</xdr:rowOff>
    </xdr:from>
    <xdr:ext cx="184731" cy="271710"/>
    <xdr:sp macro="" textlink="">
      <xdr:nvSpPr>
        <xdr:cNvPr id="45" name="TextBox 44">
          <a:extLst>
            <a:ext uri="{FF2B5EF4-FFF2-40B4-BE49-F238E27FC236}">
              <a16:creationId xmlns:a16="http://schemas.microsoft.com/office/drawing/2014/main" id="{CD38F174-42ED-4C3B-B4AF-CAA755E3657A}"/>
            </a:ext>
          </a:extLst>
        </xdr:cNvPr>
        <xdr:cNvSpPr txBox="1"/>
      </xdr:nvSpPr>
      <xdr:spPr>
        <a:xfrm>
          <a:off x="331470" y="159924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3139440</xdr:colOff>
      <xdr:row>65</xdr:row>
      <xdr:rowOff>0</xdr:rowOff>
    </xdr:from>
    <xdr:ext cx="192763" cy="264560"/>
    <xdr:sp macro="" textlink="">
      <xdr:nvSpPr>
        <xdr:cNvPr id="2" name="TextBox 1">
          <a:extLst>
            <a:ext uri="{FF2B5EF4-FFF2-40B4-BE49-F238E27FC236}">
              <a16:creationId xmlns:a16="http://schemas.microsoft.com/office/drawing/2014/main" id="{F54D0346-1266-4589-B196-8F425D9A6DBA}"/>
            </a:ext>
          </a:extLst>
        </xdr:cNvPr>
        <xdr:cNvSpPr txBox="1"/>
      </xdr:nvSpPr>
      <xdr:spPr>
        <a:xfrm>
          <a:off x="340614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3" name="TextBox 2">
          <a:extLst>
            <a:ext uri="{FF2B5EF4-FFF2-40B4-BE49-F238E27FC236}">
              <a16:creationId xmlns:a16="http://schemas.microsoft.com/office/drawing/2014/main" id="{ADE6F6EF-FB2C-497C-A8A7-8900A76DCB79}"/>
            </a:ext>
          </a:extLst>
        </xdr:cNvPr>
        <xdr:cNvSpPr txBox="1"/>
      </xdr:nvSpPr>
      <xdr:spPr>
        <a:xfrm>
          <a:off x="3406140" y="9420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303466"/>
    <xdr:sp macro="" textlink="">
      <xdr:nvSpPr>
        <xdr:cNvPr id="4" name="TextBox 3">
          <a:extLst>
            <a:ext uri="{FF2B5EF4-FFF2-40B4-BE49-F238E27FC236}">
              <a16:creationId xmlns:a16="http://schemas.microsoft.com/office/drawing/2014/main" id="{29CA3629-9298-4BF4-8E91-4AE294356B28}"/>
            </a:ext>
          </a:extLst>
        </xdr:cNvPr>
        <xdr:cNvSpPr txBox="1"/>
      </xdr:nvSpPr>
      <xdr:spPr>
        <a:xfrm>
          <a:off x="3406140" y="95631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5" name="TextBox 4">
          <a:extLst>
            <a:ext uri="{FF2B5EF4-FFF2-40B4-BE49-F238E27FC236}">
              <a16:creationId xmlns:a16="http://schemas.microsoft.com/office/drawing/2014/main" id="{2EF98F25-7F0C-4C80-9AE5-CF39370CF8AB}"/>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6" name="TextBox 5">
          <a:extLst>
            <a:ext uri="{FF2B5EF4-FFF2-40B4-BE49-F238E27FC236}">
              <a16:creationId xmlns:a16="http://schemas.microsoft.com/office/drawing/2014/main" id="{B43CFECD-F1DF-439A-BF17-32B6DF1534B5}"/>
            </a:ext>
          </a:extLst>
        </xdr:cNvPr>
        <xdr:cNvSpPr txBox="1"/>
      </xdr:nvSpPr>
      <xdr:spPr>
        <a:xfrm>
          <a:off x="3406140" y="9705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7" name="TextBox 6">
          <a:extLst>
            <a:ext uri="{FF2B5EF4-FFF2-40B4-BE49-F238E27FC236}">
              <a16:creationId xmlns:a16="http://schemas.microsoft.com/office/drawing/2014/main" id="{DB5775AD-0F45-4E08-BAD8-1AA394A662B8}"/>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8" name="TextBox 7">
          <a:extLst>
            <a:ext uri="{FF2B5EF4-FFF2-40B4-BE49-F238E27FC236}">
              <a16:creationId xmlns:a16="http://schemas.microsoft.com/office/drawing/2014/main" id="{6A804479-1561-4DD0-9FDA-29715CC10EB1}"/>
            </a:ext>
          </a:extLst>
        </xdr:cNvPr>
        <xdr:cNvSpPr txBox="1"/>
      </xdr:nvSpPr>
      <xdr:spPr>
        <a:xfrm>
          <a:off x="3406140" y="9848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9" name="TextBox 8">
          <a:extLst>
            <a:ext uri="{FF2B5EF4-FFF2-40B4-BE49-F238E27FC236}">
              <a16:creationId xmlns:a16="http://schemas.microsoft.com/office/drawing/2014/main" id="{22ABB17F-B52D-4510-AB57-0167D7873C41}"/>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0" name="TextBox 9">
          <a:extLst>
            <a:ext uri="{FF2B5EF4-FFF2-40B4-BE49-F238E27FC236}">
              <a16:creationId xmlns:a16="http://schemas.microsoft.com/office/drawing/2014/main" id="{05D17BDE-F795-430B-AA27-822AF5134F18}"/>
            </a:ext>
          </a:extLst>
        </xdr:cNvPr>
        <xdr:cNvSpPr txBox="1"/>
      </xdr:nvSpPr>
      <xdr:spPr>
        <a:xfrm>
          <a:off x="3406140" y="9991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1" name="TextBox 10">
          <a:extLst>
            <a:ext uri="{FF2B5EF4-FFF2-40B4-BE49-F238E27FC236}">
              <a16:creationId xmlns:a16="http://schemas.microsoft.com/office/drawing/2014/main" id="{694FADEB-FE8E-4B78-B541-122011A189E1}"/>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12" name="TextBox 11">
          <a:extLst>
            <a:ext uri="{FF2B5EF4-FFF2-40B4-BE49-F238E27FC236}">
              <a16:creationId xmlns:a16="http://schemas.microsoft.com/office/drawing/2014/main" id="{B5670E4A-3EA5-461C-856A-D9EFEC504DD3}"/>
            </a:ext>
          </a:extLst>
        </xdr:cNvPr>
        <xdr:cNvSpPr txBox="1"/>
      </xdr:nvSpPr>
      <xdr:spPr>
        <a:xfrm>
          <a:off x="3406140" y="10134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3" name="TextBox 12">
          <a:extLst>
            <a:ext uri="{FF2B5EF4-FFF2-40B4-BE49-F238E27FC236}">
              <a16:creationId xmlns:a16="http://schemas.microsoft.com/office/drawing/2014/main" id="{D484C197-7701-4280-9F47-75C134E013F1}"/>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14" name="TextBox 13">
          <a:extLst>
            <a:ext uri="{FF2B5EF4-FFF2-40B4-BE49-F238E27FC236}">
              <a16:creationId xmlns:a16="http://schemas.microsoft.com/office/drawing/2014/main" id="{6F696E40-219B-4300-8C80-87E03E9ECCF0}"/>
            </a:ext>
          </a:extLst>
        </xdr:cNvPr>
        <xdr:cNvSpPr txBox="1"/>
      </xdr:nvSpPr>
      <xdr:spPr>
        <a:xfrm>
          <a:off x="3406140" y="10277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15" name="TextBox 14">
          <a:extLst>
            <a:ext uri="{FF2B5EF4-FFF2-40B4-BE49-F238E27FC236}">
              <a16:creationId xmlns:a16="http://schemas.microsoft.com/office/drawing/2014/main" id="{14B72D3C-BD6B-4723-81FC-4BFE876C2EF5}"/>
            </a:ext>
          </a:extLst>
        </xdr:cNvPr>
        <xdr:cNvSpPr txBox="1"/>
      </xdr:nvSpPr>
      <xdr:spPr>
        <a:xfrm>
          <a:off x="41910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16" name="TextBox 15">
          <a:extLst>
            <a:ext uri="{FF2B5EF4-FFF2-40B4-BE49-F238E27FC236}">
              <a16:creationId xmlns:a16="http://schemas.microsoft.com/office/drawing/2014/main" id="{14D6941C-91E6-409C-AA18-DF30EA3B497B}"/>
            </a:ext>
          </a:extLst>
        </xdr:cNvPr>
        <xdr:cNvSpPr txBox="1"/>
      </xdr:nvSpPr>
      <xdr:spPr>
        <a:xfrm>
          <a:off x="41910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67</xdr:row>
      <xdr:rowOff>0</xdr:rowOff>
    </xdr:from>
    <xdr:ext cx="184731" cy="303466"/>
    <xdr:sp macro="" textlink="">
      <xdr:nvSpPr>
        <xdr:cNvPr id="17" name="TextBox 16">
          <a:extLst>
            <a:ext uri="{FF2B5EF4-FFF2-40B4-BE49-F238E27FC236}">
              <a16:creationId xmlns:a16="http://schemas.microsoft.com/office/drawing/2014/main" id="{30F9CFB1-0807-4DDA-848E-DB1E54275CC5}"/>
            </a:ext>
          </a:extLst>
        </xdr:cNvPr>
        <xdr:cNvSpPr txBox="1"/>
      </xdr:nvSpPr>
      <xdr:spPr>
        <a:xfrm>
          <a:off x="41910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8" name="TextBox 17">
          <a:extLst>
            <a:ext uri="{FF2B5EF4-FFF2-40B4-BE49-F238E27FC236}">
              <a16:creationId xmlns:a16="http://schemas.microsoft.com/office/drawing/2014/main" id="{785E4BE8-80E9-4A3D-A4B7-5AC89F8C4127}"/>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68</xdr:row>
      <xdr:rowOff>0</xdr:rowOff>
    </xdr:from>
    <xdr:ext cx="184731" cy="264560"/>
    <xdr:sp macro="" textlink="">
      <xdr:nvSpPr>
        <xdr:cNvPr id="19" name="TextBox 18">
          <a:extLst>
            <a:ext uri="{FF2B5EF4-FFF2-40B4-BE49-F238E27FC236}">
              <a16:creationId xmlns:a16="http://schemas.microsoft.com/office/drawing/2014/main" id="{AFD07432-88EC-4174-9F56-4E408F658A7B}"/>
            </a:ext>
          </a:extLst>
        </xdr:cNvPr>
        <xdr:cNvSpPr txBox="1"/>
      </xdr:nvSpPr>
      <xdr:spPr>
        <a:xfrm>
          <a:off x="41910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0" name="TextBox 19">
          <a:extLst>
            <a:ext uri="{FF2B5EF4-FFF2-40B4-BE49-F238E27FC236}">
              <a16:creationId xmlns:a16="http://schemas.microsoft.com/office/drawing/2014/main" id="{34851E89-36F1-43C9-975A-894994DFD616}"/>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1" name="TextBox 20">
          <a:extLst>
            <a:ext uri="{FF2B5EF4-FFF2-40B4-BE49-F238E27FC236}">
              <a16:creationId xmlns:a16="http://schemas.microsoft.com/office/drawing/2014/main" id="{4D975FDB-03FC-4AA6-9C66-C43208A9C284}"/>
            </a:ext>
          </a:extLst>
        </xdr:cNvPr>
        <xdr:cNvSpPr txBox="1"/>
      </xdr:nvSpPr>
      <xdr:spPr>
        <a:xfrm>
          <a:off x="41910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2" name="TextBox 21">
          <a:extLst>
            <a:ext uri="{FF2B5EF4-FFF2-40B4-BE49-F238E27FC236}">
              <a16:creationId xmlns:a16="http://schemas.microsoft.com/office/drawing/2014/main" id="{D34C29FD-12C6-41A5-918B-23EE15D0FCB4}"/>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3" name="TextBox 22">
          <a:extLst>
            <a:ext uri="{FF2B5EF4-FFF2-40B4-BE49-F238E27FC236}">
              <a16:creationId xmlns:a16="http://schemas.microsoft.com/office/drawing/2014/main" id="{5ECC6709-63AC-4D7B-BD95-F9B664AE9F48}"/>
            </a:ext>
          </a:extLst>
        </xdr:cNvPr>
        <xdr:cNvSpPr txBox="1"/>
      </xdr:nvSpPr>
      <xdr:spPr>
        <a:xfrm>
          <a:off x="41910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4" name="TextBox 23">
          <a:extLst>
            <a:ext uri="{FF2B5EF4-FFF2-40B4-BE49-F238E27FC236}">
              <a16:creationId xmlns:a16="http://schemas.microsoft.com/office/drawing/2014/main" id="{DB5A4876-E486-42D4-922C-74C1C93C8EA9}"/>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71</xdr:row>
      <xdr:rowOff>0</xdr:rowOff>
    </xdr:from>
    <xdr:ext cx="184731" cy="264560"/>
    <xdr:sp macro="" textlink="">
      <xdr:nvSpPr>
        <xdr:cNvPr id="25" name="TextBox 24">
          <a:extLst>
            <a:ext uri="{FF2B5EF4-FFF2-40B4-BE49-F238E27FC236}">
              <a16:creationId xmlns:a16="http://schemas.microsoft.com/office/drawing/2014/main" id="{E700C6E6-D31B-4C5E-BD53-784390E6794F}"/>
            </a:ext>
          </a:extLst>
        </xdr:cNvPr>
        <xdr:cNvSpPr txBox="1"/>
      </xdr:nvSpPr>
      <xdr:spPr>
        <a:xfrm>
          <a:off x="41910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6" name="TextBox 25">
          <a:extLst>
            <a:ext uri="{FF2B5EF4-FFF2-40B4-BE49-F238E27FC236}">
              <a16:creationId xmlns:a16="http://schemas.microsoft.com/office/drawing/2014/main" id="{76FECDE6-B667-4EB9-A725-252B6CD263F2}"/>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7" name="TextBox 26">
          <a:extLst>
            <a:ext uri="{FF2B5EF4-FFF2-40B4-BE49-F238E27FC236}">
              <a16:creationId xmlns:a16="http://schemas.microsoft.com/office/drawing/2014/main" id="{4FD44500-3D27-4D17-A86B-559ED5F3F260}"/>
            </a:ext>
          </a:extLst>
        </xdr:cNvPr>
        <xdr:cNvSpPr txBox="1"/>
      </xdr:nvSpPr>
      <xdr:spPr>
        <a:xfrm>
          <a:off x="41910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28" name="TextBox 27">
          <a:extLst>
            <a:ext uri="{FF2B5EF4-FFF2-40B4-BE49-F238E27FC236}">
              <a16:creationId xmlns:a16="http://schemas.microsoft.com/office/drawing/2014/main" id="{04ED87C6-4659-466F-A4A0-04BCB406EFC6}"/>
            </a:ext>
          </a:extLst>
        </xdr:cNvPr>
        <xdr:cNvSpPr txBox="1"/>
      </xdr:nvSpPr>
      <xdr:spPr>
        <a:xfrm>
          <a:off x="5791200" y="927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29" name="TextBox 28">
          <a:extLst>
            <a:ext uri="{FF2B5EF4-FFF2-40B4-BE49-F238E27FC236}">
              <a16:creationId xmlns:a16="http://schemas.microsoft.com/office/drawing/2014/main" id="{D86FFBFA-AF62-44AA-9B14-152533124C8C}"/>
            </a:ext>
          </a:extLst>
        </xdr:cNvPr>
        <xdr:cNvSpPr txBox="1"/>
      </xdr:nvSpPr>
      <xdr:spPr>
        <a:xfrm>
          <a:off x="5791200" y="942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67</xdr:row>
      <xdr:rowOff>0</xdr:rowOff>
    </xdr:from>
    <xdr:ext cx="184731" cy="303466"/>
    <xdr:sp macro="" textlink="">
      <xdr:nvSpPr>
        <xdr:cNvPr id="30" name="TextBox 29">
          <a:extLst>
            <a:ext uri="{FF2B5EF4-FFF2-40B4-BE49-F238E27FC236}">
              <a16:creationId xmlns:a16="http://schemas.microsoft.com/office/drawing/2014/main" id="{4894EFB6-1349-4F43-B66B-2A9AA3216CE0}"/>
            </a:ext>
          </a:extLst>
        </xdr:cNvPr>
        <xdr:cNvSpPr txBox="1"/>
      </xdr:nvSpPr>
      <xdr:spPr>
        <a:xfrm>
          <a:off x="5791200" y="95631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1" name="TextBox 30">
          <a:extLst>
            <a:ext uri="{FF2B5EF4-FFF2-40B4-BE49-F238E27FC236}">
              <a16:creationId xmlns:a16="http://schemas.microsoft.com/office/drawing/2014/main" id="{BBF27742-E7EE-4ECA-8FD9-6759CE7C029A}"/>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68</xdr:row>
      <xdr:rowOff>0</xdr:rowOff>
    </xdr:from>
    <xdr:ext cx="184731" cy="264560"/>
    <xdr:sp macro="" textlink="">
      <xdr:nvSpPr>
        <xdr:cNvPr id="32" name="TextBox 31">
          <a:extLst>
            <a:ext uri="{FF2B5EF4-FFF2-40B4-BE49-F238E27FC236}">
              <a16:creationId xmlns:a16="http://schemas.microsoft.com/office/drawing/2014/main" id="{7F564930-5FD5-412B-84D5-8759063E2F38}"/>
            </a:ext>
          </a:extLst>
        </xdr:cNvPr>
        <xdr:cNvSpPr txBox="1"/>
      </xdr:nvSpPr>
      <xdr:spPr>
        <a:xfrm>
          <a:off x="5791200" y="970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3" name="TextBox 32">
          <a:extLst>
            <a:ext uri="{FF2B5EF4-FFF2-40B4-BE49-F238E27FC236}">
              <a16:creationId xmlns:a16="http://schemas.microsoft.com/office/drawing/2014/main" id="{E1CCADA4-8AAB-4ADA-8084-E61521B04DE5}"/>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4" name="TextBox 33">
          <a:extLst>
            <a:ext uri="{FF2B5EF4-FFF2-40B4-BE49-F238E27FC236}">
              <a16:creationId xmlns:a16="http://schemas.microsoft.com/office/drawing/2014/main" id="{85F3B72A-A586-4093-8A83-90C38D16B5DA}"/>
            </a:ext>
          </a:extLst>
        </xdr:cNvPr>
        <xdr:cNvSpPr txBox="1"/>
      </xdr:nvSpPr>
      <xdr:spPr>
        <a:xfrm>
          <a:off x="5791200"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5" name="TextBox 34">
          <a:extLst>
            <a:ext uri="{FF2B5EF4-FFF2-40B4-BE49-F238E27FC236}">
              <a16:creationId xmlns:a16="http://schemas.microsoft.com/office/drawing/2014/main" id="{B0978CBC-7F79-4EF7-A22C-03DDF85E6305}"/>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6" name="TextBox 35">
          <a:extLst>
            <a:ext uri="{FF2B5EF4-FFF2-40B4-BE49-F238E27FC236}">
              <a16:creationId xmlns:a16="http://schemas.microsoft.com/office/drawing/2014/main" id="{914BD1B4-CD34-4E53-AE0D-FE344A4E8C4A}"/>
            </a:ext>
          </a:extLst>
        </xdr:cNvPr>
        <xdr:cNvSpPr txBox="1"/>
      </xdr:nvSpPr>
      <xdr:spPr>
        <a:xfrm>
          <a:off x="5791200" y="999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7" name="TextBox 36">
          <a:extLst>
            <a:ext uri="{FF2B5EF4-FFF2-40B4-BE49-F238E27FC236}">
              <a16:creationId xmlns:a16="http://schemas.microsoft.com/office/drawing/2014/main" id="{B0FB4C95-9D65-4EBA-8A9F-4C9F71D503F5}"/>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71</xdr:row>
      <xdr:rowOff>0</xdr:rowOff>
    </xdr:from>
    <xdr:ext cx="184731" cy="264560"/>
    <xdr:sp macro="" textlink="">
      <xdr:nvSpPr>
        <xdr:cNvPr id="38" name="TextBox 37">
          <a:extLst>
            <a:ext uri="{FF2B5EF4-FFF2-40B4-BE49-F238E27FC236}">
              <a16:creationId xmlns:a16="http://schemas.microsoft.com/office/drawing/2014/main" id="{D91BA401-21C0-44CD-A09B-CB8D8C9B3652}"/>
            </a:ext>
          </a:extLst>
        </xdr:cNvPr>
        <xdr:cNvSpPr txBox="1"/>
      </xdr:nvSpPr>
      <xdr:spPr>
        <a:xfrm>
          <a:off x="5791200" y="1013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9" name="TextBox 38">
          <a:extLst>
            <a:ext uri="{FF2B5EF4-FFF2-40B4-BE49-F238E27FC236}">
              <a16:creationId xmlns:a16="http://schemas.microsoft.com/office/drawing/2014/main" id="{CACD638F-D044-4CE8-B5D8-54A4F4F17504}"/>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40" name="TextBox 39">
          <a:extLst>
            <a:ext uri="{FF2B5EF4-FFF2-40B4-BE49-F238E27FC236}">
              <a16:creationId xmlns:a16="http://schemas.microsoft.com/office/drawing/2014/main" id="{864F720F-F359-4DBC-B04C-72D42822FD10}"/>
            </a:ext>
          </a:extLst>
        </xdr:cNvPr>
        <xdr:cNvSpPr txBox="1"/>
      </xdr:nvSpPr>
      <xdr:spPr>
        <a:xfrm>
          <a:off x="5791200" y="1027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65</xdr:row>
      <xdr:rowOff>0</xdr:rowOff>
    </xdr:from>
    <xdr:ext cx="192763" cy="264560"/>
    <xdr:sp macro="" textlink="">
      <xdr:nvSpPr>
        <xdr:cNvPr id="41" name="TextBox 40">
          <a:extLst>
            <a:ext uri="{FF2B5EF4-FFF2-40B4-BE49-F238E27FC236}">
              <a16:creationId xmlns:a16="http://schemas.microsoft.com/office/drawing/2014/main" id="{C3350FF5-E49E-4851-86C8-10B575FC23C4}"/>
            </a:ext>
          </a:extLst>
        </xdr:cNvPr>
        <xdr:cNvSpPr txBox="1"/>
      </xdr:nvSpPr>
      <xdr:spPr>
        <a:xfrm>
          <a:off x="41871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65</xdr:row>
      <xdr:rowOff>0</xdr:rowOff>
    </xdr:from>
    <xdr:ext cx="192763" cy="264560"/>
    <xdr:sp macro="" textlink="">
      <xdr:nvSpPr>
        <xdr:cNvPr id="42" name="TextBox 41">
          <a:extLst>
            <a:ext uri="{FF2B5EF4-FFF2-40B4-BE49-F238E27FC236}">
              <a16:creationId xmlns:a16="http://schemas.microsoft.com/office/drawing/2014/main" id="{EC616837-D561-4467-9543-E7026B4A8ADE}"/>
            </a:ext>
          </a:extLst>
        </xdr:cNvPr>
        <xdr:cNvSpPr txBox="1"/>
      </xdr:nvSpPr>
      <xdr:spPr>
        <a:xfrm>
          <a:off x="57873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65</xdr:row>
      <xdr:rowOff>0</xdr:rowOff>
    </xdr:from>
    <xdr:ext cx="192763" cy="264560"/>
    <xdr:sp macro="" textlink="">
      <xdr:nvSpPr>
        <xdr:cNvPr id="43" name="TextBox 42">
          <a:extLst>
            <a:ext uri="{FF2B5EF4-FFF2-40B4-BE49-F238E27FC236}">
              <a16:creationId xmlns:a16="http://schemas.microsoft.com/office/drawing/2014/main" id="{70F11666-7907-4947-8E40-3827B4BD625F}"/>
            </a:ext>
          </a:extLst>
        </xdr:cNvPr>
        <xdr:cNvSpPr txBox="1"/>
      </xdr:nvSpPr>
      <xdr:spPr>
        <a:xfrm>
          <a:off x="7387590" y="92773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66</xdr:row>
      <xdr:rowOff>0</xdr:rowOff>
    </xdr:from>
    <xdr:ext cx="183125" cy="264560"/>
    <xdr:sp macro="" textlink="">
      <xdr:nvSpPr>
        <xdr:cNvPr id="44" name="TextBox 43">
          <a:extLst>
            <a:ext uri="{FF2B5EF4-FFF2-40B4-BE49-F238E27FC236}">
              <a16:creationId xmlns:a16="http://schemas.microsoft.com/office/drawing/2014/main" id="{A4215125-B6E4-4657-9449-D72FA11E63A8}"/>
            </a:ext>
          </a:extLst>
        </xdr:cNvPr>
        <xdr:cNvSpPr txBox="1"/>
      </xdr:nvSpPr>
      <xdr:spPr>
        <a:xfrm>
          <a:off x="3415665" y="9420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66</xdr:row>
      <xdr:rowOff>0</xdr:rowOff>
    </xdr:from>
    <xdr:ext cx="184731" cy="271710"/>
    <xdr:sp macro="" textlink="">
      <xdr:nvSpPr>
        <xdr:cNvPr id="45" name="TextBox 44">
          <a:extLst>
            <a:ext uri="{FF2B5EF4-FFF2-40B4-BE49-F238E27FC236}">
              <a16:creationId xmlns:a16="http://schemas.microsoft.com/office/drawing/2014/main" id="{56DAA063-AEEB-46D4-B677-926AAAF9DF42}"/>
            </a:ext>
          </a:extLst>
        </xdr:cNvPr>
        <xdr:cNvSpPr txBox="1"/>
      </xdr:nvSpPr>
      <xdr:spPr>
        <a:xfrm>
          <a:off x="598170" y="9420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567690</xdr:colOff>
      <xdr:row>65</xdr:row>
      <xdr:rowOff>85725</xdr:rowOff>
    </xdr:from>
    <xdr:ext cx="192763" cy="264560"/>
    <xdr:sp macro="" textlink="">
      <xdr:nvSpPr>
        <xdr:cNvPr id="46" name="TextBox 45">
          <a:extLst>
            <a:ext uri="{FF2B5EF4-FFF2-40B4-BE49-F238E27FC236}">
              <a16:creationId xmlns:a16="http://schemas.microsoft.com/office/drawing/2014/main" id="{9085F5B9-6A7C-4F6E-8859-4279D549429F}"/>
            </a:ext>
          </a:extLst>
        </xdr:cNvPr>
        <xdr:cNvSpPr txBox="1"/>
      </xdr:nvSpPr>
      <xdr:spPr>
        <a:xfrm>
          <a:off x="6358890" y="10782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3139440</xdr:colOff>
      <xdr:row>15</xdr:row>
      <xdr:rowOff>0</xdr:rowOff>
    </xdr:from>
    <xdr:ext cx="192763" cy="264560"/>
    <xdr:sp macro="" textlink="">
      <xdr:nvSpPr>
        <xdr:cNvPr id="2" name="TextBox 1">
          <a:extLst>
            <a:ext uri="{FF2B5EF4-FFF2-40B4-BE49-F238E27FC236}">
              <a16:creationId xmlns:a16="http://schemas.microsoft.com/office/drawing/2014/main" id="{8086EC04-F5F9-40C5-A0F1-537EFE4DC853}"/>
            </a:ext>
          </a:extLst>
        </xdr:cNvPr>
        <xdr:cNvSpPr txBox="1"/>
      </xdr:nvSpPr>
      <xdr:spPr>
        <a:xfrm>
          <a:off x="33585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16</xdr:row>
      <xdr:rowOff>0</xdr:rowOff>
    </xdr:from>
    <xdr:ext cx="192763" cy="264560"/>
    <xdr:sp macro="" textlink="">
      <xdr:nvSpPr>
        <xdr:cNvPr id="3" name="TextBox 2">
          <a:extLst>
            <a:ext uri="{FF2B5EF4-FFF2-40B4-BE49-F238E27FC236}">
              <a16:creationId xmlns:a16="http://schemas.microsoft.com/office/drawing/2014/main" id="{0299C877-8147-4E8B-8A96-1378FF45638C}"/>
            </a:ext>
          </a:extLst>
        </xdr:cNvPr>
        <xdr:cNvSpPr txBox="1"/>
      </xdr:nvSpPr>
      <xdr:spPr>
        <a:xfrm>
          <a:off x="3358515" y="2162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17</xdr:row>
      <xdr:rowOff>0</xdr:rowOff>
    </xdr:from>
    <xdr:ext cx="192763" cy="303466"/>
    <xdr:sp macro="" textlink="">
      <xdr:nvSpPr>
        <xdr:cNvPr id="4" name="TextBox 3">
          <a:extLst>
            <a:ext uri="{FF2B5EF4-FFF2-40B4-BE49-F238E27FC236}">
              <a16:creationId xmlns:a16="http://schemas.microsoft.com/office/drawing/2014/main" id="{7B735423-E405-44B0-B966-9AAF712CD2DE}"/>
            </a:ext>
          </a:extLst>
        </xdr:cNvPr>
        <xdr:cNvSpPr txBox="1"/>
      </xdr:nvSpPr>
      <xdr:spPr>
        <a:xfrm>
          <a:off x="3358515" y="23050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5" name="TextBox 4">
          <a:extLst>
            <a:ext uri="{FF2B5EF4-FFF2-40B4-BE49-F238E27FC236}">
              <a16:creationId xmlns:a16="http://schemas.microsoft.com/office/drawing/2014/main" id="{1DEEF216-D7F4-481E-ACD6-F22A4FAA6E16}"/>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18</xdr:row>
      <xdr:rowOff>0</xdr:rowOff>
    </xdr:from>
    <xdr:ext cx="192763" cy="264560"/>
    <xdr:sp macro="" textlink="">
      <xdr:nvSpPr>
        <xdr:cNvPr id="6" name="TextBox 5">
          <a:extLst>
            <a:ext uri="{FF2B5EF4-FFF2-40B4-BE49-F238E27FC236}">
              <a16:creationId xmlns:a16="http://schemas.microsoft.com/office/drawing/2014/main" id="{B52740D6-C315-4DEA-B3EC-B48FBEE826F2}"/>
            </a:ext>
          </a:extLst>
        </xdr:cNvPr>
        <xdr:cNvSpPr txBox="1"/>
      </xdr:nvSpPr>
      <xdr:spPr>
        <a:xfrm>
          <a:off x="3358515" y="2447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7" name="TextBox 6">
          <a:extLst>
            <a:ext uri="{FF2B5EF4-FFF2-40B4-BE49-F238E27FC236}">
              <a16:creationId xmlns:a16="http://schemas.microsoft.com/office/drawing/2014/main" id="{AEC1975A-9087-4B15-A021-DA4416FA7A77}"/>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19</xdr:row>
      <xdr:rowOff>0</xdr:rowOff>
    </xdr:from>
    <xdr:ext cx="192763" cy="264560"/>
    <xdr:sp macro="" textlink="">
      <xdr:nvSpPr>
        <xdr:cNvPr id="8" name="TextBox 7">
          <a:extLst>
            <a:ext uri="{FF2B5EF4-FFF2-40B4-BE49-F238E27FC236}">
              <a16:creationId xmlns:a16="http://schemas.microsoft.com/office/drawing/2014/main" id="{D1A85599-95F8-41D6-9C29-E840641B44B2}"/>
            </a:ext>
          </a:extLst>
        </xdr:cNvPr>
        <xdr:cNvSpPr txBox="1"/>
      </xdr:nvSpPr>
      <xdr:spPr>
        <a:xfrm>
          <a:off x="3358515" y="259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9" name="TextBox 8">
          <a:extLst>
            <a:ext uri="{FF2B5EF4-FFF2-40B4-BE49-F238E27FC236}">
              <a16:creationId xmlns:a16="http://schemas.microsoft.com/office/drawing/2014/main" id="{EC2C5E32-85EF-497B-B19A-486E3FA0C119}"/>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20</xdr:row>
      <xdr:rowOff>0</xdr:rowOff>
    </xdr:from>
    <xdr:ext cx="192763" cy="264560"/>
    <xdr:sp macro="" textlink="">
      <xdr:nvSpPr>
        <xdr:cNvPr id="10" name="TextBox 9">
          <a:extLst>
            <a:ext uri="{FF2B5EF4-FFF2-40B4-BE49-F238E27FC236}">
              <a16:creationId xmlns:a16="http://schemas.microsoft.com/office/drawing/2014/main" id="{F8A21582-AC60-4C51-8424-23622AA3809F}"/>
            </a:ext>
          </a:extLst>
        </xdr:cNvPr>
        <xdr:cNvSpPr txBox="1"/>
      </xdr:nvSpPr>
      <xdr:spPr>
        <a:xfrm>
          <a:off x="3358515" y="27336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1" name="TextBox 10">
          <a:extLst>
            <a:ext uri="{FF2B5EF4-FFF2-40B4-BE49-F238E27FC236}">
              <a16:creationId xmlns:a16="http://schemas.microsoft.com/office/drawing/2014/main" id="{96110E5A-8BD0-40A4-9E25-658C78E0CDD7}"/>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21</xdr:row>
      <xdr:rowOff>0</xdr:rowOff>
    </xdr:from>
    <xdr:ext cx="192763" cy="264560"/>
    <xdr:sp macro="" textlink="">
      <xdr:nvSpPr>
        <xdr:cNvPr id="12" name="TextBox 11">
          <a:extLst>
            <a:ext uri="{FF2B5EF4-FFF2-40B4-BE49-F238E27FC236}">
              <a16:creationId xmlns:a16="http://schemas.microsoft.com/office/drawing/2014/main" id="{A6EAF18F-FC37-4C8E-8085-504C77C06173}"/>
            </a:ext>
          </a:extLst>
        </xdr:cNvPr>
        <xdr:cNvSpPr txBox="1"/>
      </xdr:nvSpPr>
      <xdr:spPr>
        <a:xfrm>
          <a:off x="3358515" y="2876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3" name="TextBox 12">
          <a:extLst>
            <a:ext uri="{FF2B5EF4-FFF2-40B4-BE49-F238E27FC236}">
              <a16:creationId xmlns:a16="http://schemas.microsoft.com/office/drawing/2014/main" id="{EC6C74EE-9242-4549-A6FD-47F453513381}"/>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14" name="TextBox 13">
          <a:extLst>
            <a:ext uri="{FF2B5EF4-FFF2-40B4-BE49-F238E27FC236}">
              <a16:creationId xmlns:a16="http://schemas.microsoft.com/office/drawing/2014/main" id="{F11A9F5D-B21D-4C74-8839-561F49E929CB}"/>
            </a:ext>
          </a:extLst>
        </xdr:cNvPr>
        <xdr:cNvSpPr txBox="1"/>
      </xdr:nvSpPr>
      <xdr:spPr>
        <a:xfrm>
          <a:off x="3358515" y="30194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15</xdr:row>
      <xdr:rowOff>0</xdr:rowOff>
    </xdr:from>
    <xdr:ext cx="184731" cy="264560"/>
    <xdr:sp macro="" textlink="">
      <xdr:nvSpPr>
        <xdr:cNvPr id="15" name="TextBox 14">
          <a:extLst>
            <a:ext uri="{FF2B5EF4-FFF2-40B4-BE49-F238E27FC236}">
              <a16:creationId xmlns:a16="http://schemas.microsoft.com/office/drawing/2014/main" id="{A72C0008-2F40-4ADC-A2C9-D2BCD37EAA29}"/>
            </a:ext>
          </a:extLst>
        </xdr:cNvPr>
        <xdr:cNvSpPr txBox="1"/>
      </xdr:nvSpPr>
      <xdr:spPr>
        <a:xfrm>
          <a:off x="404812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16</xdr:row>
      <xdr:rowOff>0</xdr:rowOff>
    </xdr:from>
    <xdr:ext cx="184731" cy="264560"/>
    <xdr:sp macro="" textlink="">
      <xdr:nvSpPr>
        <xdr:cNvPr id="16" name="TextBox 15">
          <a:extLst>
            <a:ext uri="{FF2B5EF4-FFF2-40B4-BE49-F238E27FC236}">
              <a16:creationId xmlns:a16="http://schemas.microsoft.com/office/drawing/2014/main" id="{1806FAA3-1F47-42DB-AF8B-F3C92E26CCDB}"/>
            </a:ext>
          </a:extLst>
        </xdr:cNvPr>
        <xdr:cNvSpPr txBox="1"/>
      </xdr:nvSpPr>
      <xdr:spPr>
        <a:xfrm>
          <a:off x="404812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17</xdr:row>
      <xdr:rowOff>0</xdr:rowOff>
    </xdr:from>
    <xdr:ext cx="184731" cy="303466"/>
    <xdr:sp macro="" textlink="">
      <xdr:nvSpPr>
        <xdr:cNvPr id="17" name="TextBox 16">
          <a:extLst>
            <a:ext uri="{FF2B5EF4-FFF2-40B4-BE49-F238E27FC236}">
              <a16:creationId xmlns:a16="http://schemas.microsoft.com/office/drawing/2014/main" id="{F8B0790C-4972-4173-AB96-0D2A564E1D66}"/>
            </a:ext>
          </a:extLst>
        </xdr:cNvPr>
        <xdr:cNvSpPr txBox="1"/>
      </xdr:nvSpPr>
      <xdr:spPr>
        <a:xfrm>
          <a:off x="404812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8" name="TextBox 17">
          <a:extLst>
            <a:ext uri="{FF2B5EF4-FFF2-40B4-BE49-F238E27FC236}">
              <a16:creationId xmlns:a16="http://schemas.microsoft.com/office/drawing/2014/main" id="{72268188-E438-404C-B175-FEEE2170845F}"/>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18</xdr:row>
      <xdr:rowOff>0</xdr:rowOff>
    </xdr:from>
    <xdr:ext cx="184731" cy="264560"/>
    <xdr:sp macro="" textlink="">
      <xdr:nvSpPr>
        <xdr:cNvPr id="19" name="TextBox 18">
          <a:extLst>
            <a:ext uri="{FF2B5EF4-FFF2-40B4-BE49-F238E27FC236}">
              <a16:creationId xmlns:a16="http://schemas.microsoft.com/office/drawing/2014/main" id="{38894E35-A7FF-4EEE-8B9A-1D7CE5A432F1}"/>
            </a:ext>
          </a:extLst>
        </xdr:cNvPr>
        <xdr:cNvSpPr txBox="1"/>
      </xdr:nvSpPr>
      <xdr:spPr>
        <a:xfrm>
          <a:off x="404812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0" name="TextBox 19">
          <a:extLst>
            <a:ext uri="{FF2B5EF4-FFF2-40B4-BE49-F238E27FC236}">
              <a16:creationId xmlns:a16="http://schemas.microsoft.com/office/drawing/2014/main" id="{08D023CF-38F7-4D35-97A7-5FA16E81654E}"/>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19</xdr:row>
      <xdr:rowOff>0</xdr:rowOff>
    </xdr:from>
    <xdr:ext cx="184731" cy="264560"/>
    <xdr:sp macro="" textlink="">
      <xdr:nvSpPr>
        <xdr:cNvPr id="21" name="TextBox 20">
          <a:extLst>
            <a:ext uri="{FF2B5EF4-FFF2-40B4-BE49-F238E27FC236}">
              <a16:creationId xmlns:a16="http://schemas.microsoft.com/office/drawing/2014/main" id="{1A2296E5-342B-4F91-9CEE-0013CD7F8383}"/>
            </a:ext>
          </a:extLst>
        </xdr:cNvPr>
        <xdr:cNvSpPr txBox="1"/>
      </xdr:nvSpPr>
      <xdr:spPr>
        <a:xfrm>
          <a:off x="404812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2" name="TextBox 21">
          <a:extLst>
            <a:ext uri="{FF2B5EF4-FFF2-40B4-BE49-F238E27FC236}">
              <a16:creationId xmlns:a16="http://schemas.microsoft.com/office/drawing/2014/main" id="{DFF3D0EB-4868-4A1B-AC50-8914A9A3D7FD}"/>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20</xdr:row>
      <xdr:rowOff>0</xdr:rowOff>
    </xdr:from>
    <xdr:ext cx="184731" cy="264560"/>
    <xdr:sp macro="" textlink="">
      <xdr:nvSpPr>
        <xdr:cNvPr id="23" name="TextBox 22">
          <a:extLst>
            <a:ext uri="{FF2B5EF4-FFF2-40B4-BE49-F238E27FC236}">
              <a16:creationId xmlns:a16="http://schemas.microsoft.com/office/drawing/2014/main" id="{3DA20FB6-889E-4744-8CE0-466D13A64A11}"/>
            </a:ext>
          </a:extLst>
        </xdr:cNvPr>
        <xdr:cNvSpPr txBox="1"/>
      </xdr:nvSpPr>
      <xdr:spPr>
        <a:xfrm>
          <a:off x="404812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4" name="TextBox 23">
          <a:extLst>
            <a:ext uri="{FF2B5EF4-FFF2-40B4-BE49-F238E27FC236}">
              <a16:creationId xmlns:a16="http://schemas.microsoft.com/office/drawing/2014/main" id="{32A30B37-3B12-4FE0-9FAB-F967CF59DC7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21</xdr:row>
      <xdr:rowOff>0</xdr:rowOff>
    </xdr:from>
    <xdr:ext cx="184731" cy="264560"/>
    <xdr:sp macro="" textlink="">
      <xdr:nvSpPr>
        <xdr:cNvPr id="25" name="TextBox 24">
          <a:extLst>
            <a:ext uri="{FF2B5EF4-FFF2-40B4-BE49-F238E27FC236}">
              <a16:creationId xmlns:a16="http://schemas.microsoft.com/office/drawing/2014/main" id="{EBB2AEAC-8E0B-4B74-9401-1EE046610491}"/>
            </a:ext>
          </a:extLst>
        </xdr:cNvPr>
        <xdr:cNvSpPr txBox="1"/>
      </xdr:nvSpPr>
      <xdr:spPr>
        <a:xfrm>
          <a:off x="404812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6" name="TextBox 25">
          <a:extLst>
            <a:ext uri="{FF2B5EF4-FFF2-40B4-BE49-F238E27FC236}">
              <a16:creationId xmlns:a16="http://schemas.microsoft.com/office/drawing/2014/main" id="{6D69E6A7-7502-41C0-999D-6C341BECA1DA}"/>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27" name="TextBox 26">
          <a:extLst>
            <a:ext uri="{FF2B5EF4-FFF2-40B4-BE49-F238E27FC236}">
              <a16:creationId xmlns:a16="http://schemas.microsoft.com/office/drawing/2014/main" id="{A72F17C8-AFB5-484B-88B3-74C3EF48144E}"/>
            </a:ext>
          </a:extLst>
        </xdr:cNvPr>
        <xdr:cNvSpPr txBox="1"/>
      </xdr:nvSpPr>
      <xdr:spPr>
        <a:xfrm>
          <a:off x="404812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15</xdr:row>
      <xdr:rowOff>0</xdr:rowOff>
    </xdr:from>
    <xdr:ext cx="184731" cy="264560"/>
    <xdr:sp macro="" textlink="">
      <xdr:nvSpPr>
        <xdr:cNvPr id="28" name="TextBox 27">
          <a:extLst>
            <a:ext uri="{FF2B5EF4-FFF2-40B4-BE49-F238E27FC236}">
              <a16:creationId xmlns:a16="http://schemas.microsoft.com/office/drawing/2014/main" id="{E1323089-5DAA-450D-B868-8345F42CCFDC}"/>
            </a:ext>
          </a:extLst>
        </xdr:cNvPr>
        <xdr:cNvSpPr txBox="1"/>
      </xdr:nvSpPr>
      <xdr:spPr>
        <a:xfrm>
          <a:off x="5438775" y="201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16</xdr:row>
      <xdr:rowOff>0</xdr:rowOff>
    </xdr:from>
    <xdr:ext cx="184731" cy="264560"/>
    <xdr:sp macro="" textlink="">
      <xdr:nvSpPr>
        <xdr:cNvPr id="29" name="TextBox 28">
          <a:extLst>
            <a:ext uri="{FF2B5EF4-FFF2-40B4-BE49-F238E27FC236}">
              <a16:creationId xmlns:a16="http://schemas.microsoft.com/office/drawing/2014/main" id="{18426401-35D3-4801-958C-4FED9CC05B31}"/>
            </a:ext>
          </a:extLst>
        </xdr:cNvPr>
        <xdr:cNvSpPr txBox="1"/>
      </xdr:nvSpPr>
      <xdr:spPr>
        <a:xfrm>
          <a:off x="5438775" y="216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17</xdr:row>
      <xdr:rowOff>0</xdr:rowOff>
    </xdr:from>
    <xdr:ext cx="184731" cy="303466"/>
    <xdr:sp macro="" textlink="">
      <xdr:nvSpPr>
        <xdr:cNvPr id="30" name="TextBox 29">
          <a:extLst>
            <a:ext uri="{FF2B5EF4-FFF2-40B4-BE49-F238E27FC236}">
              <a16:creationId xmlns:a16="http://schemas.microsoft.com/office/drawing/2014/main" id="{B55D1204-DA84-483B-9088-58B5DEFE6063}"/>
            </a:ext>
          </a:extLst>
        </xdr:cNvPr>
        <xdr:cNvSpPr txBox="1"/>
      </xdr:nvSpPr>
      <xdr:spPr>
        <a:xfrm>
          <a:off x="5438775" y="23050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1" name="TextBox 30">
          <a:extLst>
            <a:ext uri="{FF2B5EF4-FFF2-40B4-BE49-F238E27FC236}">
              <a16:creationId xmlns:a16="http://schemas.microsoft.com/office/drawing/2014/main" id="{14D6BDD2-871C-432C-B2A1-205235ED80CA}"/>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18</xdr:row>
      <xdr:rowOff>0</xdr:rowOff>
    </xdr:from>
    <xdr:ext cx="184731" cy="264560"/>
    <xdr:sp macro="" textlink="">
      <xdr:nvSpPr>
        <xdr:cNvPr id="32" name="TextBox 31">
          <a:extLst>
            <a:ext uri="{FF2B5EF4-FFF2-40B4-BE49-F238E27FC236}">
              <a16:creationId xmlns:a16="http://schemas.microsoft.com/office/drawing/2014/main" id="{D00FF246-3723-44C7-A7B3-A4A0E3C3628B}"/>
            </a:ext>
          </a:extLst>
        </xdr:cNvPr>
        <xdr:cNvSpPr txBox="1"/>
      </xdr:nvSpPr>
      <xdr:spPr>
        <a:xfrm>
          <a:off x="5438775" y="244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3" name="TextBox 32">
          <a:extLst>
            <a:ext uri="{FF2B5EF4-FFF2-40B4-BE49-F238E27FC236}">
              <a16:creationId xmlns:a16="http://schemas.microsoft.com/office/drawing/2014/main" id="{958C396A-7712-4DD4-9343-4DBF52A7BBDC}"/>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19</xdr:row>
      <xdr:rowOff>0</xdr:rowOff>
    </xdr:from>
    <xdr:ext cx="184731" cy="264560"/>
    <xdr:sp macro="" textlink="">
      <xdr:nvSpPr>
        <xdr:cNvPr id="34" name="TextBox 33">
          <a:extLst>
            <a:ext uri="{FF2B5EF4-FFF2-40B4-BE49-F238E27FC236}">
              <a16:creationId xmlns:a16="http://schemas.microsoft.com/office/drawing/2014/main" id="{B48FC2BE-A3FD-48DB-8D0E-F8D06F7E9427}"/>
            </a:ext>
          </a:extLst>
        </xdr:cNvPr>
        <xdr:cNvSpPr txBox="1"/>
      </xdr:nvSpPr>
      <xdr:spPr>
        <a:xfrm>
          <a:off x="5438775" y="259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5" name="TextBox 34">
          <a:extLst>
            <a:ext uri="{FF2B5EF4-FFF2-40B4-BE49-F238E27FC236}">
              <a16:creationId xmlns:a16="http://schemas.microsoft.com/office/drawing/2014/main" id="{361AAFD5-DC35-46D6-B033-F9FD95C1F66B}"/>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20</xdr:row>
      <xdr:rowOff>0</xdr:rowOff>
    </xdr:from>
    <xdr:ext cx="184731" cy="264560"/>
    <xdr:sp macro="" textlink="">
      <xdr:nvSpPr>
        <xdr:cNvPr id="36" name="TextBox 35">
          <a:extLst>
            <a:ext uri="{FF2B5EF4-FFF2-40B4-BE49-F238E27FC236}">
              <a16:creationId xmlns:a16="http://schemas.microsoft.com/office/drawing/2014/main" id="{AF8DB8B3-996C-4DF3-B30A-252275685708}"/>
            </a:ext>
          </a:extLst>
        </xdr:cNvPr>
        <xdr:cNvSpPr txBox="1"/>
      </xdr:nvSpPr>
      <xdr:spPr>
        <a:xfrm>
          <a:off x="5438775" y="273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7" name="TextBox 36">
          <a:extLst>
            <a:ext uri="{FF2B5EF4-FFF2-40B4-BE49-F238E27FC236}">
              <a16:creationId xmlns:a16="http://schemas.microsoft.com/office/drawing/2014/main" id="{BE2D5E67-F8F6-458A-B4F8-8A32BCC42DEF}"/>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21</xdr:row>
      <xdr:rowOff>0</xdr:rowOff>
    </xdr:from>
    <xdr:ext cx="184731" cy="264560"/>
    <xdr:sp macro="" textlink="">
      <xdr:nvSpPr>
        <xdr:cNvPr id="38" name="TextBox 37">
          <a:extLst>
            <a:ext uri="{FF2B5EF4-FFF2-40B4-BE49-F238E27FC236}">
              <a16:creationId xmlns:a16="http://schemas.microsoft.com/office/drawing/2014/main" id="{559F37AE-A604-4814-ABED-351B766A2416}"/>
            </a:ext>
          </a:extLst>
        </xdr:cNvPr>
        <xdr:cNvSpPr txBox="1"/>
      </xdr:nvSpPr>
      <xdr:spPr>
        <a:xfrm>
          <a:off x="5438775" y="287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9" name="TextBox 38">
          <a:extLst>
            <a:ext uri="{FF2B5EF4-FFF2-40B4-BE49-F238E27FC236}">
              <a16:creationId xmlns:a16="http://schemas.microsoft.com/office/drawing/2014/main" id="{A8D91A47-5788-4C77-BE98-ED58C3EA60FE}"/>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40" name="TextBox 39">
          <a:extLst>
            <a:ext uri="{FF2B5EF4-FFF2-40B4-BE49-F238E27FC236}">
              <a16:creationId xmlns:a16="http://schemas.microsoft.com/office/drawing/2014/main" id="{623B3EEC-F391-4505-BC9B-1353A7AD1B3F}"/>
            </a:ext>
          </a:extLst>
        </xdr:cNvPr>
        <xdr:cNvSpPr txBox="1"/>
      </xdr:nvSpPr>
      <xdr:spPr>
        <a:xfrm>
          <a:off x="5438775"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15</xdr:row>
      <xdr:rowOff>0</xdr:rowOff>
    </xdr:from>
    <xdr:ext cx="192763" cy="264560"/>
    <xdr:sp macro="" textlink="">
      <xdr:nvSpPr>
        <xdr:cNvPr id="41" name="TextBox 40">
          <a:extLst>
            <a:ext uri="{FF2B5EF4-FFF2-40B4-BE49-F238E27FC236}">
              <a16:creationId xmlns:a16="http://schemas.microsoft.com/office/drawing/2014/main" id="{3EF66F62-589A-47AE-A5C3-A7E279209665}"/>
            </a:ext>
          </a:extLst>
        </xdr:cNvPr>
        <xdr:cNvSpPr txBox="1"/>
      </xdr:nvSpPr>
      <xdr:spPr>
        <a:xfrm>
          <a:off x="404431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15</xdr:row>
      <xdr:rowOff>0</xdr:rowOff>
    </xdr:from>
    <xdr:ext cx="192763" cy="264560"/>
    <xdr:sp macro="" textlink="">
      <xdr:nvSpPr>
        <xdr:cNvPr id="42" name="TextBox 41">
          <a:extLst>
            <a:ext uri="{FF2B5EF4-FFF2-40B4-BE49-F238E27FC236}">
              <a16:creationId xmlns:a16="http://schemas.microsoft.com/office/drawing/2014/main" id="{64F3F953-B209-4FC7-B120-4C773E33603E}"/>
            </a:ext>
          </a:extLst>
        </xdr:cNvPr>
        <xdr:cNvSpPr txBox="1"/>
      </xdr:nvSpPr>
      <xdr:spPr>
        <a:xfrm>
          <a:off x="54349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15</xdr:row>
      <xdr:rowOff>0</xdr:rowOff>
    </xdr:from>
    <xdr:ext cx="192763" cy="264560"/>
    <xdr:sp macro="" textlink="">
      <xdr:nvSpPr>
        <xdr:cNvPr id="43" name="TextBox 42">
          <a:extLst>
            <a:ext uri="{FF2B5EF4-FFF2-40B4-BE49-F238E27FC236}">
              <a16:creationId xmlns:a16="http://schemas.microsoft.com/office/drawing/2014/main" id="{D8E515FE-935B-4909-BC5C-C4D97EF260F8}"/>
            </a:ext>
          </a:extLst>
        </xdr:cNvPr>
        <xdr:cNvSpPr txBox="1"/>
      </xdr:nvSpPr>
      <xdr:spPr>
        <a:xfrm>
          <a:off x="669226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16</xdr:row>
      <xdr:rowOff>0</xdr:rowOff>
    </xdr:from>
    <xdr:ext cx="183125" cy="264560"/>
    <xdr:sp macro="" textlink="">
      <xdr:nvSpPr>
        <xdr:cNvPr id="44" name="TextBox 43">
          <a:extLst>
            <a:ext uri="{FF2B5EF4-FFF2-40B4-BE49-F238E27FC236}">
              <a16:creationId xmlns:a16="http://schemas.microsoft.com/office/drawing/2014/main" id="{7E707ED2-107F-4C9D-AEEE-C4F40832E9D8}"/>
            </a:ext>
          </a:extLst>
        </xdr:cNvPr>
        <xdr:cNvSpPr txBox="1"/>
      </xdr:nvSpPr>
      <xdr:spPr>
        <a:xfrm>
          <a:off x="3368040" y="21621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16</xdr:row>
      <xdr:rowOff>0</xdr:rowOff>
    </xdr:from>
    <xdr:ext cx="184731" cy="271710"/>
    <xdr:sp macro="" textlink="">
      <xdr:nvSpPr>
        <xdr:cNvPr id="45" name="TextBox 44">
          <a:extLst>
            <a:ext uri="{FF2B5EF4-FFF2-40B4-BE49-F238E27FC236}">
              <a16:creationId xmlns:a16="http://schemas.microsoft.com/office/drawing/2014/main" id="{9E489AB2-3195-4E04-B251-7EAEE384EE63}"/>
            </a:ext>
          </a:extLst>
        </xdr:cNvPr>
        <xdr:cNvSpPr txBox="1"/>
      </xdr:nvSpPr>
      <xdr:spPr>
        <a:xfrm>
          <a:off x="550545" y="21621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3139440</xdr:colOff>
      <xdr:row>37</xdr:row>
      <xdr:rowOff>0</xdr:rowOff>
    </xdr:from>
    <xdr:ext cx="192763" cy="264560"/>
    <xdr:sp macro="" textlink="">
      <xdr:nvSpPr>
        <xdr:cNvPr id="2" name="TextBox 1">
          <a:extLst>
            <a:ext uri="{FF2B5EF4-FFF2-40B4-BE49-F238E27FC236}">
              <a16:creationId xmlns:a16="http://schemas.microsoft.com/office/drawing/2014/main" id="{12D00C50-74A0-477A-B2AB-DB96641209AC}"/>
            </a:ext>
          </a:extLst>
        </xdr:cNvPr>
        <xdr:cNvSpPr txBox="1"/>
      </xdr:nvSpPr>
      <xdr:spPr>
        <a:xfrm>
          <a:off x="25393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3" name="TextBox 2">
          <a:extLst>
            <a:ext uri="{FF2B5EF4-FFF2-40B4-BE49-F238E27FC236}">
              <a16:creationId xmlns:a16="http://schemas.microsoft.com/office/drawing/2014/main" id="{96D74057-23A8-4940-9292-7FCC5143D84C}"/>
            </a:ext>
          </a:extLst>
        </xdr:cNvPr>
        <xdr:cNvSpPr txBox="1"/>
      </xdr:nvSpPr>
      <xdr:spPr>
        <a:xfrm>
          <a:off x="2539365" y="2952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39</xdr:row>
      <xdr:rowOff>0</xdr:rowOff>
    </xdr:from>
    <xdr:ext cx="192763" cy="303466"/>
    <xdr:sp macro="" textlink="">
      <xdr:nvSpPr>
        <xdr:cNvPr id="4" name="TextBox 3">
          <a:extLst>
            <a:ext uri="{FF2B5EF4-FFF2-40B4-BE49-F238E27FC236}">
              <a16:creationId xmlns:a16="http://schemas.microsoft.com/office/drawing/2014/main" id="{8D380990-9412-4B6C-9EB7-090202C8E5A9}"/>
            </a:ext>
          </a:extLst>
        </xdr:cNvPr>
        <xdr:cNvSpPr txBox="1"/>
      </xdr:nvSpPr>
      <xdr:spPr>
        <a:xfrm>
          <a:off x="2539365" y="3114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5" name="TextBox 4">
          <a:extLst>
            <a:ext uri="{FF2B5EF4-FFF2-40B4-BE49-F238E27FC236}">
              <a16:creationId xmlns:a16="http://schemas.microsoft.com/office/drawing/2014/main" id="{15A4A373-406E-4E33-831E-2C25C9A1FD55}"/>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40</xdr:row>
      <xdr:rowOff>0</xdr:rowOff>
    </xdr:from>
    <xdr:ext cx="192763" cy="264560"/>
    <xdr:sp macro="" textlink="">
      <xdr:nvSpPr>
        <xdr:cNvPr id="6" name="TextBox 5">
          <a:extLst>
            <a:ext uri="{FF2B5EF4-FFF2-40B4-BE49-F238E27FC236}">
              <a16:creationId xmlns:a16="http://schemas.microsoft.com/office/drawing/2014/main" id="{D2919DCA-6131-4BA4-9471-699C1978B510}"/>
            </a:ext>
          </a:extLst>
        </xdr:cNvPr>
        <xdr:cNvSpPr txBox="1"/>
      </xdr:nvSpPr>
      <xdr:spPr>
        <a:xfrm>
          <a:off x="2539365" y="3276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7" name="TextBox 6">
          <a:extLst>
            <a:ext uri="{FF2B5EF4-FFF2-40B4-BE49-F238E27FC236}">
              <a16:creationId xmlns:a16="http://schemas.microsoft.com/office/drawing/2014/main" id="{5297D387-D159-4B9A-9708-0B2098BAB1D0}"/>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41</xdr:row>
      <xdr:rowOff>0</xdr:rowOff>
    </xdr:from>
    <xdr:ext cx="192763" cy="264560"/>
    <xdr:sp macro="" textlink="">
      <xdr:nvSpPr>
        <xdr:cNvPr id="8" name="TextBox 7">
          <a:extLst>
            <a:ext uri="{FF2B5EF4-FFF2-40B4-BE49-F238E27FC236}">
              <a16:creationId xmlns:a16="http://schemas.microsoft.com/office/drawing/2014/main" id="{430239A7-7B70-4068-9D51-0B899574AE2B}"/>
            </a:ext>
          </a:extLst>
        </xdr:cNvPr>
        <xdr:cNvSpPr txBox="1"/>
      </xdr:nvSpPr>
      <xdr:spPr>
        <a:xfrm>
          <a:off x="2539365" y="3438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9" name="TextBox 8">
          <a:extLst>
            <a:ext uri="{FF2B5EF4-FFF2-40B4-BE49-F238E27FC236}">
              <a16:creationId xmlns:a16="http://schemas.microsoft.com/office/drawing/2014/main" id="{283FE5FD-0655-4C52-AAC0-04D0DF021CC4}"/>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42</xdr:row>
      <xdr:rowOff>0</xdr:rowOff>
    </xdr:from>
    <xdr:ext cx="192763" cy="264560"/>
    <xdr:sp macro="" textlink="">
      <xdr:nvSpPr>
        <xdr:cNvPr id="10" name="TextBox 9">
          <a:extLst>
            <a:ext uri="{FF2B5EF4-FFF2-40B4-BE49-F238E27FC236}">
              <a16:creationId xmlns:a16="http://schemas.microsoft.com/office/drawing/2014/main" id="{B9428833-BD0A-4E7A-A4DF-BDE8E8C11D1B}"/>
            </a:ext>
          </a:extLst>
        </xdr:cNvPr>
        <xdr:cNvSpPr txBox="1"/>
      </xdr:nvSpPr>
      <xdr:spPr>
        <a:xfrm>
          <a:off x="2539365" y="3600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1" name="TextBox 10">
          <a:extLst>
            <a:ext uri="{FF2B5EF4-FFF2-40B4-BE49-F238E27FC236}">
              <a16:creationId xmlns:a16="http://schemas.microsoft.com/office/drawing/2014/main" id="{AA88D7EE-B9B2-4C05-9E3E-D75AD588F694}"/>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12" name="TextBox 11">
          <a:extLst>
            <a:ext uri="{FF2B5EF4-FFF2-40B4-BE49-F238E27FC236}">
              <a16:creationId xmlns:a16="http://schemas.microsoft.com/office/drawing/2014/main" id="{7F88E034-7373-42E2-BC82-F16A7775707B}"/>
            </a:ext>
          </a:extLst>
        </xdr:cNvPr>
        <xdr:cNvSpPr txBox="1"/>
      </xdr:nvSpPr>
      <xdr:spPr>
        <a:xfrm>
          <a:off x="2539365" y="3762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3" name="TextBox 12">
          <a:extLst>
            <a:ext uri="{FF2B5EF4-FFF2-40B4-BE49-F238E27FC236}">
              <a16:creationId xmlns:a16="http://schemas.microsoft.com/office/drawing/2014/main" id="{90DDE6FA-0F9A-44C9-A075-C8335503E6AE}"/>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264560"/>
    <xdr:sp macro="" textlink="">
      <xdr:nvSpPr>
        <xdr:cNvPr id="14" name="TextBox 13">
          <a:extLst>
            <a:ext uri="{FF2B5EF4-FFF2-40B4-BE49-F238E27FC236}">
              <a16:creationId xmlns:a16="http://schemas.microsoft.com/office/drawing/2014/main" id="{20CEC64B-D663-494D-964E-AB08E2821780}"/>
            </a:ext>
          </a:extLst>
        </xdr:cNvPr>
        <xdr:cNvSpPr txBox="1"/>
      </xdr:nvSpPr>
      <xdr:spPr>
        <a:xfrm>
          <a:off x="2539365" y="3924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37</xdr:row>
      <xdr:rowOff>0</xdr:rowOff>
    </xdr:from>
    <xdr:ext cx="184731" cy="264560"/>
    <xdr:sp macro="" textlink="">
      <xdr:nvSpPr>
        <xdr:cNvPr id="15" name="TextBox 14">
          <a:extLst>
            <a:ext uri="{FF2B5EF4-FFF2-40B4-BE49-F238E27FC236}">
              <a16:creationId xmlns:a16="http://schemas.microsoft.com/office/drawing/2014/main" id="{FF936DCB-74F3-43F3-AFCC-1916E8DFE9BA}"/>
            </a:ext>
          </a:extLst>
        </xdr:cNvPr>
        <xdr:cNvSpPr txBox="1"/>
      </xdr:nvSpPr>
      <xdr:spPr>
        <a:xfrm>
          <a:off x="3219450"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38</xdr:row>
      <xdr:rowOff>0</xdr:rowOff>
    </xdr:from>
    <xdr:ext cx="184731" cy="264560"/>
    <xdr:sp macro="" textlink="">
      <xdr:nvSpPr>
        <xdr:cNvPr id="16" name="TextBox 15">
          <a:extLst>
            <a:ext uri="{FF2B5EF4-FFF2-40B4-BE49-F238E27FC236}">
              <a16:creationId xmlns:a16="http://schemas.microsoft.com/office/drawing/2014/main" id="{AD0159CD-776B-46DD-91E2-3680F7F63EB1}"/>
            </a:ext>
          </a:extLst>
        </xdr:cNvPr>
        <xdr:cNvSpPr txBox="1"/>
      </xdr:nvSpPr>
      <xdr:spPr>
        <a:xfrm>
          <a:off x="3219450"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39</xdr:row>
      <xdr:rowOff>0</xdr:rowOff>
    </xdr:from>
    <xdr:ext cx="184731" cy="303466"/>
    <xdr:sp macro="" textlink="">
      <xdr:nvSpPr>
        <xdr:cNvPr id="17" name="TextBox 16">
          <a:extLst>
            <a:ext uri="{FF2B5EF4-FFF2-40B4-BE49-F238E27FC236}">
              <a16:creationId xmlns:a16="http://schemas.microsoft.com/office/drawing/2014/main" id="{186DC35C-4193-4022-B909-7FBB02450D79}"/>
            </a:ext>
          </a:extLst>
        </xdr:cNvPr>
        <xdr:cNvSpPr txBox="1"/>
      </xdr:nvSpPr>
      <xdr:spPr>
        <a:xfrm>
          <a:off x="3219450"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8" name="TextBox 17">
          <a:extLst>
            <a:ext uri="{FF2B5EF4-FFF2-40B4-BE49-F238E27FC236}">
              <a16:creationId xmlns:a16="http://schemas.microsoft.com/office/drawing/2014/main" id="{40CF3E89-9EF1-416D-9D11-EEB63D9DCF73}"/>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40</xdr:row>
      <xdr:rowOff>0</xdr:rowOff>
    </xdr:from>
    <xdr:ext cx="184731" cy="264560"/>
    <xdr:sp macro="" textlink="">
      <xdr:nvSpPr>
        <xdr:cNvPr id="19" name="TextBox 18">
          <a:extLst>
            <a:ext uri="{FF2B5EF4-FFF2-40B4-BE49-F238E27FC236}">
              <a16:creationId xmlns:a16="http://schemas.microsoft.com/office/drawing/2014/main" id="{F25A8E09-735A-4738-A8BC-AEEDD3A3829D}"/>
            </a:ext>
          </a:extLst>
        </xdr:cNvPr>
        <xdr:cNvSpPr txBox="1"/>
      </xdr:nvSpPr>
      <xdr:spPr>
        <a:xfrm>
          <a:off x="321945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0" name="TextBox 19">
          <a:extLst>
            <a:ext uri="{FF2B5EF4-FFF2-40B4-BE49-F238E27FC236}">
              <a16:creationId xmlns:a16="http://schemas.microsoft.com/office/drawing/2014/main" id="{4AE60079-2DB1-4A3D-8C74-5ABE8F6DFE3C}"/>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21" name="TextBox 20">
          <a:extLst>
            <a:ext uri="{FF2B5EF4-FFF2-40B4-BE49-F238E27FC236}">
              <a16:creationId xmlns:a16="http://schemas.microsoft.com/office/drawing/2014/main" id="{538F8F9C-2F4B-472E-8EF3-84485BF1D867}"/>
            </a:ext>
          </a:extLst>
        </xdr:cNvPr>
        <xdr:cNvSpPr txBox="1"/>
      </xdr:nvSpPr>
      <xdr:spPr>
        <a:xfrm>
          <a:off x="3219450"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2" name="TextBox 21">
          <a:extLst>
            <a:ext uri="{FF2B5EF4-FFF2-40B4-BE49-F238E27FC236}">
              <a16:creationId xmlns:a16="http://schemas.microsoft.com/office/drawing/2014/main" id="{F97EBBA7-13E4-49CA-8D76-09E5A1214D14}"/>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23" name="TextBox 22">
          <a:extLst>
            <a:ext uri="{FF2B5EF4-FFF2-40B4-BE49-F238E27FC236}">
              <a16:creationId xmlns:a16="http://schemas.microsoft.com/office/drawing/2014/main" id="{99BBE852-D5C2-4B1A-9E50-9B96D7393333}"/>
            </a:ext>
          </a:extLst>
        </xdr:cNvPr>
        <xdr:cNvSpPr txBox="1"/>
      </xdr:nvSpPr>
      <xdr:spPr>
        <a:xfrm>
          <a:off x="3219450"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4" name="TextBox 23">
          <a:extLst>
            <a:ext uri="{FF2B5EF4-FFF2-40B4-BE49-F238E27FC236}">
              <a16:creationId xmlns:a16="http://schemas.microsoft.com/office/drawing/2014/main" id="{C3B56529-2641-4EC9-BCFF-9D85E5200EEF}"/>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25" name="TextBox 24">
          <a:extLst>
            <a:ext uri="{FF2B5EF4-FFF2-40B4-BE49-F238E27FC236}">
              <a16:creationId xmlns:a16="http://schemas.microsoft.com/office/drawing/2014/main" id="{485DF077-F4C2-4F4A-A855-102C35D76FB6}"/>
            </a:ext>
          </a:extLst>
        </xdr:cNvPr>
        <xdr:cNvSpPr txBox="1"/>
      </xdr:nvSpPr>
      <xdr:spPr>
        <a:xfrm>
          <a:off x="3219450"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6" name="TextBox 25">
          <a:extLst>
            <a:ext uri="{FF2B5EF4-FFF2-40B4-BE49-F238E27FC236}">
              <a16:creationId xmlns:a16="http://schemas.microsoft.com/office/drawing/2014/main" id="{27943AFA-5B9D-4B04-94D5-FE2C4656754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44</xdr:row>
      <xdr:rowOff>0</xdr:rowOff>
    </xdr:from>
    <xdr:ext cx="184731" cy="264560"/>
    <xdr:sp macro="" textlink="">
      <xdr:nvSpPr>
        <xdr:cNvPr id="27" name="TextBox 26">
          <a:extLst>
            <a:ext uri="{FF2B5EF4-FFF2-40B4-BE49-F238E27FC236}">
              <a16:creationId xmlns:a16="http://schemas.microsoft.com/office/drawing/2014/main" id="{E0DA372E-B380-4873-8D58-B7C6C87FE98D}"/>
            </a:ext>
          </a:extLst>
        </xdr:cNvPr>
        <xdr:cNvSpPr txBox="1"/>
      </xdr:nvSpPr>
      <xdr:spPr>
        <a:xfrm>
          <a:off x="3219450"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8" name="TextBox 27">
          <a:extLst>
            <a:ext uri="{FF2B5EF4-FFF2-40B4-BE49-F238E27FC236}">
              <a16:creationId xmlns:a16="http://schemas.microsoft.com/office/drawing/2014/main" id="{0D5070EE-8393-4C90-82A1-B85E251E4072}"/>
            </a:ext>
          </a:extLst>
        </xdr:cNvPr>
        <xdr:cNvSpPr txBox="1"/>
      </xdr:nvSpPr>
      <xdr:spPr>
        <a:xfrm>
          <a:off x="4029075" y="279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D7E82BAE-2B7C-4F90-A715-17FA0EEA6F31}"/>
            </a:ext>
          </a:extLst>
        </xdr:cNvPr>
        <xdr:cNvSpPr txBox="1"/>
      </xdr:nvSpPr>
      <xdr:spPr>
        <a:xfrm>
          <a:off x="4029075"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39</xdr:row>
      <xdr:rowOff>0</xdr:rowOff>
    </xdr:from>
    <xdr:ext cx="184731" cy="303466"/>
    <xdr:sp macro="" textlink="">
      <xdr:nvSpPr>
        <xdr:cNvPr id="30" name="TextBox 29">
          <a:extLst>
            <a:ext uri="{FF2B5EF4-FFF2-40B4-BE49-F238E27FC236}">
              <a16:creationId xmlns:a16="http://schemas.microsoft.com/office/drawing/2014/main" id="{B9690BB1-5816-4892-8BC1-12792F8C63C7}"/>
            </a:ext>
          </a:extLst>
        </xdr:cNvPr>
        <xdr:cNvSpPr txBox="1"/>
      </xdr:nvSpPr>
      <xdr:spPr>
        <a:xfrm>
          <a:off x="4029075" y="3114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1" name="TextBox 30">
          <a:extLst>
            <a:ext uri="{FF2B5EF4-FFF2-40B4-BE49-F238E27FC236}">
              <a16:creationId xmlns:a16="http://schemas.microsoft.com/office/drawing/2014/main" id="{60C52FDA-F9A1-4386-8722-8D637FFD19A6}"/>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40</xdr:row>
      <xdr:rowOff>0</xdr:rowOff>
    </xdr:from>
    <xdr:ext cx="184731" cy="264560"/>
    <xdr:sp macro="" textlink="">
      <xdr:nvSpPr>
        <xdr:cNvPr id="32" name="TextBox 31">
          <a:extLst>
            <a:ext uri="{FF2B5EF4-FFF2-40B4-BE49-F238E27FC236}">
              <a16:creationId xmlns:a16="http://schemas.microsoft.com/office/drawing/2014/main" id="{AD282D51-2CF3-4618-A1B5-D890B92FB702}"/>
            </a:ext>
          </a:extLst>
        </xdr:cNvPr>
        <xdr:cNvSpPr txBox="1"/>
      </xdr:nvSpPr>
      <xdr:spPr>
        <a:xfrm>
          <a:off x="4029075"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3" name="TextBox 32">
          <a:extLst>
            <a:ext uri="{FF2B5EF4-FFF2-40B4-BE49-F238E27FC236}">
              <a16:creationId xmlns:a16="http://schemas.microsoft.com/office/drawing/2014/main" id="{432C7D2E-CB2F-4946-8A83-9D94B9ECA7C7}"/>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34" name="TextBox 33">
          <a:extLst>
            <a:ext uri="{FF2B5EF4-FFF2-40B4-BE49-F238E27FC236}">
              <a16:creationId xmlns:a16="http://schemas.microsoft.com/office/drawing/2014/main" id="{31786993-3568-4804-9A26-A6A7DFD6F136}"/>
            </a:ext>
          </a:extLst>
        </xdr:cNvPr>
        <xdr:cNvSpPr txBox="1"/>
      </xdr:nvSpPr>
      <xdr:spPr>
        <a:xfrm>
          <a:off x="4029075" y="343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5" name="TextBox 34">
          <a:extLst>
            <a:ext uri="{FF2B5EF4-FFF2-40B4-BE49-F238E27FC236}">
              <a16:creationId xmlns:a16="http://schemas.microsoft.com/office/drawing/2014/main" id="{6D93AD79-703B-4D48-BA64-675850453793}"/>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36" name="TextBox 35">
          <a:extLst>
            <a:ext uri="{FF2B5EF4-FFF2-40B4-BE49-F238E27FC236}">
              <a16:creationId xmlns:a16="http://schemas.microsoft.com/office/drawing/2014/main" id="{109A4476-5E33-486C-AE1C-DDE29B3C37E4}"/>
            </a:ext>
          </a:extLst>
        </xdr:cNvPr>
        <xdr:cNvSpPr txBox="1"/>
      </xdr:nvSpPr>
      <xdr:spPr>
        <a:xfrm>
          <a:off x="4029075" y="360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7" name="TextBox 36">
          <a:extLst>
            <a:ext uri="{FF2B5EF4-FFF2-40B4-BE49-F238E27FC236}">
              <a16:creationId xmlns:a16="http://schemas.microsoft.com/office/drawing/2014/main" id="{430B20F6-7820-4746-82DD-614B2C3181DB}"/>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38" name="TextBox 37">
          <a:extLst>
            <a:ext uri="{FF2B5EF4-FFF2-40B4-BE49-F238E27FC236}">
              <a16:creationId xmlns:a16="http://schemas.microsoft.com/office/drawing/2014/main" id="{D65C0A6F-86BC-47BC-B8AA-ADBE4A38C88C}"/>
            </a:ext>
          </a:extLst>
        </xdr:cNvPr>
        <xdr:cNvSpPr txBox="1"/>
      </xdr:nvSpPr>
      <xdr:spPr>
        <a:xfrm>
          <a:off x="4029075" y="376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39" name="TextBox 38">
          <a:extLst>
            <a:ext uri="{FF2B5EF4-FFF2-40B4-BE49-F238E27FC236}">
              <a16:creationId xmlns:a16="http://schemas.microsoft.com/office/drawing/2014/main" id="{78739D4A-2F32-4E12-AD19-105C33940B1F}"/>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44</xdr:row>
      <xdr:rowOff>0</xdr:rowOff>
    </xdr:from>
    <xdr:ext cx="184731" cy="264560"/>
    <xdr:sp macro="" textlink="">
      <xdr:nvSpPr>
        <xdr:cNvPr id="40" name="TextBox 39">
          <a:extLst>
            <a:ext uri="{FF2B5EF4-FFF2-40B4-BE49-F238E27FC236}">
              <a16:creationId xmlns:a16="http://schemas.microsoft.com/office/drawing/2014/main" id="{A786B5E8-223E-4DA3-99D6-35521EDADB66}"/>
            </a:ext>
          </a:extLst>
        </xdr:cNvPr>
        <xdr:cNvSpPr txBox="1"/>
      </xdr:nvSpPr>
      <xdr:spPr>
        <a:xfrm>
          <a:off x="402907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41" name="TextBox 40">
          <a:extLst>
            <a:ext uri="{FF2B5EF4-FFF2-40B4-BE49-F238E27FC236}">
              <a16:creationId xmlns:a16="http://schemas.microsoft.com/office/drawing/2014/main" id="{7A2A918B-3EDE-4E15-A340-9F55AFA56351}"/>
            </a:ext>
          </a:extLst>
        </xdr:cNvPr>
        <xdr:cNvSpPr txBox="1"/>
      </xdr:nvSpPr>
      <xdr:spPr>
        <a:xfrm>
          <a:off x="321564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37</xdr:row>
      <xdr:rowOff>0</xdr:rowOff>
    </xdr:from>
    <xdr:ext cx="192763" cy="264560"/>
    <xdr:sp macro="" textlink="">
      <xdr:nvSpPr>
        <xdr:cNvPr id="42" name="TextBox 41">
          <a:extLst>
            <a:ext uri="{FF2B5EF4-FFF2-40B4-BE49-F238E27FC236}">
              <a16:creationId xmlns:a16="http://schemas.microsoft.com/office/drawing/2014/main" id="{0817AF36-64EB-4F6C-B894-D051667F4F4F}"/>
            </a:ext>
          </a:extLst>
        </xdr:cNvPr>
        <xdr:cNvSpPr txBox="1"/>
      </xdr:nvSpPr>
      <xdr:spPr>
        <a:xfrm>
          <a:off x="4025265"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37</xdr:row>
      <xdr:rowOff>0</xdr:rowOff>
    </xdr:from>
    <xdr:ext cx="192763" cy="264560"/>
    <xdr:sp macro="" textlink="">
      <xdr:nvSpPr>
        <xdr:cNvPr id="43" name="TextBox 42">
          <a:extLst>
            <a:ext uri="{FF2B5EF4-FFF2-40B4-BE49-F238E27FC236}">
              <a16:creationId xmlns:a16="http://schemas.microsoft.com/office/drawing/2014/main" id="{805FBAF2-BBF2-4DB9-8A7C-9BD4C89D1894}"/>
            </a:ext>
          </a:extLst>
        </xdr:cNvPr>
        <xdr:cNvSpPr txBox="1"/>
      </xdr:nvSpPr>
      <xdr:spPr>
        <a:xfrm>
          <a:off x="4834890" y="2790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38</xdr:row>
      <xdr:rowOff>0</xdr:rowOff>
    </xdr:from>
    <xdr:ext cx="183125" cy="264560"/>
    <xdr:sp macro="" textlink="">
      <xdr:nvSpPr>
        <xdr:cNvPr id="44" name="TextBox 43">
          <a:extLst>
            <a:ext uri="{FF2B5EF4-FFF2-40B4-BE49-F238E27FC236}">
              <a16:creationId xmlns:a16="http://schemas.microsoft.com/office/drawing/2014/main" id="{5D3E911D-00C1-45CF-9327-3DC84F349864}"/>
            </a:ext>
          </a:extLst>
        </xdr:cNvPr>
        <xdr:cNvSpPr txBox="1"/>
      </xdr:nvSpPr>
      <xdr:spPr>
        <a:xfrm>
          <a:off x="2539365" y="2952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38</xdr:row>
      <xdr:rowOff>0</xdr:rowOff>
    </xdr:from>
    <xdr:ext cx="184731" cy="271710"/>
    <xdr:sp macro="" textlink="">
      <xdr:nvSpPr>
        <xdr:cNvPr id="45" name="TextBox 44">
          <a:extLst>
            <a:ext uri="{FF2B5EF4-FFF2-40B4-BE49-F238E27FC236}">
              <a16:creationId xmlns:a16="http://schemas.microsoft.com/office/drawing/2014/main" id="{1E1790B5-9F03-4250-9758-98588DED0023}"/>
            </a:ext>
          </a:extLst>
        </xdr:cNvPr>
        <xdr:cNvSpPr txBox="1"/>
      </xdr:nvSpPr>
      <xdr:spPr>
        <a:xfrm>
          <a:off x="1102995" y="2952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3143250</xdr:colOff>
      <xdr:row>77</xdr:row>
      <xdr:rowOff>0</xdr:rowOff>
    </xdr:from>
    <xdr:ext cx="184731" cy="264560"/>
    <xdr:sp macro="" textlink="">
      <xdr:nvSpPr>
        <xdr:cNvPr id="2" name="TextBox 1">
          <a:extLst>
            <a:ext uri="{FF2B5EF4-FFF2-40B4-BE49-F238E27FC236}">
              <a16:creationId xmlns:a16="http://schemas.microsoft.com/office/drawing/2014/main" id="{BF21BA89-34AA-471E-A5A9-F2C9EF79778D}"/>
            </a:ext>
          </a:extLst>
        </xdr:cNvPr>
        <xdr:cNvSpPr txBox="1"/>
      </xdr:nvSpPr>
      <xdr:spPr>
        <a:xfrm>
          <a:off x="38100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3" name="TextBox 2">
          <a:extLst>
            <a:ext uri="{FF2B5EF4-FFF2-40B4-BE49-F238E27FC236}">
              <a16:creationId xmlns:a16="http://schemas.microsoft.com/office/drawing/2014/main" id="{C520BBFE-15BD-4C41-BB0C-CDCBD2D43B64}"/>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4" name="TextBox 3">
          <a:extLst>
            <a:ext uri="{FF2B5EF4-FFF2-40B4-BE49-F238E27FC236}">
              <a16:creationId xmlns:a16="http://schemas.microsoft.com/office/drawing/2014/main" id="{455CE696-722A-46D8-9D54-FD13690B1AAD}"/>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5" name="TextBox 4">
          <a:extLst>
            <a:ext uri="{FF2B5EF4-FFF2-40B4-BE49-F238E27FC236}">
              <a16:creationId xmlns:a16="http://schemas.microsoft.com/office/drawing/2014/main" id="{2DA418AB-B9A2-4960-8E4A-A22F57C87D45}"/>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6" name="TextBox 5">
          <a:extLst>
            <a:ext uri="{FF2B5EF4-FFF2-40B4-BE49-F238E27FC236}">
              <a16:creationId xmlns:a16="http://schemas.microsoft.com/office/drawing/2014/main" id="{40088564-728A-4564-AA74-495EC36C51AF}"/>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7" name="TextBox 6">
          <a:extLst>
            <a:ext uri="{FF2B5EF4-FFF2-40B4-BE49-F238E27FC236}">
              <a16:creationId xmlns:a16="http://schemas.microsoft.com/office/drawing/2014/main" id="{593C99AB-AA96-40FD-9D95-953EDFF23B52}"/>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8" name="TextBox 7">
          <a:extLst>
            <a:ext uri="{FF2B5EF4-FFF2-40B4-BE49-F238E27FC236}">
              <a16:creationId xmlns:a16="http://schemas.microsoft.com/office/drawing/2014/main" id="{EABF24FF-DC49-496D-BBDE-3136C08C13E8}"/>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9" name="TextBox 8">
          <a:extLst>
            <a:ext uri="{FF2B5EF4-FFF2-40B4-BE49-F238E27FC236}">
              <a16:creationId xmlns:a16="http://schemas.microsoft.com/office/drawing/2014/main" id="{772C07F2-AE06-45D7-B7F0-5D78133BE0C7}"/>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10" name="TextBox 9">
          <a:extLst>
            <a:ext uri="{FF2B5EF4-FFF2-40B4-BE49-F238E27FC236}">
              <a16:creationId xmlns:a16="http://schemas.microsoft.com/office/drawing/2014/main" id="{FA4902DC-7BD1-4816-A256-FF792275B60B}"/>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1" name="TextBox 10">
          <a:extLst>
            <a:ext uri="{FF2B5EF4-FFF2-40B4-BE49-F238E27FC236}">
              <a16:creationId xmlns:a16="http://schemas.microsoft.com/office/drawing/2014/main" id="{41BB842E-283B-43AC-9913-9989D9031563}"/>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2" name="TextBox 11">
          <a:extLst>
            <a:ext uri="{FF2B5EF4-FFF2-40B4-BE49-F238E27FC236}">
              <a16:creationId xmlns:a16="http://schemas.microsoft.com/office/drawing/2014/main" id="{F94932C6-778D-4C49-A302-7DEC2D9116E0}"/>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3" name="TextBox 12">
          <a:extLst>
            <a:ext uri="{FF2B5EF4-FFF2-40B4-BE49-F238E27FC236}">
              <a16:creationId xmlns:a16="http://schemas.microsoft.com/office/drawing/2014/main" id="{F176DA24-6CC3-4DA3-899A-9D522B79E31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4" name="TextBox 13">
          <a:extLst>
            <a:ext uri="{FF2B5EF4-FFF2-40B4-BE49-F238E27FC236}">
              <a16:creationId xmlns:a16="http://schemas.microsoft.com/office/drawing/2014/main" id="{C7EC13F6-1E1A-4536-9D35-A00A80D28352}"/>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5" name="TextBox 14">
          <a:extLst>
            <a:ext uri="{FF2B5EF4-FFF2-40B4-BE49-F238E27FC236}">
              <a16:creationId xmlns:a16="http://schemas.microsoft.com/office/drawing/2014/main" id="{98A598DD-BF1D-4CC1-B7EA-AEE79447004D}"/>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16" name="TextBox 15">
          <a:extLst>
            <a:ext uri="{FF2B5EF4-FFF2-40B4-BE49-F238E27FC236}">
              <a16:creationId xmlns:a16="http://schemas.microsoft.com/office/drawing/2014/main" id="{EA40A697-75E6-4914-966B-E9F923E6995F}"/>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17" name="TextBox 16">
          <a:extLst>
            <a:ext uri="{FF2B5EF4-FFF2-40B4-BE49-F238E27FC236}">
              <a16:creationId xmlns:a16="http://schemas.microsoft.com/office/drawing/2014/main" id="{5452A909-2FC8-4425-9FCB-BB8F78D60588}"/>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77</xdr:row>
      <xdr:rowOff>0</xdr:rowOff>
    </xdr:from>
    <xdr:ext cx="184731" cy="264560"/>
    <xdr:sp macro="" textlink="">
      <xdr:nvSpPr>
        <xdr:cNvPr id="18" name="TextBox 17">
          <a:extLst>
            <a:ext uri="{FF2B5EF4-FFF2-40B4-BE49-F238E27FC236}">
              <a16:creationId xmlns:a16="http://schemas.microsoft.com/office/drawing/2014/main" id="{26B26425-909E-4824-9A53-5EAB18BBA352}"/>
            </a:ext>
          </a:extLst>
        </xdr:cNvPr>
        <xdr:cNvSpPr txBox="1"/>
      </xdr:nvSpPr>
      <xdr:spPr>
        <a:xfrm>
          <a:off x="284035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77</xdr:row>
      <xdr:rowOff>0</xdr:rowOff>
    </xdr:from>
    <xdr:ext cx="184731" cy="264560"/>
    <xdr:sp macro="" textlink="">
      <xdr:nvSpPr>
        <xdr:cNvPr id="19" name="TextBox 18">
          <a:extLst>
            <a:ext uri="{FF2B5EF4-FFF2-40B4-BE49-F238E27FC236}">
              <a16:creationId xmlns:a16="http://schemas.microsoft.com/office/drawing/2014/main" id="{D2D5CCDC-CEF5-4293-9D15-27652F12396E}"/>
            </a:ext>
          </a:extLst>
        </xdr:cNvPr>
        <xdr:cNvSpPr txBox="1"/>
      </xdr:nvSpPr>
      <xdr:spPr>
        <a:xfrm>
          <a:off x="4032885"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77</xdr:row>
      <xdr:rowOff>0</xdr:rowOff>
    </xdr:from>
    <xdr:ext cx="184731" cy="264560"/>
    <xdr:sp macro="" textlink="">
      <xdr:nvSpPr>
        <xdr:cNvPr id="20" name="TextBox 19">
          <a:extLst>
            <a:ext uri="{FF2B5EF4-FFF2-40B4-BE49-F238E27FC236}">
              <a16:creationId xmlns:a16="http://schemas.microsoft.com/office/drawing/2014/main" id="{2D7D1FBE-D0B8-482D-A1A3-843982AB929C}"/>
            </a:ext>
          </a:extLst>
        </xdr:cNvPr>
        <xdr:cNvSpPr txBox="1"/>
      </xdr:nvSpPr>
      <xdr:spPr>
        <a:xfrm>
          <a:off x="5223510" y="569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78</xdr:row>
      <xdr:rowOff>0</xdr:rowOff>
    </xdr:from>
    <xdr:ext cx="184731" cy="264560"/>
    <xdr:sp macro="" textlink="">
      <xdr:nvSpPr>
        <xdr:cNvPr id="21" name="TextBox 20">
          <a:extLst>
            <a:ext uri="{FF2B5EF4-FFF2-40B4-BE49-F238E27FC236}">
              <a16:creationId xmlns:a16="http://schemas.microsoft.com/office/drawing/2014/main" id="{469AE0B3-4C62-45CF-848C-3A068226CF48}"/>
            </a:ext>
          </a:extLst>
        </xdr:cNvPr>
        <xdr:cNvSpPr txBox="1"/>
      </xdr:nvSpPr>
      <xdr:spPr>
        <a:xfrm>
          <a:off x="38100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78</xdr:row>
      <xdr:rowOff>0</xdr:rowOff>
    </xdr:from>
    <xdr:ext cx="184731" cy="264560"/>
    <xdr:sp macro="" textlink="">
      <xdr:nvSpPr>
        <xdr:cNvPr id="22" name="TextBox 21">
          <a:extLst>
            <a:ext uri="{FF2B5EF4-FFF2-40B4-BE49-F238E27FC236}">
              <a16:creationId xmlns:a16="http://schemas.microsoft.com/office/drawing/2014/main" id="{F086CEF8-B367-4945-8CBD-6AAC46E9922E}"/>
            </a:ext>
          </a:extLst>
        </xdr:cNvPr>
        <xdr:cNvSpPr txBox="1"/>
      </xdr:nvSpPr>
      <xdr:spPr>
        <a:xfrm>
          <a:off x="284035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78</xdr:row>
      <xdr:rowOff>0</xdr:rowOff>
    </xdr:from>
    <xdr:ext cx="184731" cy="264560"/>
    <xdr:sp macro="" textlink="">
      <xdr:nvSpPr>
        <xdr:cNvPr id="23" name="TextBox 22">
          <a:extLst>
            <a:ext uri="{FF2B5EF4-FFF2-40B4-BE49-F238E27FC236}">
              <a16:creationId xmlns:a16="http://schemas.microsoft.com/office/drawing/2014/main" id="{DC8E7090-9E52-4BDC-8D29-621874BE05B7}"/>
            </a:ext>
          </a:extLst>
        </xdr:cNvPr>
        <xdr:cNvSpPr txBox="1"/>
      </xdr:nvSpPr>
      <xdr:spPr>
        <a:xfrm>
          <a:off x="4032885"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264560"/>
    <xdr:sp macro="" textlink="">
      <xdr:nvSpPr>
        <xdr:cNvPr id="24" name="TextBox 23">
          <a:extLst>
            <a:ext uri="{FF2B5EF4-FFF2-40B4-BE49-F238E27FC236}">
              <a16:creationId xmlns:a16="http://schemas.microsoft.com/office/drawing/2014/main" id="{099E3782-1318-47BC-AD24-37742A22FA66}"/>
            </a:ext>
          </a:extLst>
        </xdr:cNvPr>
        <xdr:cNvSpPr txBox="1"/>
      </xdr:nvSpPr>
      <xdr:spPr>
        <a:xfrm>
          <a:off x="5223510" y="5711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79</xdr:row>
      <xdr:rowOff>0</xdr:rowOff>
    </xdr:from>
    <xdr:ext cx="184731" cy="264560"/>
    <xdr:sp macro="" textlink="">
      <xdr:nvSpPr>
        <xdr:cNvPr id="25" name="TextBox 24">
          <a:extLst>
            <a:ext uri="{FF2B5EF4-FFF2-40B4-BE49-F238E27FC236}">
              <a16:creationId xmlns:a16="http://schemas.microsoft.com/office/drawing/2014/main" id="{D620C7B1-8F0B-4D21-AA79-33E3C0872377}"/>
            </a:ext>
          </a:extLst>
        </xdr:cNvPr>
        <xdr:cNvSpPr txBox="1"/>
      </xdr:nvSpPr>
      <xdr:spPr>
        <a:xfrm>
          <a:off x="38100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79</xdr:row>
      <xdr:rowOff>0</xdr:rowOff>
    </xdr:from>
    <xdr:ext cx="184731" cy="264560"/>
    <xdr:sp macro="" textlink="">
      <xdr:nvSpPr>
        <xdr:cNvPr id="26" name="TextBox 25">
          <a:extLst>
            <a:ext uri="{FF2B5EF4-FFF2-40B4-BE49-F238E27FC236}">
              <a16:creationId xmlns:a16="http://schemas.microsoft.com/office/drawing/2014/main" id="{38B48CD1-E77B-4D7E-825A-47A51CBD78AB}"/>
            </a:ext>
          </a:extLst>
        </xdr:cNvPr>
        <xdr:cNvSpPr txBox="1"/>
      </xdr:nvSpPr>
      <xdr:spPr>
        <a:xfrm>
          <a:off x="284035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79</xdr:row>
      <xdr:rowOff>0</xdr:rowOff>
    </xdr:from>
    <xdr:ext cx="184731" cy="264560"/>
    <xdr:sp macro="" textlink="">
      <xdr:nvSpPr>
        <xdr:cNvPr id="27" name="TextBox 26">
          <a:extLst>
            <a:ext uri="{FF2B5EF4-FFF2-40B4-BE49-F238E27FC236}">
              <a16:creationId xmlns:a16="http://schemas.microsoft.com/office/drawing/2014/main" id="{E32D5ADA-5325-4194-939E-36AE4159C8F2}"/>
            </a:ext>
          </a:extLst>
        </xdr:cNvPr>
        <xdr:cNvSpPr txBox="1"/>
      </xdr:nvSpPr>
      <xdr:spPr>
        <a:xfrm>
          <a:off x="4032885"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28" name="TextBox 27">
          <a:extLst>
            <a:ext uri="{FF2B5EF4-FFF2-40B4-BE49-F238E27FC236}">
              <a16:creationId xmlns:a16="http://schemas.microsoft.com/office/drawing/2014/main" id="{5D2DB7DA-01AD-47C8-ACE9-5727FDE67EDA}"/>
            </a:ext>
          </a:extLst>
        </xdr:cNvPr>
        <xdr:cNvSpPr txBox="1"/>
      </xdr:nvSpPr>
      <xdr:spPr>
        <a:xfrm>
          <a:off x="5223510" y="5725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80</xdr:row>
      <xdr:rowOff>0</xdr:rowOff>
    </xdr:from>
    <xdr:ext cx="184731" cy="264560"/>
    <xdr:sp macro="" textlink="">
      <xdr:nvSpPr>
        <xdr:cNvPr id="29" name="TextBox 28">
          <a:extLst>
            <a:ext uri="{FF2B5EF4-FFF2-40B4-BE49-F238E27FC236}">
              <a16:creationId xmlns:a16="http://schemas.microsoft.com/office/drawing/2014/main" id="{71556E37-44B0-42D1-B365-94192560E94B}"/>
            </a:ext>
          </a:extLst>
        </xdr:cNvPr>
        <xdr:cNvSpPr txBox="1"/>
      </xdr:nvSpPr>
      <xdr:spPr>
        <a:xfrm>
          <a:off x="38100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80</xdr:row>
      <xdr:rowOff>0</xdr:rowOff>
    </xdr:from>
    <xdr:ext cx="184731" cy="264560"/>
    <xdr:sp macro="" textlink="">
      <xdr:nvSpPr>
        <xdr:cNvPr id="30" name="TextBox 29">
          <a:extLst>
            <a:ext uri="{FF2B5EF4-FFF2-40B4-BE49-F238E27FC236}">
              <a16:creationId xmlns:a16="http://schemas.microsoft.com/office/drawing/2014/main" id="{D75693F0-9F44-487D-BAD5-15784E873621}"/>
            </a:ext>
          </a:extLst>
        </xdr:cNvPr>
        <xdr:cNvSpPr txBox="1"/>
      </xdr:nvSpPr>
      <xdr:spPr>
        <a:xfrm>
          <a:off x="284035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80</xdr:row>
      <xdr:rowOff>0</xdr:rowOff>
    </xdr:from>
    <xdr:ext cx="184731" cy="264560"/>
    <xdr:sp macro="" textlink="">
      <xdr:nvSpPr>
        <xdr:cNvPr id="31" name="TextBox 30">
          <a:extLst>
            <a:ext uri="{FF2B5EF4-FFF2-40B4-BE49-F238E27FC236}">
              <a16:creationId xmlns:a16="http://schemas.microsoft.com/office/drawing/2014/main" id="{95E88934-0956-454F-BAA7-D608168E366B}"/>
            </a:ext>
          </a:extLst>
        </xdr:cNvPr>
        <xdr:cNvSpPr txBox="1"/>
      </xdr:nvSpPr>
      <xdr:spPr>
        <a:xfrm>
          <a:off x="4032885"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80</xdr:row>
      <xdr:rowOff>0</xdr:rowOff>
    </xdr:from>
    <xdr:ext cx="184731" cy="264560"/>
    <xdr:sp macro="" textlink="">
      <xdr:nvSpPr>
        <xdr:cNvPr id="32" name="TextBox 31">
          <a:extLst>
            <a:ext uri="{FF2B5EF4-FFF2-40B4-BE49-F238E27FC236}">
              <a16:creationId xmlns:a16="http://schemas.microsoft.com/office/drawing/2014/main" id="{BA696FAC-229F-420C-8638-D0127C089D5C}"/>
            </a:ext>
          </a:extLst>
        </xdr:cNvPr>
        <xdr:cNvSpPr txBox="1"/>
      </xdr:nvSpPr>
      <xdr:spPr>
        <a:xfrm>
          <a:off x="5223510" y="57397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81</xdr:row>
      <xdr:rowOff>0</xdr:rowOff>
    </xdr:from>
    <xdr:ext cx="184731" cy="264560"/>
    <xdr:sp macro="" textlink="">
      <xdr:nvSpPr>
        <xdr:cNvPr id="33" name="TextBox 32">
          <a:extLst>
            <a:ext uri="{FF2B5EF4-FFF2-40B4-BE49-F238E27FC236}">
              <a16:creationId xmlns:a16="http://schemas.microsoft.com/office/drawing/2014/main" id="{DC6B16F8-738D-41DE-9611-9D7C437C8F40}"/>
            </a:ext>
          </a:extLst>
        </xdr:cNvPr>
        <xdr:cNvSpPr txBox="1"/>
      </xdr:nvSpPr>
      <xdr:spPr>
        <a:xfrm>
          <a:off x="38100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81</xdr:row>
      <xdr:rowOff>0</xdr:rowOff>
    </xdr:from>
    <xdr:ext cx="184731" cy="264560"/>
    <xdr:sp macro="" textlink="">
      <xdr:nvSpPr>
        <xdr:cNvPr id="34" name="TextBox 33">
          <a:extLst>
            <a:ext uri="{FF2B5EF4-FFF2-40B4-BE49-F238E27FC236}">
              <a16:creationId xmlns:a16="http://schemas.microsoft.com/office/drawing/2014/main" id="{F62276FB-E0B1-4ACA-894C-5E46E69A07D6}"/>
            </a:ext>
          </a:extLst>
        </xdr:cNvPr>
        <xdr:cNvSpPr txBox="1"/>
      </xdr:nvSpPr>
      <xdr:spPr>
        <a:xfrm>
          <a:off x="284035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81</xdr:row>
      <xdr:rowOff>0</xdr:rowOff>
    </xdr:from>
    <xdr:ext cx="184731" cy="264560"/>
    <xdr:sp macro="" textlink="">
      <xdr:nvSpPr>
        <xdr:cNvPr id="35" name="TextBox 34">
          <a:extLst>
            <a:ext uri="{FF2B5EF4-FFF2-40B4-BE49-F238E27FC236}">
              <a16:creationId xmlns:a16="http://schemas.microsoft.com/office/drawing/2014/main" id="{6975AAC7-A7CB-477B-8B7B-6DFDD777CB22}"/>
            </a:ext>
          </a:extLst>
        </xdr:cNvPr>
        <xdr:cNvSpPr txBox="1"/>
      </xdr:nvSpPr>
      <xdr:spPr>
        <a:xfrm>
          <a:off x="4032885"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81</xdr:row>
      <xdr:rowOff>0</xdr:rowOff>
    </xdr:from>
    <xdr:ext cx="184731" cy="264560"/>
    <xdr:sp macro="" textlink="">
      <xdr:nvSpPr>
        <xdr:cNvPr id="36" name="TextBox 35">
          <a:extLst>
            <a:ext uri="{FF2B5EF4-FFF2-40B4-BE49-F238E27FC236}">
              <a16:creationId xmlns:a16="http://schemas.microsoft.com/office/drawing/2014/main" id="{70C64621-AACD-4BAD-8A44-F1BBB58AA0D1}"/>
            </a:ext>
          </a:extLst>
        </xdr:cNvPr>
        <xdr:cNvSpPr txBox="1"/>
      </xdr:nvSpPr>
      <xdr:spPr>
        <a:xfrm>
          <a:off x="5223510" y="5754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82</xdr:row>
      <xdr:rowOff>0</xdr:rowOff>
    </xdr:from>
    <xdr:ext cx="184731" cy="264560"/>
    <xdr:sp macro="" textlink="">
      <xdr:nvSpPr>
        <xdr:cNvPr id="37" name="TextBox 36">
          <a:extLst>
            <a:ext uri="{FF2B5EF4-FFF2-40B4-BE49-F238E27FC236}">
              <a16:creationId xmlns:a16="http://schemas.microsoft.com/office/drawing/2014/main" id="{00EBA7AA-45C4-4DDF-8A71-9F0FD57B0805}"/>
            </a:ext>
          </a:extLst>
        </xdr:cNvPr>
        <xdr:cNvSpPr txBox="1"/>
      </xdr:nvSpPr>
      <xdr:spPr>
        <a:xfrm>
          <a:off x="38100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82</xdr:row>
      <xdr:rowOff>0</xdr:rowOff>
    </xdr:from>
    <xdr:ext cx="184731" cy="264560"/>
    <xdr:sp macro="" textlink="">
      <xdr:nvSpPr>
        <xdr:cNvPr id="38" name="TextBox 37">
          <a:extLst>
            <a:ext uri="{FF2B5EF4-FFF2-40B4-BE49-F238E27FC236}">
              <a16:creationId xmlns:a16="http://schemas.microsoft.com/office/drawing/2014/main" id="{77117FE4-5733-48C5-97B0-6CE4E1A70376}"/>
            </a:ext>
          </a:extLst>
        </xdr:cNvPr>
        <xdr:cNvSpPr txBox="1"/>
      </xdr:nvSpPr>
      <xdr:spPr>
        <a:xfrm>
          <a:off x="284035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82</xdr:row>
      <xdr:rowOff>0</xdr:rowOff>
    </xdr:from>
    <xdr:ext cx="184731" cy="264560"/>
    <xdr:sp macro="" textlink="">
      <xdr:nvSpPr>
        <xdr:cNvPr id="39" name="TextBox 38">
          <a:extLst>
            <a:ext uri="{FF2B5EF4-FFF2-40B4-BE49-F238E27FC236}">
              <a16:creationId xmlns:a16="http://schemas.microsoft.com/office/drawing/2014/main" id="{F0B0A09B-E9CF-41B0-B2AD-8752E047B5B0}"/>
            </a:ext>
          </a:extLst>
        </xdr:cNvPr>
        <xdr:cNvSpPr txBox="1"/>
      </xdr:nvSpPr>
      <xdr:spPr>
        <a:xfrm>
          <a:off x="4032885"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82</xdr:row>
      <xdr:rowOff>0</xdr:rowOff>
    </xdr:from>
    <xdr:ext cx="184731" cy="264560"/>
    <xdr:sp macro="" textlink="">
      <xdr:nvSpPr>
        <xdr:cNvPr id="40" name="TextBox 39">
          <a:extLst>
            <a:ext uri="{FF2B5EF4-FFF2-40B4-BE49-F238E27FC236}">
              <a16:creationId xmlns:a16="http://schemas.microsoft.com/office/drawing/2014/main" id="{D0AB71B1-AE29-4CB9-AC4E-3E88472D413F}"/>
            </a:ext>
          </a:extLst>
        </xdr:cNvPr>
        <xdr:cNvSpPr txBox="1"/>
      </xdr:nvSpPr>
      <xdr:spPr>
        <a:xfrm>
          <a:off x="5223510" y="5768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83</xdr:row>
      <xdr:rowOff>0</xdr:rowOff>
    </xdr:from>
    <xdr:ext cx="184731" cy="264560"/>
    <xdr:sp macro="" textlink="">
      <xdr:nvSpPr>
        <xdr:cNvPr id="41" name="TextBox 40">
          <a:extLst>
            <a:ext uri="{FF2B5EF4-FFF2-40B4-BE49-F238E27FC236}">
              <a16:creationId xmlns:a16="http://schemas.microsoft.com/office/drawing/2014/main" id="{ADDE8DF6-0111-4F85-A950-364EEF700AB4}"/>
            </a:ext>
          </a:extLst>
        </xdr:cNvPr>
        <xdr:cNvSpPr txBox="1"/>
      </xdr:nvSpPr>
      <xdr:spPr>
        <a:xfrm>
          <a:off x="38100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83</xdr:row>
      <xdr:rowOff>0</xdr:rowOff>
    </xdr:from>
    <xdr:ext cx="184731" cy="264560"/>
    <xdr:sp macro="" textlink="">
      <xdr:nvSpPr>
        <xdr:cNvPr id="42" name="TextBox 41">
          <a:extLst>
            <a:ext uri="{FF2B5EF4-FFF2-40B4-BE49-F238E27FC236}">
              <a16:creationId xmlns:a16="http://schemas.microsoft.com/office/drawing/2014/main" id="{13F2729A-97A9-4BB9-A1EE-EB7A7BFDCC82}"/>
            </a:ext>
          </a:extLst>
        </xdr:cNvPr>
        <xdr:cNvSpPr txBox="1"/>
      </xdr:nvSpPr>
      <xdr:spPr>
        <a:xfrm>
          <a:off x="284035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83</xdr:row>
      <xdr:rowOff>0</xdr:rowOff>
    </xdr:from>
    <xdr:ext cx="184731" cy="264560"/>
    <xdr:sp macro="" textlink="">
      <xdr:nvSpPr>
        <xdr:cNvPr id="43" name="TextBox 42">
          <a:extLst>
            <a:ext uri="{FF2B5EF4-FFF2-40B4-BE49-F238E27FC236}">
              <a16:creationId xmlns:a16="http://schemas.microsoft.com/office/drawing/2014/main" id="{BFC912FC-1744-49E8-A7A5-3FBB8CB96715}"/>
            </a:ext>
          </a:extLst>
        </xdr:cNvPr>
        <xdr:cNvSpPr txBox="1"/>
      </xdr:nvSpPr>
      <xdr:spPr>
        <a:xfrm>
          <a:off x="4032885"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83</xdr:row>
      <xdr:rowOff>0</xdr:rowOff>
    </xdr:from>
    <xdr:ext cx="184731" cy="264560"/>
    <xdr:sp macro="" textlink="">
      <xdr:nvSpPr>
        <xdr:cNvPr id="44" name="TextBox 43">
          <a:extLst>
            <a:ext uri="{FF2B5EF4-FFF2-40B4-BE49-F238E27FC236}">
              <a16:creationId xmlns:a16="http://schemas.microsoft.com/office/drawing/2014/main" id="{736ACCD2-FEA1-40E5-8531-F6CBEF726608}"/>
            </a:ext>
          </a:extLst>
        </xdr:cNvPr>
        <xdr:cNvSpPr txBox="1"/>
      </xdr:nvSpPr>
      <xdr:spPr>
        <a:xfrm>
          <a:off x="5223510" y="5782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84</xdr:row>
      <xdr:rowOff>0</xdr:rowOff>
    </xdr:from>
    <xdr:ext cx="184731" cy="264560"/>
    <xdr:sp macro="" textlink="">
      <xdr:nvSpPr>
        <xdr:cNvPr id="45" name="TextBox 44">
          <a:extLst>
            <a:ext uri="{FF2B5EF4-FFF2-40B4-BE49-F238E27FC236}">
              <a16:creationId xmlns:a16="http://schemas.microsoft.com/office/drawing/2014/main" id="{5A1AE1F7-3E05-4335-B8B3-21BE15482504}"/>
            </a:ext>
          </a:extLst>
        </xdr:cNvPr>
        <xdr:cNvSpPr txBox="1"/>
      </xdr:nvSpPr>
      <xdr:spPr>
        <a:xfrm>
          <a:off x="38100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84</xdr:row>
      <xdr:rowOff>0</xdr:rowOff>
    </xdr:from>
    <xdr:ext cx="184731" cy="264560"/>
    <xdr:sp macro="" textlink="">
      <xdr:nvSpPr>
        <xdr:cNvPr id="46" name="TextBox 45">
          <a:extLst>
            <a:ext uri="{FF2B5EF4-FFF2-40B4-BE49-F238E27FC236}">
              <a16:creationId xmlns:a16="http://schemas.microsoft.com/office/drawing/2014/main" id="{39181C66-A961-487A-BF72-57BCA944E0B7}"/>
            </a:ext>
          </a:extLst>
        </xdr:cNvPr>
        <xdr:cNvSpPr txBox="1"/>
      </xdr:nvSpPr>
      <xdr:spPr>
        <a:xfrm>
          <a:off x="284035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84</xdr:row>
      <xdr:rowOff>0</xdr:rowOff>
    </xdr:from>
    <xdr:ext cx="184731" cy="264560"/>
    <xdr:sp macro="" textlink="">
      <xdr:nvSpPr>
        <xdr:cNvPr id="47" name="TextBox 46">
          <a:extLst>
            <a:ext uri="{FF2B5EF4-FFF2-40B4-BE49-F238E27FC236}">
              <a16:creationId xmlns:a16="http://schemas.microsoft.com/office/drawing/2014/main" id="{A5CE1543-AFCC-43EA-BB7E-651CD898C460}"/>
            </a:ext>
          </a:extLst>
        </xdr:cNvPr>
        <xdr:cNvSpPr txBox="1"/>
      </xdr:nvSpPr>
      <xdr:spPr>
        <a:xfrm>
          <a:off x="4032885"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84</xdr:row>
      <xdr:rowOff>0</xdr:rowOff>
    </xdr:from>
    <xdr:ext cx="184731" cy="264560"/>
    <xdr:sp macro="" textlink="">
      <xdr:nvSpPr>
        <xdr:cNvPr id="48" name="TextBox 47">
          <a:extLst>
            <a:ext uri="{FF2B5EF4-FFF2-40B4-BE49-F238E27FC236}">
              <a16:creationId xmlns:a16="http://schemas.microsoft.com/office/drawing/2014/main" id="{26BF897F-E510-4898-B971-583B40EABE73}"/>
            </a:ext>
          </a:extLst>
        </xdr:cNvPr>
        <xdr:cNvSpPr txBox="1"/>
      </xdr:nvSpPr>
      <xdr:spPr>
        <a:xfrm>
          <a:off x="5223510" y="5796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85</xdr:row>
      <xdr:rowOff>0</xdr:rowOff>
    </xdr:from>
    <xdr:ext cx="184731" cy="264560"/>
    <xdr:sp macro="" textlink="">
      <xdr:nvSpPr>
        <xdr:cNvPr id="49" name="TextBox 48">
          <a:extLst>
            <a:ext uri="{FF2B5EF4-FFF2-40B4-BE49-F238E27FC236}">
              <a16:creationId xmlns:a16="http://schemas.microsoft.com/office/drawing/2014/main" id="{E7BEB3E6-9555-4BBC-8250-839815162096}"/>
            </a:ext>
          </a:extLst>
        </xdr:cNvPr>
        <xdr:cNvSpPr txBox="1"/>
      </xdr:nvSpPr>
      <xdr:spPr>
        <a:xfrm>
          <a:off x="38100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85</xdr:row>
      <xdr:rowOff>0</xdr:rowOff>
    </xdr:from>
    <xdr:ext cx="184731" cy="264560"/>
    <xdr:sp macro="" textlink="">
      <xdr:nvSpPr>
        <xdr:cNvPr id="50" name="TextBox 49">
          <a:extLst>
            <a:ext uri="{FF2B5EF4-FFF2-40B4-BE49-F238E27FC236}">
              <a16:creationId xmlns:a16="http://schemas.microsoft.com/office/drawing/2014/main" id="{125F975F-09DB-48E9-9A29-A39D210A7124}"/>
            </a:ext>
          </a:extLst>
        </xdr:cNvPr>
        <xdr:cNvSpPr txBox="1"/>
      </xdr:nvSpPr>
      <xdr:spPr>
        <a:xfrm>
          <a:off x="284035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85</xdr:row>
      <xdr:rowOff>0</xdr:rowOff>
    </xdr:from>
    <xdr:ext cx="184731" cy="264560"/>
    <xdr:sp macro="" textlink="">
      <xdr:nvSpPr>
        <xdr:cNvPr id="51" name="TextBox 50">
          <a:extLst>
            <a:ext uri="{FF2B5EF4-FFF2-40B4-BE49-F238E27FC236}">
              <a16:creationId xmlns:a16="http://schemas.microsoft.com/office/drawing/2014/main" id="{AE1F295A-6B4B-42A5-B05A-AB1A0D8371C4}"/>
            </a:ext>
          </a:extLst>
        </xdr:cNvPr>
        <xdr:cNvSpPr txBox="1"/>
      </xdr:nvSpPr>
      <xdr:spPr>
        <a:xfrm>
          <a:off x="4032885"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85</xdr:row>
      <xdr:rowOff>0</xdr:rowOff>
    </xdr:from>
    <xdr:ext cx="184731" cy="264560"/>
    <xdr:sp macro="" textlink="">
      <xdr:nvSpPr>
        <xdr:cNvPr id="52" name="TextBox 51">
          <a:extLst>
            <a:ext uri="{FF2B5EF4-FFF2-40B4-BE49-F238E27FC236}">
              <a16:creationId xmlns:a16="http://schemas.microsoft.com/office/drawing/2014/main" id="{5E6BC45D-6415-4862-9C20-A42AA626DA8A}"/>
            </a:ext>
          </a:extLst>
        </xdr:cNvPr>
        <xdr:cNvSpPr txBox="1"/>
      </xdr:nvSpPr>
      <xdr:spPr>
        <a:xfrm>
          <a:off x="5223510" y="5811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53" name="TextBox 52">
          <a:extLst>
            <a:ext uri="{FF2B5EF4-FFF2-40B4-BE49-F238E27FC236}">
              <a16:creationId xmlns:a16="http://schemas.microsoft.com/office/drawing/2014/main" id="{C917946F-F78D-402C-BD6B-B790B83639EB}"/>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77</xdr:row>
      <xdr:rowOff>0</xdr:rowOff>
    </xdr:from>
    <xdr:ext cx="192763" cy="264560"/>
    <xdr:sp macro="" textlink="">
      <xdr:nvSpPr>
        <xdr:cNvPr id="54" name="TextBox 53">
          <a:extLst>
            <a:ext uri="{FF2B5EF4-FFF2-40B4-BE49-F238E27FC236}">
              <a16:creationId xmlns:a16="http://schemas.microsoft.com/office/drawing/2014/main" id="{890BDFDE-D6FE-43D6-A3E5-74F76A56A56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78</xdr:row>
      <xdr:rowOff>0</xdr:rowOff>
    </xdr:from>
    <xdr:ext cx="192763" cy="303466"/>
    <xdr:sp macro="" textlink="">
      <xdr:nvSpPr>
        <xdr:cNvPr id="55" name="TextBox 54">
          <a:extLst>
            <a:ext uri="{FF2B5EF4-FFF2-40B4-BE49-F238E27FC236}">
              <a16:creationId xmlns:a16="http://schemas.microsoft.com/office/drawing/2014/main" id="{B51D6E42-6610-4643-9066-8D10C028E5F4}"/>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6" name="TextBox 55">
          <a:extLst>
            <a:ext uri="{FF2B5EF4-FFF2-40B4-BE49-F238E27FC236}">
              <a16:creationId xmlns:a16="http://schemas.microsoft.com/office/drawing/2014/main" id="{87211559-BD74-48D5-8F4C-A7AF649C2339}"/>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79</xdr:row>
      <xdr:rowOff>0</xdr:rowOff>
    </xdr:from>
    <xdr:ext cx="192763" cy="264560"/>
    <xdr:sp macro="" textlink="">
      <xdr:nvSpPr>
        <xdr:cNvPr id="57" name="TextBox 56">
          <a:extLst>
            <a:ext uri="{FF2B5EF4-FFF2-40B4-BE49-F238E27FC236}">
              <a16:creationId xmlns:a16="http://schemas.microsoft.com/office/drawing/2014/main" id="{D72E794F-7D2D-4137-8D73-4B20A9B34902}"/>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8" name="TextBox 57">
          <a:extLst>
            <a:ext uri="{FF2B5EF4-FFF2-40B4-BE49-F238E27FC236}">
              <a16:creationId xmlns:a16="http://schemas.microsoft.com/office/drawing/2014/main" id="{25F43BA1-4497-4903-A7AD-93FF6363AEB3}"/>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80</xdr:row>
      <xdr:rowOff>0</xdr:rowOff>
    </xdr:from>
    <xdr:ext cx="192763" cy="264560"/>
    <xdr:sp macro="" textlink="">
      <xdr:nvSpPr>
        <xdr:cNvPr id="59" name="TextBox 58">
          <a:extLst>
            <a:ext uri="{FF2B5EF4-FFF2-40B4-BE49-F238E27FC236}">
              <a16:creationId xmlns:a16="http://schemas.microsoft.com/office/drawing/2014/main" id="{C1B48C59-17DD-4FB3-871C-0C38DDCD89E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0" name="TextBox 59">
          <a:extLst>
            <a:ext uri="{FF2B5EF4-FFF2-40B4-BE49-F238E27FC236}">
              <a16:creationId xmlns:a16="http://schemas.microsoft.com/office/drawing/2014/main" id="{50A2774A-ADA8-4A3C-ACA5-42D74628CA0D}"/>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81</xdr:row>
      <xdr:rowOff>0</xdr:rowOff>
    </xdr:from>
    <xdr:ext cx="192763" cy="264560"/>
    <xdr:sp macro="" textlink="">
      <xdr:nvSpPr>
        <xdr:cNvPr id="61" name="TextBox 60">
          <a:extLst>
            <a:ext uri="{FF2B5EF4-FFF2-40B4-BE49-F238E27FC236}">
              <a16:creationId xmlns:a16="http://schemas.microsoft.com/office/drawing/2014/main" id="{BA68B7A0-F652-4168-884E-95B99EA22F8C}"/>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2" name="TextBox 61">
          <a:extLst>
            <a:ext uri="{FF2B5EF4-FFF2-40B4-BE49-F238E27FC236}">
              <a16:creationId xmlns:a16="http://schemas.microsoft.com/office/drawing/2014/main" id="{CBA3008B-5D9F-4F97-B876-5973A375C793}"/>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82</xdr:row>
      <xdr:rowOff>0</xdr:rowOff>
    </xdr:from>
    <xdr:ext cx="192763" cy="264560"/>
    <xdr:sp macro="" textlink="">
      <xdr:nvSpPr>
        <xdr:cNvPr id="63" name="TextBox 62">
          <a:extLst>
            <a:ext uri="{FF2B5EF4-FFF2-40B4-BE49-F238E27FC236}">
              <a16:creationId xmlns:a16="http://schemas.microsoft.com/office/drawing/2014/main" id="{456CB437-5526-4DCF-9AA1-BF0E505275AB}"/>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4" name="TextBox 63">
          <a:extLst>
            <a:ext uri="{FF2B5EF4-FFF2-40B4-BE49-F238E27FC236}">
              <a16:creationId xmlns:a16="http://schemas.microsoft.com/office/drawing/2014/main" id="{45864B2F-682A-42F3-9EB7-F34862BE14D8}"/>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83</xdr:row>
      <xdr:rowOff>0</xdr:rowOff>
    </xdr:from>
    <xdr:ext cx="192763" cy="264560"/>
    <xdr:sp macro="" textlink="">
      <xdr:nvSpPr>
        <xdr:cNvPr id="65" name="TextBox 64">
          <a:extLst>
            <a:ext uri="{FF2B5EF4-FFF2-40B4-BE49-F238E27FC236}">
              <a16:creationId xmlns:a16="http://schemas.microsoft.com/office/drawing/2014/main" id="{D327F1BF-2B37-41B9-82A1-11AE0D7BB55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66" name="TextBox 65">
          <a:extLst>
            <a:ext uri="{FF2B5EF4-FFF2-40B4-BE49-F238E27FC236}">
              <a16:creationId xmlns:a16="http://schemas.microsoft.com/office/drawing/2014/main" id="{53595A9F-86B2-4981-B2B4-6B5EEFBA6A2B}"/>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77</xdr:row>
      <xdr:rowOff>0</xdr:rowOff>
    </xdr:from>
    <xdr:ext cx="184731" cy="264560"/>
    <xdr:sp macro="" textlink="">
      <xdr:nvSpPr>
        <xdr:cNvPr id="67" name="TextBox 66">
          <a:extLst>
            <a:ext uri="{FF2B5EF4-FFF2-40B4-BE49-F238E27FC236}">
              <a16:creationId xmlns:a16="http://schemas.microsoft.com/office/drawing/2014/main" id="{2F4D555B-0D84-44D0-9C36-ED070EA6E86E}"/>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78</xdr:row>
      <xdr:rowOff>0</xdr:rowOff>
    </xdr:from>
    <xdr:ext cx="184731" cy="303466"/>
    <xdr:sp macro="" textlink="">
      <xdr:nvSpPr>
        <xdr:cNvPr id="68" name="TextBox 67">
          <a:extLst>
            <a:ext uri="{FF2B5EF4-FFF2-40B4-BE49-F238E27FC236}">
              <a16:creationId xmlns:a16="http://schemas.microsoft.com/office/drawing/2014/main" id="{34230EE0-EA25-4A5D-A267-AE5BC77EB3E7}"/>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69" name="TextBox 68">
          <a:extLst>
            <a:ext uri="{FF2B5EF4-FFF2-40B4-BE49-F238E27FC236}">
              <a16:creationId xmlns:a16="http://schemas.microsoft.com/office/drawing/2014/main" id="{E4A55C08-66F1-4EF5-A3F5-8EE52F3D4361}"/>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79</xdr:row>
      <xdr:rowOff>0</xdr:rowOff>
    </xdr:from>
    <xdr:ext cx="184731" cy="264560"/>
    <xdr:sp macro="" textlink="">
      <xdr:nvSpPr>
        <xdr:cNvPr id="70" name="TextBox 69">
          <a:extLst>
            <a:ext uri="{FF2B5EF4-FFF2-40B4-BE49-F238E27FC236}">
              <a16:creationId xmlns:a16="http://schemas.microsoft.com/office/drawing/2014/main" id="{1792CB22-0B33-42D2-BA9E-19592DE8AA5F}"/>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1" name="TextBox 70">
          <a:extLst>
            <a:ext uri="{FF2B5EF4-FFF2-40B4-BE49-F238E27FC236}">
              <a16:creationId xmlns:a16="http://schemas.microsoft.com/office/drawing/2014/main" id="{7D30D314-CB01-47A4-8641-36C2FB0043B8}"/>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80</xdr:row>
      <xdr:rowOff>0</xdr:rowOff>
    </xdr:from>
    <xdr:ext cx="184731" cy="264560"/>
    <xdr:sp macro="" textlink="">
      <xdr:nvSpPr>
        <xdr:cNvPr id="72" name="TextBox 71">
          <a:extLst>
            <a:ext uri="{FF2B5EF4-FFF2-40B4-BE49-F238E27FC236}">
              <a16:creationId xmlns:a16="http://schemas.microsoft.com/office/drawing/2014/main" id="{4E344ACD-1C15-4BB5-94BE-93D6353C93AA}"/>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3" name="TextBox 72">
          <a:extLst>
            <a:ext uri="{FF2B5EF4-FFF2-40B4-BE49-F238E27FC236}">
              <a16:creationId xmlns:a16="http://schemas.microsoft.com/office/drawing/2014/main" id="{DAE3D4CB-A832-4BA3-944F-4E83DF2FE329}"/>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81</xdr:row>
      <xdr:rowOff>0</xdr:rowOff>
    </xdr:from>
    <xdr:ext cx="184731" cy="264560"/>
    <xdr:sp macro="" textlink="">
      <xdr:nvSpPr>
        <xdr:cNvPr id="74" name="TextBox 73">
          <a:extLst>
            <a:ext uri="{FF2B5EF4-FFF2-40B4-BE49-F238E27FC236}">
              <a16:creationId xmlns:a16="http://schemas.microsoft.com/office/drawing/2014/main" id="{AC66CD61-7665-47A6-9B65-4D04544A6EB0}"/>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5" name="TextBox 74">
          <a:extLst>
            <a:ext uri="{FF2B5EF4-FFF2-40B4-BE49-F238E27FC236}">
              <a16:creationId xmlns:a16="http://schemas.microsoft.com/office/drawing/2014/main" id="{9C0907CB-11AA-43F1-9400-1EA4B4D0BAF8}"/>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82</xdr:row>
      <xdr:rowOff>0</xdr:rowOff>
    </xdr:from>
    <xdr:ext cx="184731" cy="264560"/>
    <xdr:sp macro="" textlink="">
      <xdr:nvSpPr>
        <xdr:cNvPr id="76" name="TextBox 75">
          <a:extLst>
            <a:ext uri="{FF2B5EF4-FFF2-40B4-BE49-F238E27FC236}">
              <a16:creationId xmlns:a16="http://schemas.microsoft.com/office/drawing/2014/main" id="{F9C78882-F42E-49D0-98BC-2DDE6363673D}"/>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7" name="TextBox 76">
          <a:extLst>
            <a:ext uri="{FF2B5EF4-FFF2-40B4-BE49-F238E27FC236}">
              <a16:creationId xmlns:a16="http://schemas.microsoft.com/office/drawing/2014/main" id="{52DDBCFB-AAB7-4025-9B11-095AEE1868CF}"/>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83</xdr:row>
      <xdr:rowOff>0</xdr:rowOff>
    </xdr:from>
    <xdr:ext cx="184731" cy="264560"/>
    <xdr:sp macro="" textlink="">
      <xdr:nvSpPr>
        <xdr:cNvPr id="78" name="TextBox 77">
          <a:extLst>
            <a:ext uri="{FF2B5EF4-FFF2-40B4-BE49-F238E27FC236}">
              <a16:creationId xmlns:a16="http://schemas.microsoft.com/office/drawing/2014/main" id="{CF0107D8-467B-410D-979B-2EF6D01E3577}"/>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79" name="TextBox 78">
          <a:extLst>
            <a:ext uri="{FF2B5EF4-FFF2-40B4-BE49-F238E27FC236}">
              <a16:creationId xmlns:a16="http://schemas.microsoft.com/office/drawing/2014/main" id="{30F0AFA7-6DD5-4D52-9E96-8091D53AAB5A}"/>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77</xdr:row>
      <xdr:rowOff>0</xdr:rowOff>
    </xdr:from>
    <xdr:ext cx="184731" cy="264560"/>
    <xdr:sp macro="" textlink="">
      <xdr:nvSpPr>
        <xdr:cNvPr id="80" name="TextBox 79">
          <a:extLst>
            <a:ext uri="{FF2B5EF4-FFF2-40B4-BE49-F238E27FC236}">
              <a16:creationId xmlns:a16="http://schemas.microsoft.com/office/drawing/2014/main" id="{0AF79CEF-581F-4270-BD5B-86ACB49B71F2}"/>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78</xdr:row>
      <xdr:rowOff>0</xdr:rowOff>
    </xdr:from>
    <xdr:ext cx="184731" cy="303466"/>
    <xdr:sp macro="" textlink="">
      <xdr:nvSpPr>
        <xdr:cNvPr id="81" name="TextBox 80">
          <a:extLst>
            <a:ext uri="{FF2B5EF4-FFF2-40B4-BE49-F238E27FC236}">
              <a16:creationId xmlns:a16="http://schemas.microsoft.com/office/drawing/2014/main" id="{F835C253-60B7-44DB-A26F-DE828C9EA906}"/>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2" name="TextBox 81">
          <a:extLst>
            <a:ext uri="{FF2B5EF4-FFF2-40B4-BE49-F238E27FC236}">
              <a16:creationId xmlns:a16="http://schemas.microsoft.com/office/drawing/2014/main" id="{11609A19-1DAF-4F21-A66D-985923E002B8}"/>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79</xdr:row>
      <xdr:rowOff>0</xdr:rowOff>
    </xdr:from>
    <xdr:ext cx="184731" cy="264560"/>
    <xdr:sp macro="" textlink="">
      <xdr:nvSpPr>
        <xdr:cNvPr id="83" name="TextBox 82">
          <a:extLst>
            <a:ext uri="{FF2B5EF4-FFF2-40B4-BE49-F238E27FC236}">
              <a16:creationId xmlns:a16="http://schemas.microsoft.com/office/drawing/2014/main" id="{03A41DF2-572A-43B8-9184-2A287B5F6BAE}"/>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4" name="TextBox 83">
          <a:extLst>
            <a:ext uri="{FF2B5EF4-FFF2-40B4-BE49-F238E27FC236}">
              <a16:creationId xmlns:a16="http://schemas.microsoft.com/office/drawing/2014/main" id="{275327EC-30A7-4FB9-9454-A88C7591A5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80</xdr:row>
      <xdr:rowOff>0</xdr:rowOff>
    </xdr:from>
    <xdr:ext cx="184731" cy="264560"/>
    <xdr:sp macro="" textlink="">
      <xdr:nvSpPr>
        <xdr:cNvPr id="85" name="TextBox 84">
          <a:extLst>
            <a:ext uri="{FF2B5EF4-FFF2-40B4-BE49-F238E27FC236}">
              <a16:creationId xmlns:a16="http://schemas.microsoft.com/office/drawing/2014/main" id="{5239E288-CFDC-42D1-82B5-5270CCEB9073}"/>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6" name="TextBox 85">
          <a:extLst>
            <a:ext uri="{FF2B5EF4-FFF2-40B4-BE49-F238E27FC236}">
              <a16:creationId xmlns:a16="http://schemas.microsoft.com/office/drawing/2014/main" id="{E5FB8CA1-F59C-4CA9-A541-7A26DFB422AC}"/>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81</xdr:row>
      <xdr:rowOff>0</xdr:rowOff>
    </xdr:from>
    <xdr:ext cx="184731" cy="264560"/>
    <xdr:sp macro="" textlink="">
      <xdr:nvSpPr>
        <xdr:cNvPr id="87" name="TextBox 86">
          <a:extLst>
            <a:ext uri="{FF2B5EF4-FFF2-40B4-BE49-F238E27FC236}">
              <a16:creationId xmlns:a16="http://schemas.microsoft.com/office/drawing/2014/main" id="{BBB27C17-64DE-4DC2-8905-2013548F1F5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8" name="TextBox 87">
          <a:extLst>
            <a:ext uri="{FF2B5EF4-FFF2-40B4-BE49-F238E27FC236}">
              <a16:creationId xmlns:a16="http://schemas.microsoft.com/office/drawing/2014/main" id="{7DCE7BC4-8871-4757-BDBC-207069BFD858}"/>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82</xdr:row>
      <xdr:rowOff>0</xdr:rowOff>
    </xdr:from>
    <xdr:ext cx="184731" cy="264560"/>
    <xdr:sp macro="" textlink="">
      <xdr:nvSpPr>
        <xdr:cNvPr id="89" name="TextBox 88">
          <a:extLst>
            <a:ext uri="{FF2B5EF4-FFF2-40B4-BE49-F238E27FC236}">
              <a16:creationId xmlns:a16="http://schemas.microsoft.com/office/drawing/2014/main" id="{21B6D663-4DDD-46B0-BFFA-C0EAAED18116}"/>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0" name="TextBox 89">
          <a:extLst>
            <a:ext uri="{FF2B5EF4-FFF2-40B4-BE49-F238E27FC236}">
              <a16:creationId xmlns:a16="http://schemas.microsoft.com/office/drawing/2014/main" id="{9882255F-6DE8-4A19-90F7-F80731B3B7AA}"/>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83</xdr:row>
      <xdr:rowOff>0</xdr:rowOff>
    </xdr:from>
    <xdr:ext cx="184731" cy="264560"/>
    <xdr:sp macro="" textlink="">
      <xdr:nvSpPr>
        <xdr:cNvPr id="91" name="TextBox 90">
          <a:extLst>
            <a:ext uri="{FF2B5EF4-FFF2-40B4-BE49-F238E27FC236}">
              <a16:creationId xmlns:a16="http://schemas.microsoft.com/office/drawing/2014/main" id="{8DF2A31E-E281-4B0A-83F2-9B92B29054C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76</xdr:row>
      <xdr:rowOff>0</xdr:rowOff>
    </xdr:from>
    <xdr:ext cx="192763" cy="264560"/>
    <xdr:sp macro="" textlink="">
      <xdr:nvSpPr>
        <xdr:cNvPr id="92" name="TextBox 91">
          <a:extLst>
            <a:ext uri="{FF2B5EF4-FFF2-40B4-BE49-F238E27FC236}">
              <a16:creationId xmlns:a16="http://schemas.microsoft.com/office/drawing/2014/main" id="{0C9BF72A-D427-4BA1-BFA4-E8E6DD358C8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76</xdr:row>
      <xdr:rowOff>0</xdr:rowOff>
    </xdr:from>
    <xdr:ext cx="192763" cy="264560"/>
    <xdr:sp macro="" textlink="">
      <xdr:nvSpPr>
        <xdr:cNvPr id="93" name="TextBox 92">
          <a:extLst>
            <a:ext uri="{FF2B5EF4-FFF2-40B4-BE49-F238E27FC236}">
              <a16:creationId xmlns:a16="http://schemas.microsoft.com/office/drawing/2014/main" id="{608862AA-79D3-4F5B-BD7F-4AA0F72F2ABD}"/>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76</xdr:row>
      <xdr:rowOff>0</xdr:rowOff>
    </xdr:from>
    <xdr:ext cx="192763" cy="264560"/>
    <xdr:sp macro="" textlink="">
      <xdr:nvSpPr>
        <xdr:cNvPr id="94" name="TextBox 93">
          <a:extLst>
            <a:ext uri="{FF2B5EF4-FFF2-40B4-BE49-F238E27FC236}">
              <a16:creationId xmlns:a16="http://schemas.microsoft.com/office/drawing/2014/main" id="{15599821-75FA-4E78-A66C-929E8469856A}"/>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77</xdr:row>
      <xdr:rowOff>0</xdr:rowOff>
    </xdr:from>
    <xdr:ext cx="183125" cy="264560"/>
    <xdr:sp macro="" textlink="">
      <xdr:nvSpPr>
        <xdr:cNvPr id="95" name="TextBox 94">
          <a:extLst>
            <a:ext uri="{FF2B5EF4-FFF2-40B4-BE49-F238E27FC236}">
              <a16:creationId xmlns:a16="http://schemas.microsoft.com/office/drawing/2014/main" id="{85F95BDC-8186-4F41-ABC5-88A72C6E706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77</xdr:row>
      <xdr:rowOff>0</xdr:rowOff>
    </xdr:from>
    <xdr:ext cx="184731" cy="271710"/>
    <xdr:sp macro="" textlink="">
      <xdr:nvSpPr>
        <xdr:cNvPr id="96" name="TextBox 95">
          <a:extLst>
            <a:ext uri="{FF2B5EF4-FFF2-40B4-BE49-F238E27FC236}">
              <a16:creationId xmlns:a16="http://schemas.microsoft.com/office/drawing/2014/main" id="{E94C7645-14AC-44C7-AC6B-902234314B8C}"/>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3143250</xdr:colOff>
      <xdr:row>91</xdr:row>
      <xdr:rowOff>95250</xdr:rowOff>
    </xdr:from>
    <xdr:ext cx="184731" cy="264560"/>
    <xdr:sp macro="" textlink="">
      <xdr:nvSpPr>
        <xdr:cNvPr id="2" name="TextBox 1">
          <a:extLst>
            <a:ext uri="{FF2B5EF4-FFF2-40B4-BE49-F238E27FC236}">
              <a16:creationId xmlns:a16="http://schemas.microsoft.com/office/drawing/2014/main" id="{BC73EA80-BFA7-4EEA-A57A-A468F13A7389}"/>
            </a:ext>
          </a:extLst>
        </xdr:cNvPr>
        <xdr:cNvSpPr txBox="1"/>
      </xdr:nvSpPr>
      <xdr:spPr>
        <a:xfrm>
          <a:off x="32385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95250</xdr:rowOff>
    </xdr:from>
    <xdr:ext cx="184731" cy="264560"/>
    <xdr:sp macro="" textlink="">
      <xdr:nvSpPr>
        <xdr:cNvPr id="3" name="TextBox 2">
          <a:extLst>
            <a:ext uri="{FF2B5EF4-FFF2-40B4-BE49-F238E27FC236}">
              <a16:creationId xmlns:a16="http://schemas.microsoft.com/office/drawing/2014/main" id="{E6B7637F-C46B-4C45-A5F7-706F5433AF3B}"/>
            </a:ext>
          </a:extLst>
        </xdr:cNvPr>
        <xdr:cNvSpPr txBox="1"/>
      </xdr:nvSpPr>
      <xdr:spPr>
        <a:xfrm>
          <a:off x="3114675"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91</xdr:row>
      <xdr:rowOff>95250</xdr:rowOff>
    </xdr:from>
    <xdr:ext cx="184731" cy="264560"/>
    <xdr:sp macro="" textlink="">
      <xdr:nvSpPr>
        <xdr:cNvPr id="4" name="TextBox 3">
          <a:extLst>
            <a:ext uri="{FF2B5EF4-FFF2-40B4-BE49-F238E27FC236}">
              <a16:creationId xmlns:a16="http://schemas.microsoft.com/office/drawing/2014/main" id="{D9F31A8C-4D3E-4860-A682-2B03B91B8D6C}"/>
            </a:ext>
          </a:extLst>
        </xdr:cNvPr>
        <xdr:cNvSpPr txBox="1"/>
      </xdr:nvSpPr>
      <xdr:spPr>
        <a:xfrm>
          <a:off x="421767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5" name="TextBox 4">
          <a:extLst>
            <a:ext uri="{FF2B5EF4-FFF2-40B4-BE49-F238E27FC236}">
              <a16:creationId xmlns:a16="http://schemas.microsoft.com/office/drawing/2014/main" id="{D7BDA680-56D6-4A90-BD1F-C4EA72E7CAA9}"/>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1905</xdr:colOff>
      <xdr:row>91</xdr:row>
      <xdr:rowOff>95250</xdr:rowOff>
    </xdr:from>
    <xdr:ext cx="184731" cy="264560"/>
    <xdr:sp macro="" textlink="">
      <xdr:nvSpPr>
        <xdr:cNvPr id="6" name="TextBox 5">
          <a:extLst>
            <a:ext uri="{FF2B5EF4-FFF2-40B4-BE49-F238E27FC236}">
              <a16:creationId xmlns:a16="http://schemas.microsoft.com/office/drawing/2014/main" id="{6857034D-1416-4AE2-A94D-26B18505EF76}"/>
            </a:ext>
          </a:extLst>
        </xdr:cNvPr>
        <xdr:cNvSpPr txBox="1"/>
      </xdr:nvSpPr>
      <xdr:spPr>
        <a:xfrm>
          <a:off x="5307330" y="16983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84</xdr:row>
      <xdr:rowOff>0</xdr:rowOff>
    </xdr:from>
    <xdr:ext cx="192763" cy="264560"/>
    <xdr:sp macro="" textlink="">
      <xdr:nvSpPr>
        <xdr:cNvPr id="40" name="TextBox 39">
          <a:extLst>
            <a:ext uri="{FF2B5EF4-FFF2-40B4-BE49-F238E27FC236}">
              <a16:creationId xmlns:a16="http://schemas.microsoft.com/office/drawing/2014/main" id="{7E60CA82-CA3A-4D7D-A9AE-1C4A2E5F8B5D}"/>
            </a:ext>
          </a:extLst>
        </xdr:cNvPr>
        <xdr:cNvSpPr txBox="1"/>
      </xdr:nvSpPr>
      <xdr:spPr>
        <a:xfrm>
          <a:off x="39109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85</xdr:row>
      <xdr:rowOff>0</xdr:rowOff>
    </xdr:from>
    <xdr:ext cx="192763" cy="264560"/>
    <xdr:sp macro="" textlink="">
      <xdr:nvSpPr>
        <xdr:cNvPr id="41" name="TextBox 40">
          <a:extLst>
            <a:ext uri="{FF2B5EF4-FFF2-40B4-BE49-F238E27FC236}">
              <a16:creationId xmlns:a16="http://schemas.microsoft.com/office/drawing/2014/main" id="{9729F43A-C635-49CA-B943-BBFD764BF6A4}"/>
            </a:ext>
          </a:extLst>
        </xdr:cNvPr>
        <xdr:cNvSpPr txBox="1"/>
      </xdr:nvSpPr>
      <xdr:spPr>
        <a:xfrm>
          <a:off x="3910965" y="6810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86</xdr:row>
      <xdr:rowOff>0</xdr:rowOff>
    </xdr:from>
    <xdr:ext cx="192763" cy="303466"/>
    <xdr:sp macro="" textlink="">
      <xdr:nvSpPr>
        <xdr:cNvPr id="42" name="TextBox 41">
          <a:extLst>
            <a:ext uri="{FF2B5EF4-FFF2-40B4-BE49-F238E27FC236}">
              <a16:creationId xmlns:a16="http://schemas.microsoft.com/office/drawing/2014/main" id="{F205498C-3919-4E5E-95D8-2CC37C5F9C50}"/>
            </a:ext>
          </a:extLst>
        </xdr:cNvPr>
        <xdr:cNvSpPr txBox="1"/>
      </xdr:nvSpPr>
      <xdr:spPr>
        <a:xfrm>
          <a:off x="3910965" y="69723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3" name="TextBox 42">
          <a:extLst>
            <a:ext uri="{FF2B5EF4-FFF2-40B4-BE49-F238E27FC236}">
              <a16:creationId xmlns:a16="http://schemas.microsoft.com/office/drawing/2014/main" id="{C2C8729C-3E9B-4918-AB63-9389E2F6F8A7}"/>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87</xdr:row>
      <xdr:rowOff>0</xdr:rowOff>
    </xdr:from>
    <xdr:ext cx="192763" cy="264560"/>
    <xdr:sp macro="" textlink="">
      <xdr:nvSpPr>
        <xdr:cNvPr id="44" name="TextBox 43">
          <a:extLst>
            <a:ext uri="{FF2B5EF4-FFF2-40B4-BE49-F238E27FC236}">
              <a16:creationId xmlns:a16="http://schemas.microsoft.com/office/drawing/2014/main" id="{3F479A8F-C2B3-49DA-820C-6D48D86063D8}"/>
            </a:ext>
          </a:extLst>
        </xdr:cNvPr>
        <xdr:cNvSpPr txBox="1"/>
      </xdr:nvSpPr>
      <xdr:spPr>
        <a:xfrm>
          <a:off x="3910965" y="7134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5" name="TextBox 44">
          <a:extLst>
            <a:ext uri="{FF2B5EF4-FFF2-40B4-BE49-F238E27FC236}">
              <a16:creationId xmlns:a16="http://schemas.microsoft.com/office/drawing/2014/main" id="{6091A299-0DD2-41B8-823D-C4904942E385}"/>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88</xdr:row>
      <xdr:rowOff>0</xdr:rowOff>
    </xdr:from>
    <xdr:ext cx="192763" cy="264560"/>
    <xdr:sp macro="" textlink="">
      <xdr:nvSpPr>
        <xdr:cNvPr id="46" name="TextBox 45">
          <a:extLst>
            <a:ext uri="{FF2B5EF4-FFF2-40B4-BE49-F238E27FC236}">
              <a16:creationId xmlns:a16="http://schemas.microsoft.com/office/drawing/2014/main" id="{0A49A6F4-5A2C-4C00-8F7D-45631B35AEB7}"/>
            </a:ext>
          </a:extLst>
        </xdr:cNvPr>
        <xdr:cNvSpPr txBox="1"/>
      </xdr:nvSpPr>
      <xdr:spPr>
        <a:xfrm>
          <a:off x="3910965" y="72961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7" name="TextBox 46">
          <a:extLst>
            <a:ext uri="{FF2B5EF4-FFF2-40B4-BE49-F238E27FC236}">
              <a16:creationId xmlns:a16="http://schemas.microsoft.com/office/drawing/2014/main" id="{535F8EF8-27D6-45C0-AC87-0063E1AC703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89</xdr:row>
      <xdr:rowOff>0</xdr:rowOff>
    </xdr:from>
    <xdr:ext cx="192763" cy="264560"/>
    <xdr:sp macro="" textlink="">
      <xdr:nvSpPr>
        <xdr:cNvPr id="48" name="TextBox 47">
          <a:extLst>
            <a:ext uri="{FF2B5EF4-FFF2-40B4-BE49-F238E27FC236}">
              <a16:creationId xmlns:a16="http://schemas.microsoft.com/office/drawing/2014/main" id="{74F9A0BD-3B5E-41E4-AC6C-656EE0AB3644}"/>
            </a:ext>
          </a:extLst>
        </xdr:cNvPr>
        <xdr:cNvSpPr txBox="1"/>
      </xdr:nvSpPr>
      <xdr:spPr>
        <a:xfrm>
          <a:off x="3910965" y="7458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49" name="TextBox 48">
          <a:extLst>
            <a:ext uri="{FF2B5EF4-FFF2-40B4-BE49-F238E27FC236}">
              <a16:creationId xmlns:a16="http://schemas.microsoft.com/office/drawing/2014/main" id="{8DD63BB0-CDB6-4F40-BAC1-D97E5AE4D379}"/>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90</xdr:row>
      <xdr:rowOff>0</xdr:rowOff>
    </xdr:from>
    <xdr:ext cx="192763" cy="264560"/>
    <xdr:sp macro="" textlink="">
      <xdr:nvSpPr>
        <xdr:cNvPr id="50" name="TextBox 49">
          <a:extLst>
            <a:ext uri="{FF2B5EF4-FFF2-40B4-BE49-F238E27FC236}">
              <a16:creationId xmlns:a16="http://schemas.microsoft.com/office/drawing/2014/main" id="{A222D8DD-7FE5-4983-BDA6-F0E0A1AF9AFD}"/>
            </a:ext>
          </a:extLst>
        </xdr:cNvPr>
        <xdr:cNvSpPr txBox="1"/>
      </xdr:nvSpPr>
      <xdr:spPr>
        <a:xfrm>
          <a:off x="3910965" y="7620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1" name="TextBox 50">
          <a:extLst>
            <a:ext uri="{FF2B5EF4-FFF2-40B4-BE49-F238E27FC236}">
              <a16:creationId xmlns:a16="http://schemas.microsoft.com/office/drawing/2014/main" id="{CE8D51D5-E85C-42DA-80D2-928A1E71146A}"/>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91</xdr:row>
      <xdr:rowOff>0</xdr:rowOff>
    </xdr:from>
    <xdr:ext cx="192763" cy="264560"/>
    <xdr:sp macro="" textlink="">
      <xdr:nvSpPr>
        <xdr:cNvPr id="52" name="TextBox 51">
          <a:extLst>
            <a:ext uri="{FF2B5EF4-FFF2-40B4-BE49-F238E27FC236}">
              <a16:creationId xmlns:a16="http://schemas.microsoft.com/office/drawing/2014/main" id="{9A5A40CE-56CD-4240-A7AA-83B7E74B820E}"/>
            </a:ext>
          </a:extLst>
        </xdr:cNvPr>
        <xdr:cNvSpPr txBox="1"/>
      </xdr:nvSpPr>
      <xdr:spPr>
        <a:xfrm>
          <a:off x="3910965" y="7781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84</xdr:row>
      <xdr:rowOff>0</xdr:rowOff>
    </xdr:from>
    <xdr:ext cx="184731" cy="264560"/>
    <xdr:sp macro="" textlink="">
      <xdr:nvSpPr>
        <xdr:cNvPr id="53" name="TextBox 52">
          <a:extLst>
            <a:ext uri="{FF2B5EF4-FFF2-40B4-BE49-F238E27FC236}">
              <a16:creationId xmlns:a16="http://schemas.microsoft.com/office/drawing/2014/main" id="{99BC630A-88E7-4BBD-9897-FC7075DF7B03}"/>
            </a:ext>
          </a:extLst>
        </xdr:cNvPr>
        <xdr:cNvSpPr txBox="1"/>
      </xdr:nvSpPr>
      <xdr:spPr>
        <a:xfrm>
          <a:off x="8048625"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85</xdr:row>
      <xdr:rowOff>0</xdr:rowOff>
    </xdr:from>
    <xdr:ext cx="184731" cy="264560"/>
    <xdr:sp macro="" textlink="">
      <xdr:nvSpPr>
        <xdr:cNvPr id="54" name="TextBox 53">
          <a:extLst>
            <a:ext uri="{FF2B5EF4-FFF2-40B4-BE49-F238E27FC236}">
              <a16:creationId xmlns:a16="http://schemas.microsoft.com/office/drawing/2014/main" id="{AE4B24C9-FCE3-49A3-A780-87BDEE0A3A6D}"/>
            </a:ext>
          </a:extLst>
        </xdr:cNvPr>
        <xdr:cNvSpPr txBox="1"/>
      </xdr:nvSpPr>
      <xdr:spPr>
        <a:xfrm>
          <a:off x="8048625"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86</xdr:row>
      <xdr:rowOff>0</xdr:rowOff>
    </xdr:from>
    <xdr:ext cx="184731" cy="303466"/>
    <xdr:sp macro="" textlink="">
      <xdr:nvSpPr>
        <xdr:cNvPr id="55" name="TextBox 54">
          <a:extLst>
            <a:ext uri="{FF2B5EF4-FFF2-40B4-BE49-F238E27FC236}">
              <a16:creationId xmlns:a16="http://schemas.microsoft.com/office/drawing/2014/main" id="{14E66F0C-EB1A-481A-B93A-FA829F0D1FAC}"/>
            </a:ext>
          </a:extLst>
        </xdr:cNvPr>
        <xdr:cNvSpPr txBox="1"/>
      </xdr:nvSpPr>
      <xdr:spPr>
        <a:xfrm>
          <a:off x="8048625"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6" name="TextBox 55">
          <a:extLst>
            <a:ext uri="{FF2B5EF4-FFF2-40B4-BE49-F238E27FC236}">
              <a16:creationId xmlns:a16="http://schemas.microsoft.com/office/drawing/2014/main" id="{CA04D0E9-42F8-4BAD-9CD2-3D8E28268C12}"/>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87</xdr:row>
      <xdr:rowOff>0</xdr:rowOff>
    </xdr:from>
    <xdr:ext cx="184731" cy="264560"/>
    <xdr:sp macro="" textlink="">
      <xdr:nvSpPr>
        <xdr:cNvPr id="57" name="TextBox 56">
          <a:extLst>
            <a:ext uri="{FF2B5EF4-FFF2-40B4-BE49-F238E27FC236}">
              <a16:creationId xmlns:a16="http://schemas.microsoft.com/office/drawing/2014/main" id="{057A3DF1-9295-4792-BE5F-55FFE3C606F7}"/>
            </a:ext>
          </a:extLst>
        </xdr:cNvPr>
        <xdr:cNvSpPr txBox="1"/>
      </xdr:nvSpPr>
      <xdr:spPr>
        <a:xfrm>
          <a:off x="8048625"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8" name="TextBox 57">
          <a:extLst>
            <a:ext uri="{FF2B5EF4-FFF2-40B4-BE49-F238E27FC236}">
              <a16:creationId xmlns:a16="http://schemas.microsoft.com/office/drawing/2014/main" id="{FCFC0A8C-73AD-43B6-A835-D77530174BC7}"/>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88</xdr:row>
      <xdr:rowOff>0</xdr:rowOff>
    </xdr:from>
    <xdr:ext cx="184731" cy="264560"/>
    <xdr:sp macro="" textlink="">
      <xdr:nvSpPr>
        <xdr:cNvPr id="59" name="TextBox 58">
          <a:extLst>
            <a:ext uri="{FF2B5EF4-FFF2-40B4-BE49-F238E27FC236}">
              <a16:creationId xmlns:a16="http://schemas.microsoft.com/office/drawing/2014/main" id="{8ED64E6E-7912-48EB-BA4A-0E7546D2DEDE}"/>
            </a:ext>
          </a:extLst>
        </xdr:cNvPr>
        <xdr:cNvSpPr txBox="1"/>
      </xdr:nvSpPr>
      <xdr:spPr>
        <a:xfrm>
          <a:off x="8048625"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0" name="TextBox 59">
          <a:extLst>
            <a:ext uri="{FF2B5EF4-FFF2-40B4-BE49-F238E27FC236}">
              <a16:creationId xmlns:a16="http://schemas.microsoft.com/office/drawing/2014/main" id="{E1A7F7DD-9173-4EB8-BC11-E8D19CCEC8B1}"/>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89</xdr:row>
      <xdr:rowOff>0</xdr:rowOff>
    </xdr:from>
    <xdr:ext cx="184731" cy="264560"/>
    <xdr:sp macro="" textlink="">
      <xdr:nvSpPr>
        <xdr:cNvPr id="61" name="TextBox 60">
          <a:extLst>
            <a:ext uri="{FF2B5EF4-FFF2-40B4-BE49-F238E27FC236}">
              <a16:creationId xmlns:a16="http://schemas.microsoft.com/office/drawing/2014/main" id="{24F52F94-68D3-4725-B491-6AE0E63E259D}"/>
            </a:ext>
          </a:extLst>
        </xdr:cNvPr>
        <xdr:cNvSpPr txBox="1"/>
      </xdr:nvSpPr>
      <xdr:spPr>
        <a:xfrm>
          <a:off x="8048625"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2" name="TextBox 61">
          <a:extLst>
            <a:ext uri="{FF2B5EF4-FFF2-40B4-BE49-F238E27FC236}">
              <a16:creationId xmlns:a16="http://schemas.microsoft.com/office/drawing/2014/main" id="{A915F600-4E46-4668-AAAF-DC460092779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90</xdr:row>
      <xdr:rowOff>0</xdr:rowOff>
    </xdr:from>
    <xdr:ext cx="184731" cy="264560"/>
    <xdr:sp macro="" textlink="">
      <xdr:nvSpPr>
        <xdr:cNvPr id="63" name="TextBox 62">
          <a:extLst>
            <a:ext uri="{FF2B5EF4-FFF2-40B4-BE49-F238E27FC236}">
              <a16:creationId xmlns:a16="http://schemas.microsoft.com/office/drawing/2014/main" id="{F10AB8E1-5BC4-4D5A-947A-BD78B5C34F4A}"/>
            </a:ext>
          </a:extLst>
        </xdr:cNvPr>
        <xdr:cNvSpPr txBox="1"/>
      </xdr:nvSpPr>
      <xdr:spPr>
        <a:xfrm>
          <a:off x="80486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4" name="TextBox 63">
          <a:extLst>
            <a:ext uri="{FF2B5EF4-FFF2-40B4-BE49-F238E27FC236}">
              <a16:creationId xmlns:a16="http://schemas.microsoft.com/office/drawing/2014/main" id="{B04B84BB-6904-4067-8BAE-20F548A7714A}"/>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91</xdr:row>
      <xdr:rowOff>0</xdr:rowOff>
    </xdr:from>
    <xdr:ext cx="184731" cy="264560"/>
    <xdr:sp macro="" textlink="">
      <xdr:nvSpPr>
        <xdr:cNvPr id="65" name="TextBox 64">
          <a:extLst>
            <a:ext uri="{FF2B5EF4-FFF2-40B4-BE49-F238E27FC236}">
              <a16:creationId xmlns:a16="http://schemas.microsoft.com/office/drawing/2014/main" id="{F461A174-E4D7-4235-82C2-3C149F30B409}"/>
            </a:ext>
          </a:extLst>
        </xdr:cNvPr>
        <xdr:cNvSpPr txBox="1"/>
      </xdr:nvSpPr>
      <xdr:spPr>
        <a:xfrm>
          <a:off x="8048625"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84</xdr:row>
      <xdr:rowOff>0</xdr:rowOff>
    </xdr:from>
    <xdr:ext cx="184731" cy="264560"/>
    <xdr:sp macro="" textlink="">
      <xdr:nvSpPr>
        <xdr:cNvPr id="66" name="TextBox 65">
          <a:extLst>
            <a:ext uri="{FF2B5EF4-FFF2-40B4-BE49-F238E27FC236}">
              <a16:creationId xmlns:a16="http://schemas.microsoft.com/office/drawing/2014/main" id="{93165C98-E2A2-47E4-AFBD-28CDA5B51431}"/>
            </a:ext>
          </a:extLst>
        </xdr:cNvPr>
        <xdr:cNvSpPr txBox="1"/>
      </xdr:nvSpPr>
      <xdr:spPr>
        <a:xfrm>
          <a:off x="9182100" y="664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85</xdr:row>
      <xdr:rowOff>0</xdr:rowOff>
    </xdr:from>
    <xdr:ext cx="184731" cy="264560"/>
    <xdr:sp macro="" textlink="">
      <xdr:nvSpPr>
        <xdr:cNvPr id="67" name="TextBox 66">
          <a:extLst>
            <a:ext uri="{FF2B5EF4-FFF2-40B4-BE49-F238E27FC236}">
              <a16:creationId xmlns:a16="http://schemas.microsoft.com/office/drawing/2014/main" id="{7624CB57-7FA6-46FF-A569-39F1B07504AB}"/>
            </a:ext>
          </a:extLst>
        </xdr:cNvPr>
        <xdr:cNvSpPr txBox="1"/>
      </xdr:nvSpPr>
      <xdr:spPr>
        <a:xfrm>
          <a:off x="9182100" y="681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86</xdr:row>
      <xdr:rowOff>0</xdr:rowOff>
    </xdr:from>
    <xdr:ext cx="184731" cy="303466"/>
    <xdr:sp macro="" textlink="">
      <xdr:nvSpPr>
        <xdr:cNvPr id="68" name="TextBox 67">
          <a:extLst>
            <a:ext uri="{FF2B5EF4-FFF2-40B4-BE49-F238E27FC236}">
              <a16:creationId xmlns:a16="http://schemas.microsoft.com/office/drawing/2014/main" id="{07EDA449-702C-4AF0-BF4B-2769289CC1B3}"/>
            </a:ext>
          </a:extLst>
        </xdr:cNvPr>
        <xdr:cNvSpPr txBox="1"/>
      </xdr:nvSpPr>
      <xdr:spPr>
        <a:xfrm>
          <a:off x="9182100" y="69723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69" name="TextBox 68">
          <a:extLst>
            <a:ext uri="{FF2B5EF4-FFF2-40B4-BE49-F238E27FC236}">
              <a16:creationId xmlns:a16="http://schemas.microsoft.com/office/drawing/2014/main" id="{449C4959-7B91-4564-A871-82A78D421962}"/>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87</xdr:row>
      <xdr:rowOff>0</xdr:rowOff>
    </xdr:from>
    <xdr:ext cx="184731" cy="264560"/>
    <xdr:sp macro="" textlink="">
      <xdr:nvSpPr>
        <xdr:cNvPr id="70" name="TextBox 69">
          <a:extLst>
            <a:ext uri="{FF2B5EF4-FFF2-40B4-BE49-F238E27FC236}">
              <a16:creationId xmlns:a16="http://schemas.microsoft.com/office/drawing/2014/main" id="{AEE4D46D-7863-49C1-A944-E492AC995C71}"/>
            </a:ext>
          </a:extLst>
        </xdr:cNvPr>
        <xdr:cNvSpPr txBox="1"/>
      </xdr:nvSpPr>
      <xdr:spPr>
        <a:xfrm>
          <a:off x="9182100" y="7134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1" name="TextBox 70">
          <a:extLst>
            <a:ext uri="{FF2B5EF4-FFF2-40B4-BE49-F238E27FC236}">
              <a16:creationId xmlns:a16="http://schemas.microsoft.com/office/drawing/2014/main" id="{243B822C-81C5-4ADC-9528-59E2D8EABB6B}"/>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88</xdr:row>
      <xdr:rowOff>0</xdr:rowOff>
    </xdr:from>
    <xdr:ext cx="184731" cy="264560"/>
    <xdr:sp macro="" textlink="">
      <xdr:nvSpPr>
        <xdr:cNvPr id="72" name="TextBox 71">
          <a:extLst>
            <a:ext uri="{FF2B5EF4-FFF2-40B4-BE49-F238E27FC236}">
              <a16:creationId xmlns:a16="http://schemas.microsoft.com/office/drawing/2014/main" id="{CD80B3F3-4209-40DD-954D-69E2C587C75F}"/>
            </a:ext>
          </a:extLst>
        </xdr:cNvPr>
        <xdr:cNvSpPr txBox="1"/>
      </xdr:nvSpPr>
      <xdr:spPr>
        <a:xfrm>
          <a:off x="9182100" y="729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3" name="TextBox 72">
          <a:extLst>
            <a:ext uri="{FF2B5EF4-FFF2-40B4-BE49-F238E27FC236}">
              <a16:creationId xmlns:a16="http://schemas.microsoft.com/office/drawing/2014/main" id="{8C4BEB29-9BE7-4108-A03E-FC3C100EA91F}"/>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89</xdr:row>
      <xdr:rowOff>0</xdr:rowOff>
    </xdr:from>
    <xdr:ext cx="184731" cy="264560"/>
    <xdr:sp macro="" textlink="">
      <xdr:nvSpPr>
        <xdr:cNvPr id="74" name="TextBox 73">
          <a:extLst>
            <a:ext uri="{FF2B5EF4-FFF2-40B4-BE49-F238E27FC236}">
              <a16:creationId xmlns:a16="http://schemas.microsoft.com/office/drawing/2014/main" id="{3C9122A9-E250-4F1C-9EE8-355AC69B004B}"/>
            </a:ext>
          </a:extLst>
        </xdr:cNvPr>
        <xdr:cNvSpPr txBox="1"/>
      </xdr:nvSpPr>
      <xdr:spPr>
        <a:xfrm>
          <a:off x="9182100" y="7458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5" name="TextBox 74">
          <a:extLst>
            <a:ext uri="{FF2B5EF4-FFF2-40B4-BE49-F238E27FC236}">
              <a16:creationId xmlns:a16="http://schemas.microsoft.com/office/drawing/2014/main" id="{3C08639B-0EBD-40E2-A7FB-E689D3D618AA}"/>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90</xdr:row>
      <xdr:rowOff>0</xdr:rowOff>
    </xdr:from>
    <xdr:ext cx="184731" cy="264560"/>
    <xdr:sp macro="" textlink="">
      <xdr:nvSpPr>
        <xdr:cNvPr id="76" name="TextBox 75">
          <a:extLst>
            <a:ext uri="{FF2B5EF4-FFF2-40B4-BE49-F238E27FC236}">
              <a16:creationId xmlns:a16="http://schemas.microsoft.com/office/drawing/2014/main" id="{748DC45E-4386-4DFD-AAA2-97F1024FF914}"/>
            </a:ext>
          </a:extLst>
        </xdr:cNvPr>
        <xdr:cNvSpPr txBox="1"/>
      </xdr:nvSpPr>
      <xdr:spPr>
        <a:xfrm>
          <a:off x="9182100"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7" name="TextBox 76">
          <a:extLst>
            <a:ext uri="{FF2B5EF4-FFF2-40B4-BE49-F238E27FC236}">
              <a16:creationId xmlns:a16="http://schemas.microsoft.com/office/drawing/2014/main" id="{1E66F5BE-7018-469C-8007-BBAD3B847784}"/>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91</xdr:row>
      <xdr:rowOff>0</xdr:rowOff>
    </xdr:from>
    <xdr:ext cx="184731" cy="264560"/>
    <xdr:sp macro="" textlink="">
      <xdr:nvSpPr>
        <xdr:cNvPr id="78" name="TextBox 77">
          <a:extLst>
            <a:ext uri="{FF2B5EF4-FFF2-40B4-BE49-F238E27FC236}">
              <a16:creationId xmlns:a16="http://schemas.microsoft.com/office/drawing/2014/main" id="{E6F0C411-46E1-466A-9D2A-9721F2512A05}"/>
            </a:ext>
          </a:extLst>
        </xdr:cNvPr>
        <xdr:cNvSpPr txBox="1"/>
      </xdr:nvSpPr>
      <xdr:spPr>
        <a:xfrm>
          <a:off x="9182100" y="778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84</xdr:row>
      <xdr:rowOff>0</xdr:rowOff>
    </xdr:from>
    <xdr:ext cx="192763" cy="264560"/>
    <xdr:sp macro="" textlink="">
      <xdr:nvSpPr>
        <xdr:cNvPr id="79" name="TextBox 78">
          <a:extLst>
            <a:ext uri="{FF2B5EF4-FFF2-40B4-BE49-F238E27FC236}">
              <a16:creationId xmlns:a16="http://schemas.microsoft.com/office/drawing/2014/main" id="{1453B579-12DF-4811-BEDD-8D38E1CD7EA7}"/>
            </a:ext>
          </a:extLst>
        </xdr:cNvPr>
        <xdr:cNvSpPr txBox="1"/>
      </xdr:nvSpPr>
      <xdr:spPr>
        <a:xfrm>
          <a:off x="804481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84</xdr:row>
      <xdr:rowOff>0</xdr:rowOff>
    </xdr:from>
    <xdr:ext cx="192763" cy="264560"/>
    <xdr:sp macro="" textlink="">
      <xdr:nvSpPr>
        <xdr:cNvPr id="80" name="TextBox 79">
          <a:extLst>
            <a:ext uri="{FF2B5EF4-FFF2-40B4-BE49-F238E27FC236}">
              <a16:creationId xmlns:a16="http://schemas.microsoft.com/office/drawing/2014/main" id="{C5C402B9-EAD7-4FBE-9A9C-045587FD8A2A}"/>
            </a:ext>
          </a:extLst>
        </xdr:cNvPr>
        <xdr:cNvSpPr txBox="1"/>
      </xdr:nvSpPr>
      <xdr:spPr>
        <a:xfrm>
          <a:off x="9178290"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84</xdr:row>
      <xdr:rowOff>0</xdr:rowOff>
    </xdr:from>
    <xdr:ext cx="192763" cy="264560"/>
    <xdr:sp macro="" textlink="">
      <xdr:nvSpPr>
        <xdr:cNvPr id="81" name="TextBox 80">
          <a:extLst>
            <a:ext uri="{FF2B5EF4-FFF2-40B4-BE49-F238E27FC236}">
              <a16:creationId xmlns:a16="http://schemas.microsoft.com/office/drawing/2014/main" id="{A316570A-1F41-40DB-BC85-61BF7190C594}"/>
            </a:ext>
          </a:extLst>
        </xdr:cNvPr>
        <xdr:cNvSpPr txBox="1"/>
      </xdr:nvSpPr>
      <xdr:spPr>
        <a:xfrm>
          <a:off x="10311765" y="6648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85</xdr:row>
      <xdr:rowOff>0</xdr:rowOff>
    </xdr:from>
    <xdr:ext cx="183125" cy="264560"/>
    <xdr:sp macro="" textlink="">
      <xdr:nvSpPr>
        <xdr:cNvPr id="82" name="TextBox 81">
          <a:extLst>
            <a:ext uri="{FF2B5EF4-FFF2-40B4-BE49-F238E27FC236}">
              <a16:creationId xmlns:a16="http://schemas.microsoft.com/office/drawing/2014/main" id="{04EBDD55-001F-4353-9739-183A100189C9}"/>
            </a:ext>
          </a:extLst>
        </xdr:cNvPr>
        <xdr:cNvSpPr txBox="1"/>
      </xdr:nvSpPr>
      <xdr:spPr>
        <a:xfrm>
          <a:off x="3920490" y="681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85</xdr:row>
      <xdr:rowOff>0</xdr:rowOff>
    </xdr:from>
    <xdr:ext cx="184731" cy="271710"/>
    <xdr:sp macro="" textlink="">
      <xdr:nvSpPr>
        <xdr:cNvPr id="83" name="TextBox 82">
          <a:extLst>
            <a:ext uri="{FF2B5EF4-FFF2-40B4-BE49-F238E27FC236}">
              <a16:creationId xmlns:a16="http://schemas.microsoft.com/office/drawing/2014/main" id="{5D9F1581-1C59-4AA2-9186-226FDC8AF3DA}"/>
            </a:ext>
          </a:extLst>
        </xdr:cNvPr>
        <xdr:cNvSpPr txBox="1"/>
      </xdr:nvSpPr>
      <xdr:spPr>
        <a:xfrm>
          <a:off x="1102995" y="681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39</xdr:row>
      <xdr:rowOff>95250</xdr:rowOff>
    </xdr:from>
    <xdr:ext cx="184731" cy="264560"/>
    <xdr:sp macro="" textlink="">
      <xdr:nvSpPr>
        <xdr:cNvPr id="3" name="TextBox 2">
          <a:extLst>
            <a:ext uri="{FF2B5EF4-FFF2-40B4-BE49-F238E27FC236}">
              <a16:creationId xmlns:a16="http://schemas.microsoft.com/office/drawing/2014/main" id="{0D3D9A59-02FE-40FA-8984-7D0A7D1D210C}"/>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95250</xdr:rowOff>
    </xdr:from>
    <xdr:ext cx="184731" cy="264560"/>
    <xdr:sp macro="" textlink="">
      <xdr:nvSpPr>
        <xdr:cNvPr id="4" name="TextBox 3">
          <a:extLst>
            <a:ext uri="{FF2B5EF4-FFF2-40B4-BE49-F238E27FC236}">
              <a16:creationId xmlns:a16="http://schemas.microsoft.com/office/drawing/2014/main" id="{A4DE5C36-8661-4A97-9F23-A221D5A6F7F8}"/>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39</xdr:row>
      <xdr:rowOff>95250</xdr:rowOff>
    </xdr:from>
    <xdr:ext cx="184731" cy="264560"/>
    <xdr:sp macro="" textlink="">
      <xdr:nvSpPr>
        <xdr:cNvPr id="5" name="TextBox 4">
          <a:extLst>
            <a:ext uri="{FF2B5EF4-FFF2-40B4-BE49-F238E27FC236}">
              <a16:creationId xmlns:a16="http://schemas.microsoft.com/office/drawing/2014/main" id="{7B3E783C-C9B2-4C54-9AB7-2B262DA73B80}"/>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31</xdr:row>
      <xdr:rowOff>0</xdr:rowOff>
    </xdr:from>
    <xdr:ext cx="192763" cy="264560"/>
    <xdr:sp macro="" textlink="">
      <xdr:nvSpPr>
        <xdr:cNvPr id="6" name="TextBox 5">
          <a:extLst>
            <a:ext uri="{FF2B5EF4-FFF2-40B4-BE49-F238E27FC236}">
              <a16:creationId xmlns:a16="http://schemas.microsoft.com/office/drawing/2014/main" id="{6F917BD7-AA84-44B5-8BEE-5432CEB533B6}"/>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33</xdr:row>
      <xdr:rowOff>0</xdr:rowOff>
    </xdr:from>
    <xdr:ext cx="192763" cy="264560"/>
    <xdr:sp macro="" textlink="">
      <xdr:nvSpPr>
        <xdr:cNvPr id="7" name="TextBox 6">
          <a:extLst>
            <a:ext uri="{FF2B5EF4-FFF2-40B4-BE49-F238E27FC236}">
              <a16:creationId xmlns:a16="http://schemas.microsoft.com/office/drawing/2014/main" id="{14DB081F-81FE-4938-895E-6053D0AF5086}"/>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34</xdr:row>
      <xdr:rowOff>0</xdr:rowOff>
    </xdr:from>
    <xdr:ext cx="192763" cy="303466"/>
    <xdr:sp macro="" textlink="">
      <xdr:nvSpPr>
        <xdr:cNvPr id="8" name="TextBox 7">
          <a:extLst>
            <a:ext uri="{FF2B5EF4-FFF2-40B4-BE49-F238E27FC236}">
              <a16:creationId xmlns:a16="http://schemas.microsoft.com/office/drawing/2014/main" id="{5B9512FC-1EBC-4EA4-A0C5-DA96A5784E52}"/>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9" name="TextBox 8">
          <a:extLst>
            <a:ext uri="{FF2B5EF4-FFF2-40B4-BE49-F238E27FC236}">
              <a16:creationId xmlns:a16="http://schemas.microsoft.com/office/drawing/2014/main" id="{85C06884-AD77-4668-9CD0-41D5540C7F8E}"/>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10" name="TextBox 9">
          <a:extLst>
            <a:ext uri="{FF2B5EF4-FFF2-40B4-BE49-F238E27FC236}">
              <a16:creationId xmlns:a16="http://schemas.microsoft.com/office/drawing/2014/main" id="{192DF509-3C2F-4098-89B8-9B80E68CE63F}"/>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1" name="TextBox 10">
          <a:extLst>
            <a:ext uri="{FF2B5EF4-FFF2-40B4-BE49-F238E27FC236}">
              <a16:creationId xmlns:a16="http://schemas.microsoft.com/office/drawing/2014/main" id="{6DEF0F98-E5BB-4E09-90BC-F7E38B3EE6BD}"/>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36</xdr:row>
      <xdr:rowOff>0</xdr:rowOff>
    </xdr:from>
    <xdr:ext cx="192763" cy="264560"/>
    <xdr:sp macro="" textlink="">
      <xdr:nvSpPr>
        <xdr:cNvPr id="12" name="TextBox 11">
          <a:extLst>
            <a:ext uri="{FF2B5EF4-FFF2-40B4-BE49-F238E27FC236}">
              <a16:creationId xmlns:a16="http://schemas.microsoft.com/office/drawing/2014/main" id="{A5A4D71B-4478-4A04-B841-C2194CB0A43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3" name="TextBox 12">
          <a:extLst>
            <a:ext uri="{FF2B5EF4-FFF2-40B4-BE49-F238E27FC236}">
              <a16:creationId xmlns:a16="http://schemas.microsoft.com/office/drawing/2014/main" id="{D1C71F0A-EE20-40FE-BA60-57DAD28E6F0C}"/>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37</xdr:row>
      <xdr:rowOff>0</xdr:rowOff>
    </xdr:from>
    <xdr:ext cx="192763" cy="264560"/>
    <xdr:sp macro="" textlink="">
      <xdr:nvSpPr>
        <xdr:cNvPr id="14" name="TextBox 13">
          <a:extLst>
            <a:ext uri="{FF2B5EF4-FFF2-40B4-BE49-F238E27FC236}">
              <a16:creationId xmlns:a16="http://schemas.microsoft.com/office/drawing/2014/main" id="{4E2DB71F-0C2A-4610-AA0D-83F7CC9EE3F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5" name="TextBox 14">
          <a:extLst>
            <a:ext uri="{FF2B5EF4-FFF2-40B4-BE49-F238E27FC236}">
              <a16:creationId xmlns:a16="http://schemas.microsoft.com/office/drawing/2014/main" id="{C6CB9B8C-745E-47CE-98C5-C10DA342765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38</xdr:row>
      <xdr:rowOff>0</xdr:rowOff>
    </xdr:from>
    <xdr:ext cx="192763" cy="264560"/>
    <xdr:sp macro="" textlink="">
      <xdr:nvSpPr>
        <xdr:cNvPr id="16" name="TextBox 15">
          <a:extLst>
            <a:ext uri="{FF2B5EF4-FFF2-40B4-BE49-F238E27FC236}">
              <a16:creationId xmlns:a16="http://schemas.microsoft.com/office/drawing/2014/main" id="{E4998BD3-FEE6-4269-A002-2AD18822DFE3}"/>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7" name="TextBox 16">
          <a:extLst>
            <a:ext uri="{FF2B5EF4-FFF2-40B4-BE49-F238E27FC236}">
              <a16:creationId xmlns:a16="http://schemas.microsoft.com/office/drawing/2014/main" id="{D9D10589-4A9D-4159-9F0F-341204291DF4}"/>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18" name="TextBox 17">
          <a:extLst>
            <a:ext uri="{FF2B5EF4-FFF2-40B4-BE49-F238E27FC236}">
              <a16:creationId xmlns:a16="http://schemas.microsoft.com/office/drawing/2014/main" id="{FF3CBA1B-9720-4E59-9DCD-5DE5664506C0}"/>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84731" cy="264560"/>
    <xdr:sp macro="" textlink="">
      <xdr:nvSpPr>
        <xdr:cNvPr id="19" name="TextBox 18">
          <a:extLst>
            <a:ext uri="{FF2B5EF4-FFF2-40B4-BE49-F238E27FC236}">
              <a16:creationId xmlns:a16="http://schemas.microsoft.com/office/drawing/2014/main" id="{5F24E547-849B-485A-A14C-647BAED0B86C}"/>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33</xdr:row>
      <xdr:rowOff>0</xdr:rowOff>
    </xdr:from>
    <xdr:ext cx="184731" cy="264560"/>
    <xdr:sp macro="" textlink="">
      <xdr:nvSpPr>
        <xdr:cNvPr id="20" name="TextBox 19">
          <a:extLst>
            <a:ext uri="{FF2B5EF4-FFF2-40B4-BE49-F238E27FC236}">
              <a16:creationId xmlns:a16="http://schemas.microsoft.com/office/drawing/2014/main" id="{C6C3DADD-5CAA-4EEC-A96C-4253804CD28F}"/>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34</xdr:row>
      <xdr:rowOff>0</xdr:rowOff>
    </xdr:from>
    <xdr:ext cx="184731" cy="303466"/>
    <xdr:sp macro="" textlink="">
      <xdr:nvSpPr>
        <xdr:cNvPr id="21" name="TextBox 20">
          <a:extLst>
            <a:ext uri="{FF2B5EF4-FFF2-40B4-BE49-F238E27FC236}">
              <a16:creationId xmlns:a16="http://schemas.microsoft.com/office/drawing/2014/main" id="{A3B27E90-6367-4CDB-807D-630C18B6DCC8}"/>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2" name="TextBox 21">
          <a:extLst>
            <a:ext uri="{FF2B5EF4-FFF2-40B4-BE49-F238E27FC236}">
              <a16:creationId xmlns:a16="http://schemas.microsoft.com/office/drawing/2014/main" id="{C9375166-B3E5-4024-ABAD-B08F77000FAD}"/>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23" name="TextBox 22">
          <a:extLst>
            <a:ext uri="{FF2B5EF4-FFF2-40B4-BE49-F238E27FC236}">
              <a16:creationId xmlns:a16="http://schemas.microsoft.com/office/drawing/2014/main" id="{C54546A3-56F3-4BE8-ADDC-474A277E1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4" name="TextBox 23">
          <a:extLst>
            <a:ext uri="{FF2B5EF4-FFF2-40B4-BE49-F238E27FC236}">
              <a16:creationId xmlns:a16="http://schemas.microsoft.com/office/drawing/2014/main" id="{CC228CA9-4379-4B08-86FE-BE174433A9D8}"/>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36</xdr:row>
      <xdr:rowOff>0</xdr:rowOff>
    </xdr:from>
    <xdr:ext cx="184731" cy="264560"/>
    <xdr:sp macro="" textlink="">
      <xdr:nvSpPr>
        <xdr:cNvPr id="25" name="TextBox 24">
          <a:extLst>
            <a:ext uri="{FF2B5EF4-FFF2-40B4-BE49-F238E27FC236}">
              <a16:creationId xmlns:a16="http://schemas.microsoft.com/office/drawing/2014/main" id="{D01EC63A-1BBA-46A2-A28C-39A5BB55B29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6" name="TextBox 25">
          <a:extLst>
            <a:ext uri="{FF2B5EF4-FFF2-40B4-BE49-F238E27FC236}">
              <a16:creationId xmlns:a16="http://schemas.microsoft.com/office/drawing/2014/main" id="{F556376B-D785-4469-AA8C-8A88EC0CCE6D}"/>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37</xdr:row>
      <xdr:rowOff>0</xdr:rowOff>
    </xdr:from>
    <xdr:ext cx="184731" cy="264560"/>
    <xdr:sp macro="" textlink="">
      <xdr:nvSpPr>
        <xdr:cNvPr id="27" name="TextBox 26">
          <a:extLst>
            <a:ext uri="{FF2B5EF4-FFF2-40B4-BE49-F238E27FC236}">
              <a16:creationId xmlns:a16="http://schemas.microsoft.com/office/drawing/2014/main" id="{1403597E-7DAD-4322-B992-D0540C1E178C}"/>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8" name="TextBox 27">
          <a:extLst>
            <a:ext uri="{FF2B5EF4-FFF2-40B4-BE49-F238E27FC236}">
              <a16:creationId xmlns:a16="http://schemas.microsoft.com/office/drawing/2014/main" id="{A57B062A-0BB7-444E-B7B0-1BE8068E241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38</xdr:row>
      <xdr:rowOff>0</xdr:rowOff>
    </xdr:from>
    <xdr:ext cx="184731" cy="264560"/>
    <xdr:sp macro="" textlink="">
      <xdr:nvSpPr>
        <xdr:cNvPr id="29" name="TextBox 28">
          <a:extLst>
            <a:ext uri="{FF2B5EF4-FFF2-40B4-BE49-F238E27FC236}">
              <a16:creationId xmlns:a16="http://schemas.microsoft.com/office/drawing/2014/main" id="{C7F54F2C-E34E-4F50-B9AF-7213FD4018A8}"/>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0" name="TextBox 29">
          <a:extLst>
            <a:ext uri="{FF2B5EF4-FFF2-40B4-BE49-F238E27FC236}">
              <a16:creationId xmlns:a16="http://schemas.microsoft.com/office/drawing/2014/main" id="{145490AD-94B7-40AB-932E-7B869C204BD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1" name="TextBox 30">
          <a:extLst>
            <a:ext uri="{FF2B5EF4-FFF2-40B4-BE49-F238E27FC236}">
              <a16:creationId xmlns:a16="http://schemas.microsoft.com/office/drawing/2014/main" id="{BB9B44D6-F7B9-4A94-A1D6-6222EB891751}"/>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31</xdr:row>
      <xdr:rowOff>0</xdr:rowOff>
    </xdr:from>
    <xdr:ext cx="184731" cy="264560"/>
    <xdr:sp macro="" textlink="">
      <xdr:nvSpPr>
        <xdr:cNvPr id="32" name="TextBox 31">
          <a:extLst>
            <a:ext uri="{FF2B5EF4-FFF2-40B4-BE49-F238E27FC236}">
              <a16:creationId xmlns:a16="http://schemas.microsoft.com/office/drawing/2014/main" id="{F9FA5C77-B68C-440A-937D-CFEC1F3E062B}"/>
            </a:ext>
          </a:extLst>
        </xdr:cNvPr>
        <xdr:cNvSpPr txBox="1"/>
      </xdr:nvSpPr>
      <xdr:spPr>
        <a:xfrm>
          <a:off x="4876800"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33</xdr:row>
      <xdr:rowOff>0</xdr:rowOff>
    </xdr:from>
    <xdr:ext cx="184731" cy="264560"/>
    <xdr:sp macro="" textlink="">
      <xdr:nvSpPr>
        <xdr:cNvPr id="33" name="TextBox 32">
          <a:extLst>
            <a:ext uri="{FF2B5EF4-FFF2-40B4-BE49-F238E27FC236}">
              <a16:creationId xmlns:a16="http://schemas.microsoft.com/office/drawing/2014/main" id="{EA786137-9629-4983-94DA-9CD634281F38}"/>
            </a:ext>
          </a:extLst>
        </xdr:cNvPr>
        <xdr:cNvSpPr txBox="1"/>
      </xdr:nvSpPr>
      <xdr:spPr>
        <a:xfrm>
          <a:off x="4876800"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34</xdr:row>
      <xdr:rowOff>0</xdr:rowOff>
    </xdr:from>
    <xdr:ext cx="184731" cy="303466"/>
    <xdr:sp macro="" textlink="">
      <xdr:nvSpPr>
        <xdr:cNvPr id="34" name="TextBox 33">
          <a:extLst>
            <a:ext uri="{FF2B5EF4-FFF2-40B4-BE49-F238E27FC236}">
              <a16:creationId xmlns:a16="http://schemas.microsoft.com/office/drawing/2014/main" id="{F4AC54C4-C11B-42AC-9EC9-96F467E818B1}"/>
            </a:ext>
          </a:extLst>
        </xdr:cNvPr>
        <xdr:cNvSpPr txBox="1"/>
      </xdr:nvSpPr>
      <xdr:spPr>
        <a:xfrm>
          <a:off x="4876800"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5" name="TextBox 34">
          <a:extLst>
            <a:ext uri="{FF2B5EF4-FFF2-40B4-BE49-F238E27FC236}">
              <a16:creationId xmlns:a16="http://schemas.microsoft.com/office/drawing/2014/main" id="{7033F852-9D25-4EB4-9ACE-897859EAF66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xdr:row>
      <xdr:rowOff>0</xdr:rowOff>
    </xdr:from>
    <xdr:ext cx="184731" cy="264560"/>
    <xdr:sp macro="" textlink="">
      <xdr:nvSpPr>
        <xdr:cNvPr id="36" name="TextBox 35">
          <a:extLst>
            <a:ext uri="{FF2B5EF4-FFF2-40B4-BE49-F238E27FC236}">
              <a16:creationId xmlns:a16="http://schemas.microsoft.com/office/drawing/2014/main" id="{7E47DA2C-8891-41DD-B640-2F602718DB75}"/>
            </a:ext>
          </a:extLst>
        </xdr:cNvPr>
        <xdr:cNvSpPr txBox="1"/>
      </xdr:nvSpPr>
      <xdr:spPr>
        <a:xfrm>
          <a:off x="4876800"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7" name="TextBox 36">
          <a:extLst>
            <a:ext uri="{FF2B5EF4-FFF2-40B4-BE49-F238E27FC236}">
              <a16:creationId xmlns:a16="http://schemas.microsoft.com/office/drawing/2014/main" id="{32D69236-50CA-4AE6-86DD-49F69DEA158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36</xdr:row>
      <xdr:rowOff>0</xdr:rowOff>
    </xdr:from>
    <xdr:ext cx="184731" cy="264560"/>
    <xdr:sp macro="" textlink="">
      <xdr:nvSpPr>
        <xdr:cNvPr id="38" name="TextBox 37">
          <a:extLst>
            <a:ext uri="{FF2B5EF4-FFF2-40B4-BE49-F238E27FC236}">
              <a16:creationId xmlns:a16="http://schemas.microsoft.com/office/drawing/2014/main" id="{B045F52E-9904-43A7-83AA-C656DD5AEDEE}"/>
            </a:ext>
          </a:extLst>
        </xdr:cNvPr>
        <xdr:cNvSpPr txBox="1"/>
      </xdr:nvSpPr>
      <xdr:spPr>
        <a:xfrm>
          <a:off x="4876800"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39" name="TextBox 38">
          <a:extLst>
            <a:ext uri="{FF2B5EF4-FFF2-40B4-BE49-F238E27FC236}">
              <a16:creationId xmlns:a16="http://schemas.microsoft.com/office/drawing/2014/main" id="{06249288-6FD3-4E20-A7D0-907993CAA094}"/>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37</xdr:row>
      <xdr:rowOff>0</xdr:rowOff>
    </xdr:from>
    <xdr:ext cx="184731" cy="264560"/>
    <xdr:sp macro="" textlink="">
      <xdr:nvSpPr>
        <xdr:cNvPr id="40" name="TextBox 39">
          <a:extLst>
            <a:ext uri="{FF2B5EF4-FFF2-40B4-BE49-F238E27FC236}">
              <a16:creationId xmlns:a16="http://schemas.microsoft.com/office/drawing/2014/main" id="{AF661F21-8089-4EDE-9D95-A9F2CEC464CF}"/>
            </a:ext>
          </a:extLst>
        </xdr:cNvPr>
        <xdr:cNvSpPr txBox="1"/>
      </xdr:nvSpPr>
      <xdr:spPr>
        <a:xfrm>
          <a:off x="4876800"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1" name="TextBox 40">
          <a:extLst>
            <a:ext uri="{FF2B5EF4-FFF2-40B4-BE49-F238E27FC236}">
              <a16:creationId xmlns:a16="http://schemas.microsoft.com/office/drawing/2014/main" id="{34A1855E-85C8-4FF8-9670-BCA89F1C64B5}"/>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38</xdr:row>
      <xdr:rowOff>0</xdr:rowOff>
    </xdr:from>
    <xdr:ext cx="184731" cy="264560"/>
    <xdr:sp macro="" textlink="">
      <xdr:nvSpPr>
        <xdr:cNvPr id="42" name="TextBox 41">
          <a:extLst>
            <a:ext uri="{FF2B5EF4-FFF2-40B4-BE49-F238E27FC236}">
              <a16:creationId xmlns:a16="http://schemas.microsoft.com/office/drawing/2014/main" id="{4D3E3B59-316C-4F8A-9A50-5E164533B24C}"/>
            </a:ext>
          </a:extLst>
        </xdr:cNvPr>
        <xdr:cNvSpPr txBox="1"/>
      </xdr:nvSpPr>
      <xdr:spPr>
        <a:xfrm>
          <a:off x="4876800"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3" name="TextBox 42">
          <a:extLst>
            <a:ext uri="{FF2B5EF4-FFF2-40B4-BE49-F238E27FC236}">
              <a16:creationId xmlns:a16="http://schemas.microsoft.com/office/drawing/2014/main" id="{14564A11-A92D-41F6-B893-55691434C25E}"/>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44" name="TextBox 43">
          <a:extLst>
            <a:ext uri="{FF2B5EF4-FFF2-40B4-BE49-F238E27FC236}">
              <a16:creationId xmlns:a16="http://schemas.microsoft.com/office/drawing/2014/main" id="{8490810F-33B0-474D-BFC3-92204EB58826}"/>
            </a:ext>
          </a:extLst>
        </xdr:cNvPr>
        <xdr:cNvSpPr txBox="1"/>
      </xdr:nvSpPr>
      <xdr:spPr>
        <a:xfrm>
          <a:off x="4876800"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31</xdr:row>
      <xdr:rowOff>0</xdr:rowOff>
    </xdr:from>
    <xdr:ext cx="192763" cy="264560"/>
    <xdr:sp macro="" textlink="">
      <xdr:nvSpPr>
        <xdr:cNvPr id="45" name="TextBox 44">
          <a:extLst>
            <a:ext uri="{FF2B5EF4-FFF2-40B4-BE49-F238E27FC236}">
              <a16:creationId xmlns:a16="http://schemas.microsoft.com/office/drawing/2014/main" id="{B88D75B2-9439-40BB-A8D1-6A3D73DEC96A}"/>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31</xdr:row>
      <xdr:rowOff>0</xdr:rowOff>
    </xdr:from>
    <xdr:ext cx="192763" cy="264560"/>
    <xdr:sp macro="" textlink="">
      <xdr:nvSpPr>
        <xdr:cNvPr id="46" name="TextBox 45">
          <a:extLst>
            <a:ext uri="{FF2B5EF4-FFF2-40B4-BE49-F238E27FC236}">
              <a16:creationId xmlns:a16="http://schemas.microsoft.com/office/drawing/2014/main" id="{0BC9CD44-2F9C-4F8B-85D9-C55E703DD11C}"/>
            </a:ext>
          </a:extLst>
        </xdr:cNvPr>
        <xdr:cNvSpPr txBox="1"/>
      </xdr:nvSpPr>
      <xdr:spPr>
        <a:xfrm>
          <a:off x="4872990"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5</xdr:col>
      <xdr:colOff>3139440</xdr:colOff>
      <xdr:row>31</xdr:row>
      <xdr:rowOff>0</xdr:rowOff>
    </xdr:from>
    <xdr:ext cx="192763" cy="264560"/>
    <xdr:sp macro="" textlink="">
      <xdr:nvSpPr>
        <xdr:cNvPr id="47" name="TextBox 46">
          <a:extLst>
            <a:ext uri="{FF2B5EF4-FFF2-40B4-BE49-F238E27FC236}">
              <a16:creationId xmlns:a16="http://schemas.microsoft.com/office/drawing/2014/main" id="{C5D958BC-2A0C-4084-B7E9-5A2A003BC42D}"/>
            </a:ext>
          </a:extLst>
        </xdr:cNvPr>
        <xdr:cNvSpPr txBox="1"/>
      </xdr:nvSpPr>
      <xdr:spPr>
        <a:xfrm>
          <a:off x="66351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33</xdr:row>
      <xdr:rowOff>0</xdr:rowOff>
    </xdr:from>
    <xdr:ext cx="183125" cy="264560"/>
    <xdr:sp macro="" textlink="">
      <xdr:nvSpPr>
        <xdr:cNvPr id="48" name="TextBox 47">
          <a:extLst>
            <a:ext uri="{FF2B5EF4-FFF2-40B4-BE49-F238E27FC236}">
              <a16:creationId xmlns:a16="http://schemas.microsoft.com/office/drawing/2014/main" id="{5DB6EF75-552B-410F-9EE9-F04E39AD8905}"/>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33</xdr:row>
      <xdr:rowOff>0</xdr:rowOff>
    </xdr:from>
    <xdr:ext cx="184731" cy="271710"/>
    <xdr:sp macro="" textlink="">
      <xdr:nvSpPr>
        <xdr:cNvPr id="49" name="TextBox 48">
          <a:extLst>
            <a:ext uri="{FF2B5EF4-FFF2-40B4-BE49-F238E27FC236}">
              <a16:creationId xmlns:a16="http://schemas.microsoft.com/office/drawing/2014/main" id="{6E936B37-2403-4289-B056-D5E0965051D7}"/>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0</xdr:colOff>
      <xdr:row>57</xdr:row>
      <xdr:rowOff>19050</xdr:rowOff>
    </xdr:from>
    <xdr:to>
      <xdr:col>8</xdr:col>
      <xdr:colOff>419100</xdr:colOff>
      <xdr:row>63</xdr:row>
      <xdr:rowOff>28575</xdr:rowOff>
    </xdr:to>
    <xdr:sp macro="" textlink="">
      <xdr:nvSpPr>
        <xdr:cNvPr id="21507" name="Text Box 1070">
          <a:extLst>
            <a:ext uri="{FF2B5EF4-FFF2-40B4-BE49-F238E27FC236}">
              <a16:creationId xmlns:a16="http://schemas.microsoft.com/office/drawing/2014/main" id="{61D2412D-2A51-4ED9-A841-72AE661DC177}"/>
            </a:ext>
          </a:extLst>
        </xdr:cNvPr>
        <xdr:cNvSpPr txBox="1">
          <a:spLocks noChangeArrowheads="1"/>
        </xdr:cNvSpPr>
      </xdr:nvSpPr>
      <xdr:spPr bwMode="auto">
        <a:xfrm>
          <a:off x="914400" y="9982200"/>
          <a:ext cx="74295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000" b="0" i="0" u="none" strike="noStrike" baseline="0">
              <a:solidFill>
                <a:srgbClr val="000000"/>
              </a:solidFill>
              <a:latin typeface="Times New Roman"/>
              <a:cs typeface="Times New Roman"/>
            </a:rPr>
            <a:t>ТАЙЛАН ГАРГАСАН: .......................................          ............................................         .............................................</a:t>
          </a:r>
          <a:endParaRPr lang="en-US" sz="1100" b="0" i="0" u="none" strike="noStrike" baseline="0">
            <a:solidFill>
              <a:srgbClr val="000000"/>
            </a:solidFill>
            <a:latin typeface="Calibri"/>
            <a:cs typeface="Calibri"/>
          </a:endParaRPr>
        </a:p>
        <a:p>
          <a:pPr algn="l" rtl="0">
            <a:defRPr sz="1000"/>
          </a:pPr>
          <a:r>
            <a:rPr lang="en-US" sz="1000" b="0" i="0" u="none" strike="noStrike" baseline="0">
              <a:solidFill>
                <a:srgbClr val="000000"/>
              </a:solidFill>
              <a:latin typeface="Times New Roman"/>
              <a:cs typeface="Times New Roman"/>
            </a:rPr>
            <a:t>(албан тушаал)</a:t>
          </a:r>
        </a:p>
      </xdr:txBody>
    </xdr:sp>
    <xdr:clientData/>
  </xdr:twoCellAnchor>
  <xdr:oneCellAnchor>
    <xdr:from>
      <xdr:col>0</xdr:col>
      <xdr:colOff>3143250</xdr:colOff>
      <xdr:row>42</xdr:row>
      <xdr:rowOff>95250</xdr:rowOff>
    </xdr:from>
    <xdr:ext cx="184731" cy="264560"/>
    <xdr:sp macro="" textlink="">
      <xdr:nvSpPr>
        <xdr:cNvPr id="5" name="TextBox 4">
          <a:extLst>
            <a:ext uri="{FF2B5EF4-FFF2-40B4-BE49-F238E27FC236}">
              <a16:creationId xmlns:a16="http://schemas.microsoft.com/office/drawing/2014/main" id="{A0FCB4F1-3BA4-44CE-BDCE-B98299E7309E}"/>
            </a:ext>
          </a:extLst>
        </xdr:cNvPr>
        <xdr:cNvSpPr txBox="1"/>
      </xdr:nvSpPr>
      <xdr:spPr>
        <a:xfrm>
          <a:off x="51435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95250</xdr:rowOff>
    </xdr:from>
    <xdr:ext cx="184731" cy="264560"/>
    <xdr:sp macro="" textlink="">
      <xdr:nvSpPr>
        <xdr:cNvPr id="6" name="TextBox 5">
          <a:extLst>
            <a:ext uri="{FF2B5EF4-FFF2-40B4-BE49-F238E27FC236}">
              <a16:creationId xmlns:a16="http://schemas.microsoft.com/office/drawing/2014/main" id="{3F1A27A7-4411-45F7-985A-FDBF62323D13}"/>
            </a:ext>
          </a:extLst>
        </xdr:cNvPr>
        <xdr:cNvSpPr txBox="1"/>
      </xdr:nvSpPr>
      <xdr:spPr>
        <a:xfrm>
          <a:off x="346710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42</xdr:row>
      <xdr:rowOff>95250</xdr:rowOff>
    </xdr:from>
    <xdr:ext cx="184731" cy="264560"/>
    <xdr:sp macro="" textlink="">
      <xdr:nvSpPr>
        <xdr:cNvPr id="7" name="TextBox 6">
          <a:extLst>
            <a:ext uri="{FF2B5EF4-FFF2-40B4-BE49-F238E27FC236}">
              <a16:creationId xmlns:a16="http://schemas.microsoft.com/office/drawing/2014/main" id="{1182D729-381D-46C4-A876-0D836190A54E}"/>
            </a:ext>
          </a:extLst>
        </xdr:cNvPr>
        <xdr:cNvSpPr txBox="1"/>
      </xdr:nvSpPr>
      <xdr:spPr>
        <a:xfrm>
          <a:off x="4331970"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35</xdr:row>
      <xdr:rowOff>0</xdr:rowOff>
    </xdr:from>
    <xdr:ext cx="192763" cy="264560"/>
    <xdr:sp macro="" textlink="">
      <xdr:nvSpPr>
        <xdr:cNvPr id="8" name="TextBox 7">
          <a:extLst>
            <a:ext uri="{FF2B5EF4-FFF2-40B4-BE49-F238E27FC236}">
              <a16:creationId xmlns:a16="http://schemas.microsoft.com/office/drawing/2014/main" id="{7C8232C3-F668-49A3-A86F-105587619063}"/>
            </a:ext>
          </a:extLst>
        </xdr:cNvPr>
        <xdr:cNvSpPr txBox="1"/>
      </xdr:nvSpPr>
      <xdr:spPr>
        <a:xfrm>
          <a:off x="11201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92763" cy="264560"/>
    <xdr:sp macro="" textlink="">
      <xdr:nvSpPr>
        <xdr:cNvPr id="9" name="TextBox 8">
          <a:extLst>
            <a:ext uri="{FF2B5EF4-FFF2-40B4-BE49-F238E27FC236}">
              <a16:creationId xmlns:a16="http://schemas.microsoft.com/office/drawing/2014/main" id="{74B752FC-AD28-4005-B415-2FEFCE4586E4}"/>
            </a:ext>
          </a:extLst>
        </xdr:cNvPr>
        <xdr:cNvSpPr txBox="1"/>
      </xdr:nvSpPr>
      <xdr:spPr>
        <a:xfrm>
          <a:off x="1120140" y="5429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37</xdr:row>
      <xdr:rowOff>0</xdr:rowOff>
    </xdr:from>
    <xdr:ext cx="192763" cy="303466"/>
    <xdr:sp macro="" textlink="">
      <xdr:nvSpPr>
        <xdr:cNvPr id="10" name="TextBox 9">
          <a:extLst>
            <a:ext uri="{FF2B5EF4-FFF2-40B4-BE49-F238E27FC236}">
              <a16:creationId xmlns:a16="http://schemas.microsoft.com/office/drawing/2014/main" id="{1134781A-BE4C-4F06-AD27-59BBA02D2BF9}"/>
            </a:ext>
          </a:extLst>
        </xdr:cNvPr>
        <xdr:cNvSpPr txBox="1"/>
      </xdr:nvSpPr>
      <xdr:spPr>
        <a:xfrm>
          <a:off x="1120140" y="5591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1" name="TextBox 10">
          <a:extLst>
            <a:ext uri="{FF2B5EF4-FFF2-40B4-BE49-F238E27FC236}">
              <a16:creationId xmlns:a16="http://schemas.microsoft.com/office/drawing/2014/main" id="{FEAD3C62-1D68-4CDA-86BC-44BC04EA8383}"/>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38</xdr:row>
      <xdr:rowOff>0</xdr:rowOff>
    </xdr:from>
    <xdr:ext cx="192763" cy="264560"/>
    <xdr:sp macro="" textlink="">
      <xdr:nvSpPr>
        <xdr:cNvPr id="12" name="TextBox 11">
          <a:extLst>
            <a:ext uri="{FF2B5EF4-FFF2-40B4-BE49-F238E27FC236}">
              <a16:creationId xmlns:a16="http://schemas.microsoft.com/office/drawing/2014/main" id="{E485BC87-13EF-486A-9C2F-57CC05523CA8}"/>
            </a:ext>
          </a:extLst>
        </xdr:cNvPr>
        <xdr:cNvSpPr txBox="1"/>
      </xdr:nvSpPr>
      <xdr:spPr>
        <a:xfrm>
          <a:off x="1120140" y="5753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3" name="TextBox 12">
          <a:extLst>
            <a:ext uri="{FF2B5EF4-FFF2-40B4-BE49-F238E27FC236}">
              <a16:creationId xmlns:a16="http://schemas.microsoft.com/office/drawing/2014/main" id="{F6311A0A-D3A2-4871-B040-B6F884D9839C}"/>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39</xdr:row>
      <xdr:rowOff>0</xdr:rowOff>
    </xdr:from>
    <xdr:ext cx="192763" cy="264560"/>
    <xdr:sp macro="" textlink="">
      <xdr:nvSpPr>
        <xdr:cNvPr id="14" name="TextBox 13">
          <a:extLst>
            <a:ext uri="{FF2B5EF4-FFF2-40B4-BE49-F238E27FC236}">
              <a16:creationId xmlns:a16="http://schemas.microsoft.com/office/drawing/2014/main" id="{8C71C59D-6252-4952-A44E-FD88C2D2A556}"/>
            </a:ext>
          </a:extLst>
        </xdr:cNvPr>
        <xdr:cNvSpPr txBox="1"/>
      </xdr:nvSpPr>
      <xdr:spPr>
        <a:xfrm>
          <a:off x="2596515" y="6238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5" name="TextBox 14">
          <a:extLst>
            <a:ext uri="{FF2B5EF4-FFF2-40B4-BE49-F238E27FC236}">
              <a16:creationId xmlns:a16="http://schemas.microsoft.com/office/drawing/2014/main" id="{F285FAC1-0796-4694-8216-5EFCEE642E02}"/>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40</xdr:row>
      <xdr:rowOff>0</xdr:rowOff>
    </xdr:from>
    <xdr:ext cx="192763" cy="264560"/>
    <xdr:sp macro="" textlink="">
      <xdr:nvSpPr>
        <xdr:cNvPr id="16" name="TextBox 15">
          <a:extLst>
            <a:ext uri="{FF2B5EF4-FFF2-40B4-BE49-F238E27FC236}">
              <a16:creationId xmlns:a16="http://schemas.microsoft.com/office/drawing/2014/main" id="{25332122-A092-42AC-938D-1A51BACCFD86}"/>
            </a:ext>
          </a:extLst>
        </xdr:cNvPr>
        <xdr:cNvSpPr txBox="1"/>
      </xdr:nvSpPr>
      <xdr:spPr>
        <a:xfrm>
          <a:off x="2596515" y="6400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7" name="TextBox 16">
          <a:extLst>
            <a:ext uri="{FF2B5EF4-FFF2-40B4-BE49-F238E27FC236}">
              <a16:creationId xmlns:a16="http://schemas.microsoft.com/office/drawing/2014/main" id="{8A72C0E7-9612-4044-BFFA-CF06B8220D1B}"/>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41</xdr:row>
      <xdr:rowOff>0</xdr:rowOff>
    </xdr:from>
    <xdr:ext cx="192763" cy="264560"/>
    <xdr:sp macro="" textlink="">
      <xdr:nvSpPr>
        <xdr:cNvPr id="18" name="TextBox 17">
          <a:extLst>
            <a:ext uri="{FF2B5EF4-FFF2-40B4-BE49-F238E27FC236}">
              <a16:creationId xmlns:a16="http://schemas.microsoft.com/office/drawing/2014/main" id="{8BD6168B-4624-4A84-BAA9-891E34E81519}"/>
            </a:ext>
          </a:extLst>
        </xdr:cNvPr>
        <xdr:cNvSpPr txBox="1"/>
      </xdr:nvSpPr>
      <xdr:spPr>
        <a:xfrm>
          <a:off x="2596515" y="6562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19" name="TextBox 18">
          <a:extLst>
            <a:ext uri="{FF2B5EF4-FFF2-40B4-BE49-F238E27FC236}">
              <a16:creationId xmlns:a16="http://schemas.microsoft.com/office/drawing/2014/main" id="{1DC4E089-4393-42E5-B8E0-FAD43E8328C3}"/>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42</xdr:row>
      <xdr:rowOff>0</xdr:rowOff>
    </xdr:from>
    <xdr:ext cx="192763" cy="264560"/>
    <xdr:sp macro="" textlink="">
      <xdr:nvSpPr>
        <xdr:cNvPr id="20" name="TextBox 19">
          <a:extLst>
            <a:ext uri="{FF2B5EF4-FFF2-40B4-BE49-F238E27FC236}">
              <a16:creationId xmlns:a16="http://schemas.microsoft.com/office/drawing/2014/main" id="{DDD365ED-5002-4FE1-92E4-C0253D154C5D}"/>
            </a:ext>
          </a:extLst>
        </xdr:cNvPr>
        <xdr:cNvSpPr txBox="1"/>
      </xdr:nvSpPr>
      <xdr:spPr>
        <a:xfrm>
          <a:off x="2596515" y="6724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35</xdr:row>
      <xdr:rowOff>0</xdr:rowOff>
    </xdr:from>
    <xdr:ext cx="184731" cy="264560"/>
    <xdr:sp macro="" textlink="">
      <xdr:nvSpPr>
        <xdr:cNvPr id="21" name="TextBox 20">
          <a:extLst>
            <a:ext uri="{FF2B5EF4-FFF2-40B4-BE49-F238E27FC236}">
              <a16:creationId xmlns:a16="http://schemas.microsoft.com/office/drawing/2014/main" id="{257A4D01-9B61-4E8D-B319-5D68F3457E7C}"/>
            </a:ext>
          </a:extLst>
        </xdr:cNvPr>
        <xdr:cNvSpPr txBox="1"/>
      </xdr:nvSpPr>
      <xdr:spPr>
        <a:xfrm>
          <a:off x="1733550"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3143250</xdr:colOff>
      <xdr:row>36</xdr:row>
      <xdr:rowOff>0</xdr:rowOff>
    </xdr:from>
    <xdr:ext cx="184731" cy="264560"/>
    <xdr:sp macro="" textlink="">
      <xdr:nvSpPr>
        <xdr:cNvPr id="22" name="TextBox 21">
          <a:extLst>
            <a:ext uri="{FF2B5EF4-FFF2-40B4-BE49-F238E27FC236}">
              <a16:creationId xmlns:a16="http://schemas.microsoft.com/office/drawing/2014/main" id="{2954EA84-D034-4995-8558-9F00B1A4AF09}"/>
            </a:ext>
          </a:extLst>
        </xdr:cNvPr>
        <xdr:cNvSpPr txBox="1"/>
      </xdr:nvSpPr>
      <xdr:spPr>
        <a:xfrm>
          <a:off x="1733550"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23" name="TextBox 22">
          <a:extLst>
            <a:ext uri="{FF2B5EF4-FFF2-40B4-BE49-F238E27FC236}">
              <a16:creationId xmlns:a16="http://schemas.microsoft.com/office/drawing/2014/main" id="{2483DBA7-8F4D-4BD5-B867-0891F910960C}"/>
            </a:ext>
          </a:extLst>
        </xdr:cNvPr>
        <xdr:cNvSpPr txBox="1"/>
      </xdr:nvSpPr>
      <xdr:spPr>
        <a:xfrm>
          <a:off x="1733550"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4" name="TextBox 23">
          <a:extLst>
            <a:ext uri="{FF2B5EF4-FFF2-40B4-BE49-F238E27FC236}">
              <a16:creationId xmlns:a16="http://schemas.microsoft.com/office/drawing/2014/main" id="{07E460D9-A582-4383-8CD2-59BD94822AA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25" name="TextBox 24">
          <a:extLst>
            <a:ext uri="{FF2B5EF4-FFF2-40B4-BE49-F238E27FC236}">
              <a16:creationId xmlns:a16="http://schemas.microsoft.com/office/drawing/2014/main" id="{A612BC31-8E0C-4A05-8761-EA66228BCA13}"/>
            </a:ext>
          </a:extLst>
        </xdr:cNvPr>
        <xdr:cNvSpPr txBox="1"/>
      </xdr:nvSpPr>
      <xdr:spPr>
        <a:xfrm>
          <a:off x="1733550"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6" name="TextBox 25">
          <a:extLst>
            <a:ext uri="{FF2B5EF4-FFF2-40B4-BE49-F238E27FC236}">
              <a16:creationId xmlns:a16="http://schemas.microsoft.com/office/drawing/2014/main" id="{4EE5AAAE-5F85-4698-95CE-B46C57D640D8}"/>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39</xdr:row>
      <xdr:rowOff>0</xdr:rowOff>
    </xdr:from>
    <xdr:ext cx="184731" cy="264560"/>
    <xdr:sp macro="" textlink="">
      <xdr:nvSpPr>
        <xdr:cNvPr id="27" name="TextBox 26">
          <a:extLst>
            <a:ext uri="{FF2B5EF4-FFF2-40B4-BE49-F238E27FC236}">
              <a16:creationId xmlns:a16="http://schemas.microsoft.com/office/drawing/2014/main" id="{F1C7D0BE-5CFA-4D54-981E-30BF0D6C9621}"/>
            </a:ext>
          </a:extLst>
        </xdr:cNvPr>
        <xdr:cNvSpPr txBox="1"/>
      </xdr:nvSpPr>
      <xdr:spPr>
        <a:xfrm>
          <a:off x="3467100"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8" name="TextBox 27">
          <a:extLst>
            <a:ext uri="{FF2B5EF4-FFF2-40B4-BE49-F238E27FC236}">
              <a16:creationId xmlns:a16="http://schemas.microsoft.com/office/drawing/2014/main" id="{AD65CAF8-0864-40DD-8290-9B6F78BB968D}"/>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40</xdr:row>
      <xdr:rowOff>0</xdr:rowOff>
    </xdr:from>
    <xdr:ext cx="184731" cy="264560"/>
    <xdr:sp macro="" textlink="">
      <xdr:nvSpPr>
        <xdr:cNvPr id="29" name="TextBox 28">
          <a:extLst>
            <a:ext uri="{FF2B5EF4-FFF2-40B4-BE49-F238E27FC236}">
              <a16:creationId xmlns:a16="http://schemas.microsoft.com/office/drawing/2014/main" id="{5A5A4D14-2B80-4016-B64E-76B6E7D53B34}"/>
            </a:ext>
          </a:extLst>
        </xdr:cNvPr>
        <xdr:cNvSpPr txBox="1"/>
      </xdr:nvSpPr>
      <xdr:spPr>
        <a:xfrm>
          <a:off x="3467100"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0" name="TextBox 29">
          <a:extLst>
            <a:ext uri="{FF2B5EF4-FFF2-40B4-BE49-F238E27FC236}">
              <a16:creationId xmlns:a16="http://schemas.microsoft.com/office/drawing/2014/main" id="{FB0308CD-06E4-409A-BED5-0F7914193BA3}"/>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41</xdr:row>
      <xdr:rowOff>0</xdr:rowOff>
    </xdr:from>
    <xdr:ext cx="184731" cy="264560"/>
    <xdr:sp macro="" textlink="">
      <xdr:nvSpPr>
        <xdr:cNvPr id="31" name="TextBox 30">
          <a:extLst>
            <a:ext uri="{FF2B5EF4-FFF2-40B4-BE49-F238E27FC236}">
              <a16:creationId xmlns:a16="http://schemas.microsoft.com/office/drawing/2014/main" id="{F014CB5F-FEFE-41CB-868A-7C494ED478BD}"/>
            </a:ext>
          </a:extLst>
        </xdr:cNvPr>
        <xdr:cNvSpPr txBox="1"/>
      </xdr:nvSpPr>
      <xdr:spPr>
        <a:xfrm>
          <a:off x="3467100"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2" name="TextBox 31">
          <a:extLst>
            <a:ext uri="{FF2B5EF4-FFF2-40B4-BE49-F238E27FC236}">
              <a16:creationId xmlns:a16="http://schemas.microsoft.com/office/drawing/2014/main" id="{FBB04FDC-FB2C-4760-BC84-2F6CEAA6DCE7}"/>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33" name="TextBox 32">
          <a:extLst>
            <a:ext uri="{FF2B5EF4-FFF2-40B4-BE49-F238E27FC236}">
              <a16:creationId xmlns:a16="http://schemas.microsoft.com/office/drawing/2014/main" id="{CBF57DF3-0313-42E3-A923-87EF2B4A026C}"/>
            </a:ext>
          </a:extLst>
        </xdr:cNvPr>
        <xdr:cNvSpPr txBox="1"/>
      </xdr:nvSpPr>
      <xdr:spPr>
        <a:xfrm>
          <a:off x="346710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84731" cy="264560"/>
    <xdr:sp macro="" textlink="">
      <xdr:nvSpPr>
        <xdr:cNvPr id="34" name="TextBox 33">
          <a:extLst>
            <a:ext uri="{FF2B5EF4-FFF2-40B4-BE49-F238E27FC236}">
              <a16:creationId xmlns:a16="http://schemas.microsoft.com/office/drawing/2014/main" id="{EE5D5437-0F8A-4EAF-B298-24D58F4C81CA}"/>
            </a:ext>
          </a:extLst>
        </xdr:cNvPr>
        <xdr:cNvSpPr txBox="1"/>
      </xdr:nvSpPr>
      <xdr:spPr>
        <a:xfrm>
          <a:off x="26003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35" name="TextBox 34">
          <a:extLst>
            <a:ext uri="{FF2B5EF4-FFF2-40B4-BE49-F238E27FC236}">
              <a16:creationId xmlns:a16="http://schemas.microsoft.com/office/drawing/2014/main" id="{170E1794-8522-4D7A-B273-564F9F028177}"/>
            </a:ext>
          </a:extLst>
        </xdr:cNvPr>
        <xdr:cNvSpPr txBox="1"/>
      </xdr:nvSpPr>
      <xdr:spPr>
        <a:xfrm>
          <a:off x="2600325" y="542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36" name="TextBox 35">
          <a:extLst>
            <a:ext uri="{FF2B5EF4-FFF2-40B4-BE49-F238E27FC236}">
              <a16:creationId xmlns:a16="http://schemas.microsoft.com/office/drawing/2014/main" id="{F1E15A28-0547-43D1-953E-D3D1B4EE6B97}"/>
            </a:ext>
          </a:extLst>
        </xdr:cNvPr>
        <xdr:cNvSpPr txBox="1"/>
      </xdr:nvSpPr>
      <xdr:spPr>
        <a:xfrm>
          <a:off x="2600325" y="5591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7" name="TextBox 36">
          <a:extLst>
            <a:ext uri="{FF2B5EF4-FFF2-40B4-BE49-F238E27FC236}">
              <a16:creationId xmlns:a16="http://schemas.microsoft.com/office/drawing/2014/main" id="{8587568F-F39E-4746-BD9D-BA10675443F9}"/>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38" name="TextBox 37">
          <a:extLst>
            <a:ext uri="{FF2B5EF4-FFF2-40B4-BE49-F238E27FC236}">
              <a16:creationId xmlns:a16="http://schemas.microsoft.com/office/drawing/2014/main" id="{78CD3BF0-4083-4BAE-8DFA-80C99976A156}"/>
            </a:ext>
          </a:extLst>
        </xdr:cNvPr>
        <xdr:cNvSpPr txBox="1"/>
      </xdr:nvSpPr>
      <xdr:spPr>
        <a:xfrm>
          <a:off x="260032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39" name="TextBox 38">
          <a:extLst>
            <a:ext uri="{FF2B5EF4-FFF2-40B4-BE49-F238E27FC236}">
              <a16:creationId xmlns:a16="http://schemas.microsoft.com/office/drawing/2014/main" id="{B4ABF6AD-7618-4100-983E-4CA51EBA20DA}"/>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40" name="TextBox 39">
          <a:extLst>
            <a:ext uri="{FF2B5EF4-FFF2-40B4-BE49-F238E27FC236}">
              <a16:creationId xmlns:a16="http://schemas.microsoft.com/office/drawing/2014/main" id="{0D28091E-9707-43F1-A52B-8C1D1EFD18E4}"/>
            </a:ext>
          </a:extLst>
        </xdr:cNvPr>
        <xdr:cNvSpPr txBox="1"/>
      </xdr:nvSpPr>
      <xdr:spPr>
        <a:xfrm>
          <a:off x="4333875" y="6238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1" name="TextBox 40">
          <a:extLst>
            <a:ext uri="{FF2B5EF4-FFF2-40B4-BE49-F238E27FC236}">
              <a16:creationId xmlns:a16="http://schemas.microsoft.com/office/drawing/2014/main" id="{FD5CA306-C3C8-471A-B146-801960BC70F6}"/>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42" name="TextBox 41">
          <a:extLst>
            <a:ext uri="{FF2B5EF4-FFF2-40B4-BE49-F238E27FC236}">
              <a16:creationId xmlns:a16="http://schemas.microsoft.com/office/drawing/2014/main" id="{E13BF991-DB17-4E3C-8F82-0159BA8BA4BE}"/>
            </a:ext>
          </a:extLst>
        </xdr:cNvPr>
        <xdr:cNvSpPr txBox="1"/>
      </xdr:nvSpPr>
      <xdr:spPr>
        <a:xfrm>
          <a:off x="4333875" y="64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3" name="TextBox 42">
          <a:extLst>
            <a:ext uri="{FF2B5EF4-FFF2-40B4-BE49-F238E27FC236}">
              <a16:creationId xmlns:a16="http://schemas.microsoft.com/office/drawing/2014/main" id="{87A83364-E7CC-47E8-AF7E-C068EF77BBAA}"/>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44" name="TextBox 43">
          <a:extLst>
            <a:ext uri="{FF2B5EF4-FFF2-40B4-BE49-F238E27FC236}">
              <a16:creationId xmlns:a16="http://schemas.microsoft.com/office/drawing/2014/main" id="{DFFD0077-1051-46A0-999F-C96C420C29E1}"/>
            </a:ext>
          </a:extLst>
        </xdr:cNvPr>
        <xdr:cNvSpPr txBox="1"/>
      </xdr:nvSpPr>
      <xdr:spPr>
        <a:xfrm>
          <a:off x="4333875" y="656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5" name="TextBox 44">
          <a:extLst>
            <a:ext uri="{FF2B5EF4-FFF2-40B4-BE49-F238E27FC236}">
              <a16:creationId xmlns:a16="http://schemas.microsoft.com/office/drawing/2014/main" id="{7542381F-98B1-4F31-913A-AB26486C7E9D}"/>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46" name="TextBox 45">
          <a:extLst>
            <a:ext uri="{FF2B5EF4-FFF2-40B4-BE49-F238E27FC236}">
              <a16:creationId xmlns:a16="http://schemas.microsoft.com/office/drawing/2014/main" id="{178FDF6D-3BD5-48C1-A6B1-C14F4517E0C2}"/>
            </a:ext>
          </a:extLst>
        </xdr:cNvPr>
        <xdr:cNvSpPr txBox="1"/>
      </xdr:nvSpPr>
      <xdr:spPr>
        <a:xfrm>
          <a:off x="4333875"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xdr:row>
      <xdr:rowOff>0</xdr:rowOff>
    </xdr:from>
    <xdr:ext cx="192763" cy="264560"/>
    <xdr:sp macro="" textlink="">
      <xdr:nvSpPr>
        <xdr:cNvPr id="47" name="TextBox 46">
          <a:extLst>
            <a:ext uri="{FF2B5EF4-FFF2-40B4-BE49-F238E27FC236}">
              <a16:creationId xmlns:a16="http://schemas.microsoft.com/office/drawing/2014/main" id="{9F7FEE6C-FA99-4240-9981-91814B3CA33F}"/>
            </a:ext>
          </a:extLst>
        </xdr:cNvPr>
        <xdr:cNvSpPr txBox="1"/>
      </xdr:nvSpPr>
      <xdr:spPr>
        <a:xfrm>
          <a:off x="172974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35</xdr:row>
      <xdr:rowOff>0</xdr:rowOff>
    </xdr:from>
    <xdr:ext cx="192763" cy="264560"/>
    <xdr:sp macro="" textlink="">
      <xdr:nvSpPr>
        <xdr:cNvPr id="48" name="TextBox 47">
          <a:extLst>
            <a:ext uri="{FF2B5EF4-FFF2-40B4-BE49-F238E27FC236}">
              <a16:creationId xmlns:a16="http://schemas.microsoft.com/office/drawing/2014/main" id="{EB70B31D-7741-441C-B089-75F68355FF31}"/>
            </a:ext>
          </a:extLst>
        </xdr:cNvPr>
        <xdr:cNvSpPr txBox="1"/>
      </xdr:nvSpPr>
      <xdr:spPr>
        <a:xfrm>
          <a:off x="2596515"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xdr:row>
      <xdr:rowOff>0</xdr:rowOff>
    </xdr:from>
    <xdr:ext cx="192763" cy="264560"/>
    <xdr:sp macro="" textlink="">
      <xdr:nvSpPr>
        <xdr:cNvPr id="49" name="TextBox 48">
          <a:extLst>
            <a:ext uri="{FF2B5EF4-FFF2-40B4-BE49-F238E27FC236}">
              <a16:creationId xmlns:a16="http://schemas.microsoft.com/office/drawing/2014/main" id="{C5656CBA-51B9-43D6-AE3A-2469298CD02E}"/>
            </a:ext>
          </a:extLst>
        </xdr:cNvPr>
        <xdr:cNvSpPr txBox="1"/>
      </xdr:nvSpPr>
      <xdr:spPr>
        <a:xfrm>
          <a:off x="3463290" y="5267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3125" cy="264560"/>
    <xdr:sp macro="" textlink="">
      <xdr:nvSpPr>
        <xdr:cNvPr id="50" name="TextBox 49">
          <a:extLst>
            <a:ext uri="{FF2B5EF4-FFF2-40B4-BE49-F238E27FC236}">
              <a16:creationId xmlns:a16="http://schemas.microsoft.com/office/drawing/2014/main" id="{C65CD583-1FEB-4ED6-A708-86C4630236F6}"/>
            </a:ext>
          </a:extLst>
        </xdr:cNvPr>
        <xdr:cNvSpPr txBox="1"/>
      </xdr:nvSpPr>
      <xdr:spPr>
        <a:xfrm>
          <a:off x="1120140" y="5429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36</xdr:row>
      <xdr:rowOff>0</xdr:rowOff>
    </xdr:from>
    <xdr:ext cx="184731" cy="271710"/>
    <xdr:sp macro="" textlink="">
      <xdr:nvSpPr>
        <xdr:cNvPr id="51" name="TextBox 50">
          <a:extLst>
            <a:ext uri="{FF2B5EF4-FFF2-40B4-BE49-F238E27FC236}">
              <a16:creationId xmlns:a16="http://schemas.microsoft.com/office/drawing/2014/main" id="{7A2B6B23-3361-4A9A-B178-D539E29FB6BA}"/>
            </a:ext>
          </a:extLst>
        </xdr:cNvPr>
        <xdr:cNvSpPr txBox="1"/>
      </xdr:nvSpPr>
      <xdr:spPr>
        <a:xfrm>
          <a:off x="845820" y="5429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0</xdr:colOff>
      <xdr:row>42</xdr:row>
      <xdr:rowOff>95250</xdr:rowOff>
    </xdr:from>
    <xdr:ext cx="184731" cy="264560"/>
    <xdr:sp macro="" textlink="">
      <xdr:nvSpPr>
        <xdr:cNvPr id="52" name="TextBox 51">
          <a:extLst>
            <a:ext uri="{FF2B5EF4-FFF2-40B4-BE49-F238E27FC236}">
              <a16:creationId xmlns:a16="http://schemas.microsoft.com/office/drawing/2014/main" id="{7933AE6E-ACF4-45DF-8922-B2ED5A3E8C1A}"/>
            </a:ext>
          </a:extLst>
        </xdr:cNvPr>
        <xdr:cNvSpPr txBox="1"/>
      </xdr:nvSpPr>
      <xdr:spPr>
        <a:xfrm>
          <a:off x="23812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95250</xdr:rowOff>
    </xdr:from>
    <xdr:ext cx="184731" cy="264560"/>
    <xdr:sp macro="" textlink="">
      <xdr:nvSpPr>
        <xdr:cNvPr id="53" name="TextBox 52">
          <a:extLst>
            <a:ext uri="{FF2B5EF4-FFF2-40B4-BE49-F238E27FC236}">
              <a16:creationId xmlns:a16="http://schemas.microsoft.com/office/drawing/2014/main" id="{F3E586DF-F97C-4CFC-99F8-755B00E586F4}"/>
            </a:ext>
          </a:extLst>
        </xdr:cNvPr>
        <xdr:cNvSpPr txBox="1"/>
      </xdr:nvSpPr>
      <xdr:spPr>
        <a:xfrm>
          <a:off x="258127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1102995</xdr:colOff>
      <xdr:row>42</xdr:row>
      <xdr:rowOff>95250</xdr:rowOff>
    </xdr:from>
    <xdr:ext cx="184731" cy="264560"/>
    <xdr:sp macro="" textlink="">
      <xdr:nvSpPr>
        <xdr:cNvPr id="54" name="TextBox 53">
          <a:extLst>
            <a:ext uri="{FF2B5EF4-FFF2-40B4-BE49-F238E27FC236}">
              <a16:creationId xmlns:a16="http://schemas.microsoft.com/office/drawing/2014/main" id="{7F64C7BE-9C55-475B-92FB-727DC0BA2336}"/>
            </a:ext>
          </a:extLst>
        </xdr:cNvPr>
        <xdr:cNvSpPr txBox="1"/>
      </xdr:nvSpPr>
      <xdr:spPr>
        <a:xfrm>
          <a:off x="3446145" y="763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36</xdr:row>
      <xdr:rowOff>0</xdr:rowOff>
    </xdr:from>
    <xdr:ext cx="192763" cy="264560"/>
    <xdr:sp macro="" textlink="">
      <xdr:nvSpPr>
        <xdr:cNvPr id="55" name="TextBox 54">
          <a:extLst>
            <a:ext uri="{FF2B5EF4-FFF2-40B4-BE49-F238E27FC236}">
              <a16:creationId xmlns:a16="http://schemas.microsoft.com/office/drawing/2014/main" id="{17699146-AAA9-4930-B2A3-BB86CEC2E97C}"/>
            </a:ext>
          </a:extLst>
        </xdr:cNvPr>
        <xdr:cNvSpPr txBox="1"/>
      </xdr:nvSpPr>
      <xdr:spPr>
        <a:xfrm>
          <a:off x="843915" y="6248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37</xdr:row>
      <xdr:rowOff>0</xdr:rowOff>
    </xdr:from>
    <xdr:ext cx="192763" cy="303466"/>
    <xdr:sp macro="" textlink="">
      <xdr:nvSpPr>
        <xdr:cNvPr id="56" name="TextBox 55">
          <a:extLst>
            <a:ext uri="{FF2B5EF4-FFF2-40B4-BE49-F238E27FC236}">
              <a16:creationId xmlns:a16="http://schemas.microsoft.com/office/drawing/2014/main" id="{62C0A716-EA0A-4A69-A066-E519E52E7D99}"/>
            </a:ext>
          </a:extLst>
        </xdr:cNvPr>
        <xdr:cNvSpPr txBox="1"/>
      </xdr:nvSpPr>
      <xdr:spPr>
        <a:xfrm>
          <a:off x="843915" y="64103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7" name="TextBox 56">
          <a:extLst>
            <a:ext uri="{FF2B5EF4-FFF2-40B4-BE49-F238E27FC236}">
              <a16:creationId xmlns:a16="http://schemas.microsoft.com/office/drawing/2014/main" id="{674F84DF-4533-402E-8976-EA1FAA1294E8}"/>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38</xdr:row>
      <xdr:rowOff>0</xdr:rowOff>
    </xdr:from>
    <xdr:ext cx="192763" cy="264560"/>
    <xdr:sp macro="" textlink="">
      <xdr:nvSpPr>
        <xdr:cNvPr id="58" name="TextBox 57">
          <a:extLst>
            <a:ext uri="{FF2B5EF4-FFF2-40B4-BE49-F238E27FC236}">
              <a16:creationId xmlns:a16="http://schemas.microsoft.com/office/drawing/2014/main" id="{16ECD5D0-CAE9-4720-9DE2-82617D958CA7}"/>
            </a:ext>
          </a:extLst>
        </xdr:cNvPr>
        <xdr:cNvSpPr txBox="1"/>
      </xdr:nvSpPr>
      <xdr:spPr>
        <a:xfrm>
          <a:off x="843915" y="657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59" name="TextBox 58">
          <a:extLst>
            <a:ext uri="{FF2B5EF4-FFF2-40B4-BE49-F238E27FC236}">
              <a16:creationId xmlns:a16="http://schemas.microsoft.com/office/drawing/2014/main" id="{9D44A831-2B95-4CED-AFBE-BF4A1CAAB5E6}"/>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39</xdr:row>
      <xdr:rowOff>0</xdr:rowOff>
    </xdr:from>
    <xdr:ext cx="192763" cy="264560"/>
    <xdr:sp macro="" textlink="">
      <xdr:nvSpPr>
        <xdr:cNvPr id="60" name="TextBox 59">
          <a:extLst>
            <a:ext uri="{FF2B5EF4-FFF2-40B4-BE49-F238E27FC236}">
              <a16:creationId xmlns:a16="http://schemas.microsoft.com/office/drawing/2014/main" id="{A62FD8A1-39C3-4563-B6C4-783E9595335A}"/>
            </a:ext>
          </a:extLst>
        </xdr:cNvPr>
        <xdr:cNvSpPr txBox="1"/>
      </xdr:nvSpPr>
      <xdr:spPr>
        <a:xfrm>
          <a:off x="1710690" y="705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1" name="TextBox 60">
          <a:extLst>
            <a:ext uri="{FF2B5EF4-FFF2-40B4-BE49-F238E27FC236}">
              <a16:creationId xmlns:a16="http://schemas.microsoft.com/office/drawing/2014/main" id="{2EA73EB4-DDD6-4802-B6DB-A805FEE28026}"/>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40</xdr:row>
      <xdr:rowOff>0</xdr:rowOff>
    </xdr:from>
    <xdr:ext cx="192763" cy="264560"/>
    <xdr:sp macro="" textlink="">
      <xdr:nvSpPr>
        <xdr:cNvPr id="62" name="TextBox 61">
          <a:extLst>
            <a:ext uri="{FF2B5EF4-FFF2-40B4-BE49-F238E27FC236}">
              <a16:creationId xmlns:a16="http://schemas.microsoft.com/office/drawing/2014/main" id="{2C3EC4F9-7B83-4783-B54F-D35B0C0AC38D}"/>
            </a:ext>
          </a:extLst>
        </xdr:cNvPr>
        <xdr:cNvSpPr txBox="1"/>
      </xdr:nvSpPr>
      <xdr:spPr>
        <a:xfrm>
          <a:off x="1710690" y="721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3" name="TextBox 62">
          <a:extLst>
            <a:ext uri="{FF2B5EF4-FFF2-40B4-BE49-F238E27FC236}">
              <a16:creationId xmlns:a16="http://schemas.microsoft.com/office/drawing/2014/main" id="{15234D9F-D367-4DC8-82C3-1CF7BC1012CE}"/>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41</xdr:row>
      <xdr:rowOff>0</xdr:rowOff>
    </xdr:from>
    <xdr:ext cx="192763" cy="264560"/>
    <xdr:sp macro="" textlink="">
      <xdr:nvSpPr>
        <xdr:cNvPr id="64" name="TextBox 63">
          <a:extLst>
            <a:ext uri="{FF2B5EF4-FFF2-40B4-BE49-F238E27FC236}">
              <a16:creationId xmlns:a16="http://schemas.microsoft.com/office/drawing/2014/main" id="{0FFEE9DF-7FF7-41DA-8411-AFDE14A978AC}"/>
            </a:ext>
          </a:extLst>
        </xdr:cNvPr>
        <xdr:cNvSpPr txBox="1"/>
      </xdr:nvSpPr>
      <xdr:spPr>
        <a:xfrm>
          <a:off x="1710690" y="738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5" name="TextBox 64">
          <a:extLst>
            <a:ext uri="{FF2B5EF4-FFF2-40B4-BE49-F238E27FC236}">
              <a16:creationId xmlns:a16="http://schemas.microsoft.com/office/drawing/2014/main" id="{BA699A50-5AE7-4BB2-8435-8EE1D6F652CA}"/>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66" name="TextBox 65">
          <a:extLst>
            <a:ext uri="{FF2B5EF4-FFF2-40B4-BE49-F238E27FC236}">
              <a16:creationId xmlns:a16="http://schemas.microsoft.com/office/drawing/2014/main" id="{C0EDE8D6-27AD-49B0-991C-4B2A84E5E7E0}"/>
            </a:ext>
          </a:extLst>
        </xdr:cNvPr>
        <xdr:cNvSpPr txBox="1"/>
      </xdr:nvSpPr>
      <xdr:spPr>
        <a:xfrm>
          <a:off x="1710690" y="754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36</xdr:row>
      <xdr:rowOff>0</xdr:rowOff>
    </xdr:from>
    <xdr:ext cx="184731" cy="264560"/>
    <xdr:sp macro="" textlink="">
      <xdr:nvSpPr>
        <xdr:cNvPr id="67" name="TextBox 66">
          <a:extLst>
            <a:ext uri="{FF2B5EF4-FFF2-40B4-BE49-F238E27FC236}">
              <a16:creationId xmlns:a16="http://schemas.microsoft.com/office/drawing/2014/main" id="{9D0A492E-64EC-4638-9733-18A78F4DA0A2}"/>
            </a:ext>
          </a:extLst>
        </xdr:cNvPr>
        <xdr:cNvSpPr txBox="1"/>
      </xdr:nvSpPr>
      <xdr:spPr>
        <a:xfrm>
          <a:off x="847725"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37</xdr:row>
      <xdr:rowOff>0</xdr:rowOff>
    </xdr:from>
    <xdr:ext cx="184731" cy="303466"/>
    <xdr:sp macro="" textlink="">
      <xdr:nvSpPr>
        <xdr:cNvPr id="68" name="TextBox 67">
          <a:extLst>
            <a:ext uri="{FF2B5EF4-FFF2-40B4-BE49-F238E27FC236}">
              <a16:creationId xmlns:a16="http://schemas.microsoft.com/office/drawing/2014/main" id="{D1BE6D04-C3C4-4FCB-A078-3F8A936FF346}"/>
            </a:ext>
          </a:extLst>
        </xdr:cNvPr>
        <xdr:cNvSpPr txBox="1"/>
      </xdr:nvSpPr>
      <xdr:spPr>
        <a:xfrm>
          <a:off x="847725"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69" name="TextBox 68">
          <a:extLst>
            <a:ext uri="{FF2B5EF4-FFF2-40B4-BE49-F238E27FC236}">
              <a16:creationId xmlns:a16="http://schemas.microsoft.com/office/drawing/2014/main" id="{F988D608-FC7D-4395-8E4C-BD7269D354D9}"/>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0</xdr:colOff>
      <xdr:row>38</xdr:row>
      <xdr:rowOff>0</xdr:rowOff>
    </xdr:from>
    <xdr:ext cx="184731" cy="264560"/>
    <xdr:sp macro="" textlink="">
      <xdr:nvSpPr>
        <xdr:cNvPr id="70" name="TextBox 69">
          <a:extLst>
            <a:ext uri="{FF2B5EF4-FFF2-40B4-BE49-F238E27FC236}">
              <a16:creationId xmlns:a16="http://schemas.microsoft.com/office/drawing/2014/main" id="{2EA93AA0-2694-4039-BF34-1265AF0DCE06}"/>
            </a:ext>
          </a:extLst>
        </xdr:cNvPr>
        <xdr:cNvSpPr txBox="1"/>
      </xdr:nvSpPr>
      <xdr:spPr>
        <a:xfrm>
          <a:off x="847725"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1" name="TextBox 70">
          <a:extLst>
            <a:ext uri="{FF2B5EF4-FFF2-40B4-BE49-F238E27FC236}">
              <a16:creationId xmlns:a16="http://schemas.microsoft.com/office/drawing/2014/main" id="{5261DBAE-6CAA-4AAD-9463-6B50D82F793A}"/>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39</xdr:row>
      <xdr:rowOff>0</xdr:rowOff>
    </xdr:from>
    <xdr:ext cx="184731" cy="264560"/>
    <xdr:sp macro="" textlink="">
      <xdr:nvSpPr>
        <xdr:cNvPr id="72" name="TextBox 71">
          <a:extLst>
            <a:ext uri="{FF2B5EF4-FFF2-40B4-BE49-F238E27FC236}">
              <a16:creationId xmlns:a16="http://schemas.microsoft.com/office/drawing/2014/main" id="{197F4908-30CB-4B76-953F-0AF0B75630D7}"/>
            </a:ext>
          </a:extLst>
        </xdr:cNvPr>
        <xdr:cNvSpPr txBox="1"/>
      </xdr:nvSpPr>
      <xdr:spPr>
        <a:xfrm>
          <a:off x="2581275"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3" name="TextBox 72">
          <a:extLst>
            <a:ext uri="{FF2B5EF4-FFF2-40B4-BE49-F238E27FC236}">
              <a16:creationId xmlns:a16="http://schemas.microsoft.com/office/drawing/2014/main" id="{492579B3-BECE-425C-BE67-B2D26EC74237}"/>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40</xdr:row>
      <xdr:rowOff>0</xdr:rowOff>
    </xdr:from>
    <xdr:ext cx="184731" cy="264560"/>
    <xdr:sp macro="" textlink="">
      <xdr:nvSpPr>
        <xdr:cNvPr id="74" name="TextBox 73">
          <a:extLst>
            <a:ext uri="{FF2B5EF4-FFF2-40B4-BE49-F238E27FC236}">
              <a16:creationId xmlns:a16="http://schemas.microsoft.com/office/drawing/2014/main" id="{7158C9E5-57FB-4287-B669-1725F56DDE3C}"/>
            </a:ext>
          </a:extLst>
        </xdr:cNvPr>
        <xdr:cNvSpPr txBox="1"/>
      </xdr:nvSpPr>
      <xdr:spPr>
        <a:xfrm>
          <a:off x="2581275"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5" name="TextBox 74">
          <a:extLst>
            <a:ext uri="{FF2B5EF4-FFF2-40B4-BE49-F238E27FC236}">
              <a16:creationId xmlns:a16="http://schemas.microsoft.com/office/drawing/2014/main" id="{C78902D1-F72D-43F8-B65F-8CEDB71F7A2E}"/>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41</xdr:row>
      <xdr:rowOff>0</xdr:rowOff>
    </xdr:from>
    <xdr:ext cx="184731" cy="264560"/>
    <xdr:sp macro="" textlink="">
      <xdr:nvSpPr>
        <xdr:cNvPr id="76" name="TextBox 75">
          <a:extLst>
            <a:ext uri="{FF2B5EF4-FFF2-40B4-BE49-F238E27FC236}">
              <a16:creationId xmlns:a16="http://schemas.microsoft.com/office/drawing/2014/main" id="{313598AB-23D1-4DC7-851D-FC72AB0217E8}"/>
            </a:ext>
          </a:extLst>
        </xdr:cNvPr>
        <xdr:cNvSpPr txBox="1"/>
      </xdr:nvSpPr>
      <xdr:spPr>
        <a:xfrm>
          <a:off x="25812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7" name="TextBox 76">
          <a:extLst>
            <a:ext uri="{FF2B5EF4-FFF2-40B4-BE49-F238E27FC236}">
              <a16:creationId xmlns:a16="http://schemas.microsoft.com/office/drawing/2014/main" id="{8CE0D544-AC22-4CD0-94FF-2800B77ABC1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78" name="TextBox 77">
          <a:extLst>
            <a:ext uri="{FF2B5EF4-FFF2-40B4-BE49-F238E27FC236}">
              <a16:creationId xmlns:a16="http://schemas.microsoft.com/office/drawing/2014/main" id="{288D4A9E-77AC-4609-BA84-8F44BF11027F}"/>
            </a:ext>
          </a:extLst>
        </xdr:cNvPr>
        <xdr:cNvSpPr txBox="1"/>
      </xdr:nvSpPr>
      <xdr:spPr>
        <a:xfrm>
          <a:off x="2581275"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36</xdr:row>
      <xdr:rowOff>0</xdr:rowOff>
    </xdr:from>
    <xdr:ext cx="184731" cy="264560"/>
    <xdr:sp macro="" textlink="">
      <xdr:nvSpPr>
        <xdr:cNvPr id="79" name="TextBox 78">
          <a:extLst>
            <a:ext uri="{FF2B5EF4-FFF2-40B4-BE49-F238E27FC236}">
              <a16:creationId xmlns:a16="http://schemas.microsoft.com/office/drawing/2014/main" id="{49AF6076-B8E0-4242-ADFC-77D984A0FAAC}"/>
            </a:ext>
          </a:extLst>
        </xdr:cNvPr>
        <xdr:cNvSpPr txBox="1"/>
      </xdr:nvSpPr>
      <xdr:spPr>
        <a:xfrm>
          <a:off x="1714500" y="624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37</xdr:row>
      <xdr:rowOff>0</xdr:rowOff>
    </xdr:from>
    <xdr:ext cx="184731" cy="303466"/>
    <xdr:sp macro="" textlink="">
      <xdr:nvSpPr>
        <xdr:cNvPr id="80" name="TextBox 79">
          <a:extLst>
            <a:ext uri="{FF2B5EF4-FFF2-40B4-BE49-F238E27FC236}">
              <a16:creationId xmlns:a16="http://schemas.microsoft.com/office/drawing/2014/main" id="{C11BE4BB-43F7-4808-8D9B-08A1FD73868D}"/>
            </a:ext>
          </a:extLst>
        </xdr:cNvPr>
        <xdr:cNvSpPr txBox="1"/>
      </xdr:nvSpPr>
      <xdr:spPr>
        <a:xfrm>
          <a:off x="1714500" y="64103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1" name="TextBox 80">
          <a:extLst>
            <a:ext uri="{FF2B5EF4-FFF2-40B4-BE49-F238E27FC236}">
              <a16:creationId xmlns:a16="http://schemas.microsoft.com/office/drawing/2014/main" id="{4ABDDBE7-47D6-4252-BC61-C86FA507449F}"/>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38</xdr:row>
      <xdr:rowOff>0</xdr:rowOff>
    </xdr:from>
    <xdr:ext cx="184731" cy="264560"/>
    <xdr:sp macro="" textlink="">
      <xdr:nvSpPr>
        <xdr:cNvPr id="82" name="TextBox 81">
          <a:extLst>
            <a:ext uri="{FF2B5EF4-FFF2-40B4-BE49-F238E27FC236}">
              <a16:creationId xmlns:a16="http://schemas.microsoft.com/office/drawing/2014/main" id="{B1F55BCD-2B1B-4CAF-9A4B-851D8D691223}"/>
            </a:ext>
          </a:extLst>
        </xdr:cNvPr>
        <xdr:cNvSpPr txBox="1"/>
      </xdr:nvSpPr>
      <xdr:spPr>
        <a:xfrm>
          <a:off x="1714500" y="657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3" name="TextBox 82">
          <a:extLst>
            <a:ext uri="{FF2B5EF4-FFF2-40B4-BE49-F238E27FC236}">
              <a16:creationId xmlns:a16="http://schemas.microsoft.com/office/drawing/2014/main" id="{1445A959-D581-4F9C-98B2-A9288DFE2F2E}"/>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39</xdr:row>
      <xdr:rowOff>0</xdr:rowOff>
    </xdr:from>
    <xdr:ext cx="184731" cy="264560"/>
    <xdr:sp macro="" textlink="">
      <xdr:nvSpPr>
        <xdr:cNvPr id="84" name="TextBox 83">
          <a:extLst>
            <a:ext uri="{FF2B5EF4-FFF2-40B4-BE49-F238E27FC236}">
              <a16:creationId xmlns:a16="http://schemas.microsoft.com/office/drawing/2014/main" id="{2A974E78-D5DF-4A34-ACBA-E13F099997C1}"/>
            </a:ext>
          </a:extLst>
        </xdr:cNvPr>
        <xdr:cNvSpPr txBox="1"/>
      </xdr:nvSpPr>
      <xdr:spPr>
        <a:xfrm>
          <a:off x="3448050" y="705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5" name="TextBox 84">
          <a:extLst>
            <a:ext uri="{FF2B5EF4-FFF2-40B4-BE49-F238E27FC236}">
              <a16:creationId xmlns:a16="http://schemas.microsoft.com/office/drawing/2014/main" id="{C6ADEF13-41A2-4361-B1F1-C9B09A3179A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40</xdr:row>
      <xdr:rowOff>0</xdr:rowOff>
    </xdr:from>
    <xdr:ext cx="184731" cy="264560"/>
    <xdr:sp macro="" textlink="">
      <xdr:nvSpPr>
        <xdr:cNvPr id="86" name="TextBox 85">
          <a:extLst>
            <a:ext uri="{FF2B5EF4-FFF2-40B4-BE49-F238E27FC236}">
              <a16:creationId xmlns:a16="http://schemas.microsoft.com/office/drawing/2014/main" id="{9BFFA9DE-9734-4A8C-9C71-B3231E475605}"/>
            </a:ext>
          </a:extLst>
        </xdr:cNvPr>
        <xdr:cNvSpPr txBox="1"/>
      </xdr:nvSpPr>
      <xdr:spPr>
        <a:xfrm>
          <a:off x="3448050" y="721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7" name="TextBox 86">
          <a:extLst>
            <a:ext uri="{FF2B5EF4-FFF2-40B4-BE49-F238E27FC236}">
              <a16:creationId xmlns:a16="http://schemas.microsoft.com/office/drawing/2014/main" id="{EBE5E8BF-6DBD-47A6-BD74-8756C3D0AEC6}"/>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41</xdr:row>
      <xdr:rowOff>0</xdr:rowOff>
    </xdr:from>
    <xdr:ext cx="184731" cy="264560"/>
    <xdr:sp macro="" textlink="">
      <xdr:nvSpPr>
        <xdr:cNvPr id="88" name="TextBox 87">
          <a:extLst>
            <a:ext uri="{FF2B5EF4-FFF2-40B4-BE49-F238E27FC236}">
              <a16:creationId xmlns:a16="http://schemas.microsoft.com/office/drawing/2014/main" id="{939F0E48-74E1-4CEF-AF44-D5F615E302BD}"/>
            </a:ext>
          </a:extLst>
        </xdr:cNvPr>
        <xdr:cNvSpPr txBox="1"/>
      </xdr:nvSpPr>
      <xdr:spPr>
        <a:xfrm>
          <a:off x="3448050"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89" name="TextBox 88">
          <a:extLst>
            <a:ext uri="{FF2B5EF4-FFF2-40B4-BE49-F238E27FC236}">
              <a16:creationId xmlns:a16="http://schemas.microsoft.com/office/drawing/2014/main" id="{34951E36-87E2-4065-BB12-581D198F5DD5}"/>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3143250</xdr:colOff>
      <xdr:row>42</xdr:row>
      <xdr:rowOff>0</xdr:rowOff>
    </xdr:from>
    <xdr:ext cx="184731" cy="264560"/>
    <xdr:sp macro="" textlink="">
      <xdr:nvSpPr>
        <xdr:cNvPr id="90" name="TextBox 89">
          <a:extLst>
            <a:ext uri="{FF2B5EF4-FFF2-40B4-BE49-F238E27FC236}">
              <a16:creationId xmlns:a16="http://schemas.microsoft.com/office/drawing/2014/main" id="{23743493-2818-43EE-9C69-99C3D0DD7ACD}"/>
            </a:ext>
          </a:extLst>
        </xdr:cNvPr>
        <xdr:cNvSpPr txBox="1"/>
      </xdr:nvSpPr>
      <xdr:spPr>
        <a:xfrm>
          <a:off x="3448050" y="754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36</xdr:row>
      <xdr:rowOff>0</xdr:rowOff>
    </xdr:from>
    <xdr:ext cx="183125" cy="264560"/>
    <xdr:sp macro="" textlink="">
      <xdr:nvSpPr>
        <xdr:cNvPr id="91" name="TextBox 90">
          <a:extLst>
            <a:ext uri="{FF2B5EF4-FFF2-40B4-BE49-F238E27FC236}">
              <a16:creationId xmlns:a16="http://schemas.microsoft.com/office/drawing/2014/main" id="{E4D9B551-3251-49FB-866A-5948FEF24C55}"/>
            </a:ext>
          </a:extLst>
        </xdr:cNvPr>
        <xdr:cNvSpPr txBox="1"/>
      </xdr:nvSpPr>
      <xdr:spPr>
        <a:xfrm>
          <a:off x="843915" y="62484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36</xdr:row>
      <xdr:rowOff>0</xdr:rowOff>
    </xdr:from>
    <xdr:ext cx="184731" cy="271710"/>
    <xdr:sp macro="" textlink="">
      <xdr:nvSpPr>
        <xdr:cNvPr id="92" name="TextBox 91">
          <a:extLst>
            <a:ext uri="{FF2B5EF4-FFF2-40B4-BE49-F238E27FC236}">
              <a16:creationId xmlns:a16="http://schemas.microsoft.com/office/drawing/2014/main" id="{4E7CCC29-3E5C-428F-A92B-8C4E9CAFCB22}"/>
            </a:ext>
          </a:extLst>
        </xdr:cNvPr>
        <xdr:cNvSpPr txBox="1"/>
      </xdr:nvSpPr>
      <xdr:spPr>
        <a:xfrm>
          <a:off x="569595" y="62484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3143250</xdr:colOff>
      <xdr:row>352</xdr:row>
      <xdr:rowOff>0</xdr:rowOff>
    </xdr:from>
    <xdr:ext cx="184731" cy="264560"/>
    <xdr:sp macro="" textlink="">
      <xdr:nvSpPr>
        <xdr:cNvPr id="2" name="TextBox 1">
          <a:extLst>
            <a:ext uri="{FF2B5EF4-FFF2-40B4-BE49-F238E27FC236}">
              <a16:creationId xmlns:a16="http://schemas.microsoft.com/office/drawing/2014/main" id="{66EFAB2D-BB42-4030-9994-C6D03EB3A5D0}"/>
            </a:ext>
          </a:extLst>
        </xdr:cNvPr>
        <xdr:cNvSpPr txBox="1"/>
      </xdr:nvSpPr>
      <xdr:spPr>
        <a:xfrm>
          <a:off x="38100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3" name="TextBox 2">
          <a:extLst>
            <a:ext uri="{FF2B5EF4-FFF2-40B4-BE49-F238E27FC236}">
              <a16:creationId xmlns:a16="http://schemas.microsoft.com/office/drawing/2014/main" id="{5DE2F6AC-566F-4C3F-87DA-C2EDD2D63D5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4" name="TextBox 3">
          <a:extLst>
            <a:ext uri="{FF2B5EF4-FFF2-40B4-BE49-F238E27FC236}">
              <a16:creationId xmlns:a16="http://schemas.microsoft.com/office/drawing/2014/main" id="{B13BB839-FC4E-48E5-B1A9-6A9ADC311D31}"/>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5" name="TextBox 4">
          <a:extLst>
            <a:ext uri="{FF2B5EF4-FFF2-40B4-BE49-F238E27FC236}">
              <a16:creationId xmlns:a16="http://schemas.microsoft.com/office/drawing/2014/main" id="{7F8A4AEA-B042-4061-92E5-24F61C6D7F3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6" name="TextBox 5">
          <a:extLst>
            <a:ext uri="{FF2B5EF4-FFF2-40B4-BE49-F238E27FC236}">
              <a16:creationId xmlns:a16="http://schemas.microsoft.com/office/drawing/2014/main" id="{3CBDF804-8399-4AA5-A894-D9D086EE4862}"/>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7" name="TextBox 6">
          <a:extLst>
            <a:ext uri="{FF2B5EF4-FFF2-40B4-BE49-F238E27FC236}">
              <a16:creationId xmlns:a16="http://schemas.microsoft.com/office/drawing/2014/main" id="{B82AD3BA-F293-471D-B2CE-657EF501B792}"/>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8" name="TextBox 7">
          <a:extLst>
            <a:ext uri="{FF2B5EF4-FFF2-40B4-BE49-F238E27FC236}">
              <a16:creationId xmlns:a16="http://schemas.microsoft.com/office/drawing/2014/main" id="{1559AFB0-E23C-4988-B1BD-FCA15DD00FD9}"/>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9" name="TextBox 8">
          <a:extLst>
            <a:ext uri="{FF2B5EF4-FFF2-40B4-BE49-F238E27FC236}">
              <a16:creationId xmlns:a16="http://schemas.microsoft.com/office/drawing/2014/main" id="{015EC577-4488-44FA-B62F-3A7645F908CF}"/>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10" name="TextBox 9">
          <a:extLst>
            <a:ext uri="{FF2B5EF4-FFF2-40B4-BE49-F238E27FC236}">
              <a16:creationId xmlns:a16="http://schemas.microsoft.com/office/drawing/2014/main" id="{4F2037B0-C4D0-4490-BC63-6781D040A18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1" name="TextBox 10">
          <a:extLst>
            <a:ext uri="{FF2B5EF4-FFF2-40B4-BE49-F238E27FC236}">
              <a16:creationId xmlns:a16="http://schemas.microsoft.com/office/drawing/2014/main" id="{B509EF67-FF2C-4647-8214-E7329C4B4215}"/>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2" name="TextBox 11">
          <a:extLst>
            <a:ext uri="{FF2B5EF4-FFF2-40B4-BE49-F238E27FC236}">
              <a16:creationId xmlns:a16="http://schemas.microsoft.com/office/drawing/2014/main" id="{D0463186-2F18-412B-93C5-C432EE350846}"/>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3" name="TextBox 12">
          <a:extLst>
            <a:ext uri="{FF2B5EF4-FFF2-40B4-BE49-F238E27FC236}">
              <a16:creationId xmlns:a16="http://schemas.microsoft.com/office/drawing/2014/main" id="{A32C9392-A773-4FD2-8774-EFD7360670F2}"/>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4" name="TextBox 13">
          <a:extLst>
            <a:ext uri="{FF2B5EF4-FFF2-40B4-BE49-F238E27FC236}">
              <a16:creationId xmlns:a16="http://schemas.microsoft.com/office/drawing/2014/main" id="{A7940608-316B-4D12-8D10-7DDF38CA3457}"/>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5" name="TextBox 14">
          <a:extLst>
            <a:ext uri="{FF2B5EF4-FFF2-40B4-BE49-F238E27FC236}">
              <a16:creationId xmlns:a16="http://schemas.microsoft.com/office/drawing/2014/main" id="{F8E25B59-B98F-4004-8C1C-ED5BE798B44F}"/>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16" name="TextBox 15">
          <a:extLst>
            <a:ext uri="{FF2B5EF4-FFF2-40B4-BE49-F238E27FC236}">
              <a16:creationId xmlns:a16="http://schemas.microsoft.com/office/drawing/2014/main" id="{D3D20C72-3A6C-4A35-932D-C2C6F028B420}"/>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17" name="TextBox 16">
          <a:extLst>
            <a:ext uri="{FF2B5EF4-FFF2-40B4-BE49-F238E27FC236}">
              <a16:creationId xmlns:a16="http://schemas.microsoft.com/office/drawing/2014/main" id="{21EB422B-2FF3-443E-9530-AB78C3316423}"/>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352</xdr:row>
      <xdr:rowOff>0</xdr:rowOff>
    </xdr:from>
    <xdr:ext cx="184731" cy="264560"/>
    <xdr:sp macro="" textlink="">
      <xdr:nvSpPr>
        <xdr:cNvPr id="18" name="TextBox 17">
          <a:extLst>
            <a:ext uri="{FF2B5EF4-FFF2-40B4-BE49-F238E27FC236}">
              <a16:creationId xmlns:a16="http://schemas.microsoft.com/office/drawing/2014/main" id="{D9620A5C-EB72-46D9-85E0-05ED8373E172}"/>
            </a:ext>
          </a:extLst>
        </xdr:cNvPr>
        <xdr:cNvSpPr txBox="1"/>
      </xdr:nvSpPr>
      <xdr:spPr>
        <a:xfrm>
          <a:off x="284035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352</xdr:row>
      <xdr:rowOff>0</xdr:rowOff>
    </xdr:from>
    <xdr:ext cx="184731" cy="264560"/>
    <xdr:sp macro="" textlink="">
      <xdr:nvSpPr>
        <xdr:cNvPr id="19" name="TextBox 18">
          <a:extLst>
            <a:ext uri="{FF2B5EF4-FFF2-40B4-BE49-F238E27FC236}">
              <a16:creationId xmlns:a16="http://schemas.microsoft.com/office/drawing/2014/main" id="{AC2271EC-AB79-4E54-808D-37F98CA82C87}"/>
            </a:ext>
          </a:extLst>
        </xdr:cNvPr>
        <xdr:cNvSpPr txBox="1"/>
      </xdr:nvSpPr>
      <xdr:spPr>
        <a:xfrm>
          <a:off x="4032885"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352</xdr:row>
      <xdr:rowOff>0</xdr:rowOff>
    </xdr:from>
    <xdr:ext cx="184731" cy="264560"/>
    <xdr:sp macro="" textlink="">
      <xdr:nvSpPr>
        <xdr:cNvPr id="20" name="TextBox 19">
          <a:extLst>
            <a:ext uri="{FF2B5EF4-FFF2-40B4-BE49-F238E27FC236}">
              <a16:creationId xmlns:a16="http://schemas.microsoft.com/office/drawing/2014/main" id="{151351FA-5A47-4FE5-AAEF-772FE64E1BB4}"/>
            </a:ext>
          </a:extLst>
        </xdr:cNvPr>
        <xdr:cNvSpPr txBox="1"/>
      </xdr:nvSpPr>
      <xdr:spPr>
        <a:xfrm>
          <a:off x="5223510" y="6437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353</xdr:row>
      <xdr:rowOff>0</xdr:rowOff>
    </xdr:from>
    <xdr:ext cx="184731" cy="264560"/>
    <xdr:sp macro="" textlink="">
      <xdr:nvSpPr>
        <xdr:cNvPr id="21" name="TextBox 20">
          <a:extLst>
            <a:ext uri="{FF2B5EF4-FFF2-40B4-BE49-F238E27FC236}">
              <a16:creationId xmlns:a16="http://schemas.microsoft.com/office/drawing/2014/main" id="{F58CAD2F-7344-4FE8-8BF0-E97CEC853923}"/>
            </a:ext>
          </a:extLst>
        </xdr:cNvPr>
        <xdr:cNvSpPr txBox="1"/>
      </xdr:nvSpPr>
      <xdr:spPr>
        <a:xfrm>
          <a:off x="38100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353</xdr:row>
      <xdr:rowOff>0</xdr:rowOff>
    </xdr:from>
    <xdr:ext cx="184731" cy="264560"/>
    <xdr:sp macro="" textlink="">
      <xdr:nvSpPr>
        <xdr:cNvPr id="22" name="TextBox 21">
          <a:extLst>
            <a:ext uri="{FF2B5EF4-FFF2-40B4-BE49-F238E27FC236}">
              <a16:creationId xmlns:a16="http://schemas.microsoft.com/office/drawing/2014/main" id="{E6841DB9-EE2C-41D5-B184-7E13D4A3723D}"/>
            </a:ext>
          </a:extLst>
        </xdr:cNvPr>
        <xdr:cNvSpPr txBox="1"/>
      </xdr:nvSpPr>
      <xdr:spPr>
        <a:xfrm>
          <a:off x="284035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353</xdr:row>
      <xdr:rowOff>0</xdr:rowOff>
    </xdr:from>
    <xdr:ext cx="184731" cy="264560"/>
    <xdr:sp macro="" textlink="">
      <xdr:nvSpPr>
        <xdr:cNvPr id="23" name="TextBox 22">
          <a:extLst>
            <a:ext uri="{FF2B5EF4-FFF2-40B4-BE49-F238E27FC236}">
              <a16:creationId xmlns:a16="http://schemas.microsoft.com/office/drawing/2014/main" id="{EF560D71-297A-4CEC-B7B4-E2DCD0C54DD0}"/>
            </a:ext>
          </a:extLst>
        </xdr:cNvPr>
        <xdr:cNvSpPr txBox="1"/>
      </xdr:nvSpPr>
      <xdr:spPr>
        <a:xfrm>
          <a:off x="4032885"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353</xdr:row>
      <xdr:rowOff>0</xdr:rowOff>
    </xdr:from>
    <xdr:ext cx="184731" cy="264560"/>
    <xdr:sp macro="" textlink="">
      <xdr:nvSpPr>
        <xdr:cNvPr id="24" name="TextBox 23">
          <a:extLst>
            <a:ext uri="{FF2B5EF4-FFF2-40B4-BE49-F238E27FC236}">
              <a16:creationId xmlns:a16="http://schemas.microsoft.com/office/drawing/2014/main" id="{46F55B7E-D607-4059-98C7-C51BF58D4749}"/>
            </a:ext>
          </a:extLst>
        </xdr:cNvPr>
        <xdr:cNvSpPr txBox="1"/>
      </xdr:nvSpPr>
      <xdr:spPr>
        <a:xfrm>
          <a:off x="5223510" y="6454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354</xdr:row>
      <xdr:rowOff>0</xdr:rowOff>
    </xdr:from>
    <xdr:ext cx="184731" cy="264560"/>
    <xdr:sp macro="" textlink="">
      <xdr:nvSpPr>
        <xdr:cNvPr id="25" name="TextBox 24">
          <a:extLst>
            <a:ext uri="{FF2B5EF4-FFF2-40B4-BE49-F238E27FC236}">
              <a16:creationId xmlns:a16="http://schemas.microsoft.com/office/drawing/2014/main" id="{A4F02AF0-9D76-4D19-8984-14400EAAE7DE}"/>
            </a:ext>
          </a:extLst>
        </xdr:cNvPr>
        <xdr:cNvSpPr txBox="1"/>
      </xdr:nvSpPr>
      <xdr:spPr>
        <a:xfrm>
          <a:off x="38100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354</xdr:row>
      <xdr:rowOff>0</xdr:rowOff>
    </xdr:from>
    <xdr:ext cx="184731" cy="264560"/>
    <xdr:sp macro="" textlink="">
      <xdr:nvSpPr>
        <xdr:cNvPr id="26" name="TextBox 25">
          <a:extLst>
            <a:ext uri="{FF2B5EF4-FFF2-40B4-BE49-F238E27FC236}">
              <a16:creationId xmlns:a16="http://schemas.microsoft.com/office/drawing/2014/main" id="{84F8284E-CE45-4589-A6DE-CC84A692E141}"/>
            </a:ext>
          </a:extLst>
        </xdr:cNvPr>
        <xdr:cNvSpPr txBox="1"/>
      </xdr:nvSpPr>
      <xdr:spPr>
        <a:xfrm>
          <a:off x="284035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354</xdr:row>
      <xdr:rowOff>0</xdr:rowOff>
    </xdr:from>
    <xdr:ext cx="184731" cy="264560"/>
    <xdr:sp macro="" textlink="">
      <xdr:nvSpPr>
        <xdr:cNvPr id="27" name="TextBox 26">
          <a:extLst>
            <a:ext uri="{FF2B5EF4-FFF2-40B4-BE49-F238E27FC236}">
              <a16:creationId xmlns:a16="http://schemas.microsoft.com/office/drawing/2014/main" id="{C04A5AB3-D5AB-4117-BCE2-895A0A2F0FB8}"/>
            </a:ext>
          </a:extLst>
        </xdr:cNvPr>
        <xdr:cNvSpPr txBox="1"/>
      </xdr:nvSpPr>
      <xdr:spPr>
        <a:xfrm>
          <a:off x="4032885"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354</xdr:row>
      <xdr:rowOff>0</xdr:rowOff>
    </xdr:from>
    <xdr:ext cx="184731" cy="264560"/>
    <xdr:sp macro="" textlink="">
      <xdr:nvSpPr>
        <xdr:cNvPr id="28" name="TextBox 27">
          <a:extLst>
            <a:ext uri="{FF2B5EF4-FFF2-40B4-BE49-F238E27FC236}">
              <a16:creationId xmlns:a16="http://schemas.microsoft.com/office/drawing/2014/main" id="{5AFF323D-14FC-4EEB-9B5F-99D15AB0FD2D}"/>
            </a:ext>
          </a:extLst>
        </xdr:cNvPr>
        <xdr:cNvSpPr txBox="1"/>
      </xdr:nvSpPr>
      <xdr:spPr>
        <a:xfrm>
          <a:off x="5223510" y="6470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355</xdr:row>
      <xdr:rowOff>0</xdr:rowOff>
    </xdr:from>
    <xdr:ext cx="184731" cy="264560"/>
    <xdr:sp macro="" textlink="">
      <xdr:nvSpPr>
        <xdr:cNvPr id="29" name="TextBox 28">
          <a:extLst>
            <a:ext uri="{FF2B5EF4-FFF2-40B4-BE49-F238E27FC236}">
              <a16:creationId xmlns:a16="http://schemas.microsoft.com/office/drawing/2014/main" id="{AF8D0327-C083-4630-BD13-C80BF38B8E9F}"/>
            </a:ext>
          </a:extLst>
        </xdr:cNvPr>
        <xdr:cNvSpPr txBox="1"/>
      </xdr:nvSpPr>
      <xdr:spPr>
        <a:xfrm>
          <a:off x="38100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355</xdr:row>
      <xdr:rowOff>0</xdr:rowOff>
    </xdr:from>
    <xdr:ext cx="184731" cy="264560"/>
    <xdr:sp macro="" textlink="">
      <xdr:nvSpPr>
        <xdr:cNvPr id="30" name="TextBox 29">
          <a:extLst>
            <a:ext uri="{FF2B5EF4-FFF2-40B4-BE49-F238E27FC236}">
              <a16:creationId xmlns:a16="http://schemas.microsoft.com/office/drawing/2014/main" id="{5C5AECA0-BDC3-4C64-AA57-BC0C3053236C}"/>
            </a:ext>
          </a:extLst>
        </xdr:cNvPr>
        <xdr:cNvSpPr txBox="1"/>
      </xdr:nvSpPr>
      <xdr:spPr>
        <a:xfrm>
          <a:off x="284035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355</xdr:row>
      <xdr:rowOff>0</xdr:rowOff>
    </xdr:from>
    <xdr:ext cx="184731" cy="264560"/>
    <xdr:sp macro="" textlink="">
      <xdr:nvSpPr>
        <xdr:cNvPr id="31" name="TextBox 30">
          <a:extLst>
            <a:ext uri="{FF2B5EF4-FFF2-40B4-BE49-F238E27FC236}">
              <a16:creationId xmlns:a16="http://schemas.microsoft.com/office/drawing/2014/main" id="{565FEFA8-2431-48E7-823A-7EA8AB732975}"/>
            </a:ext>
          </a:extLst>
        </xdr:cNvPr>
        <xdr:cNvSpPr txBox="1"/>
      </xdr:nvSpPr>
      <xdr:spPr>
        <a:xfrm>
          <a:off x="4032885"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355</xdr:row>
      <xdr:rowOff>0</xdr:rowOff>
    </xdr:from>
    <xdr:ext cx="184731" cy="264560"/>
    <xdr:sp macro="" textlink="">
      <xdr:nvSpPr>
        <xdr:cNvPr id="32" name="TextBox 31">
          <a:extLst>
            <a:ext uri="{FF2B5EF4-FFF2-40B4-BE49-F238E27FC236}">
              <a16:creationId xmlns:a16="http://schemas.microsoft.com/office/drawing/2014/main" id="{0F695B82-0E2B-4361-917A-979CDF891C89}"/>
            </a:ext>
          </a:extLst>
        </xdr:cNvPr>
        <xdr:cNvSpPr txBox="1"/>
      </xdr:nvSpPr>
      <xdr:spPr>
        <a:xfrm>
          <a:off x="5223510" y="6486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356</xdr:row>
      <xdr:rowOff>0</xdr:rowOff>
    </xdr:from>
    <xdr:ext cx="184731" cy="264560"/>
    <xdr:sp macro="" textlink="">
      <xdr:nvSpPr>
        <xdr:cNvPr id="33" name="TextBox 32">
          <a:extLst>
            <a:ext uri="{FF2B5EF4-FFF2-40B4-BE49-F238E27FC236}">
              <a16:creationId xmlns:a16="http://schemas.microsoft.com/office/drawing/2014/main" id="{33FD803C-0DBC-4B0C-9346-FC4F4FAB1BBD}"/>
            </a:ext>
          </a:extLst>
        </xdr:cNvPr>
        <xdr:cNvSpPr txBox="1"/>
      </xdr:nvSpPr>
      <xdr:spPr>
        <a:xfrm>
          <a:off x="38100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356</xdr:row>
      <xdr:rowOff>0</xdr:rowOff>
    </xdr:from>
    <xdr:ext cx="184731" cy="264560"/>
    <xdr:sp macro="" textlink="">
      <xdr:nvSpPr>
        <xdr:cNvPr id="34" name="TextBox 33">
          <a:extLst>
            <a:ext uri="{FF2B5EF4-FFF2-40B4-BE49-F238E27FC236}">
              <a16:creationId xmlns:a16="http://schemas.microsoft.com/office/drawing/2014/main" id="{D5A75CCA-EEFE-420A-99F7-157B1386B2CC}"/>
            </a:ext>
          </a:extLst>
        </xdr:cNvPr>
        <xdr:cNvSpPr txBox="1"/>
      </xdr:nvSpPr>
      <xdr:spPr>
        <a:xfrm>
          <a:off x="284035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356</xdr:row>
      <xdr:rowOff>0</xdr:rowOff>
    </xdr:from>
    <xdr:ext cx="184731" cy="264560"/>
    <xdr:sp macro="" textlink="">
      <xdr:nvSpPr>
        <xdr:cNvPr id="35" name="TextBox 34">
          <a:extLst>
            <a:ext uri="{FF2B5EF4-FFF2-40B4-BE49-F238E27FC236}">
              <a16:creationId xmlns:a16="http://schemas.microsoft.com/office/drawing/2014/main" id="{76B9FD12-18B5-4849-B5DC-434A9E05E9EB}"/>
            </a:ext>
          </a:extLst>
        </xdr:cNvPr>
        <xdr:cNvSpPr txBox="1"/>
      </xdr:nvSpPr>
      <xdr:spPr>
        <a:xfrm>
          <a:off x="4032885"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356</xdr:row>
      <xdr:rowOff>0</xdr:rowOff>
    </xdr:from>
    <xdr:ext cx="184731" cy="264560"/>
    <xdr:sp macro="" textlink="">
      <xdr:nvSpPr>
        <xdr:cNvPr id="36" name="TextBox 35">
          <a:extLst>
            <a:ext uri="{FF2B5EF4-FFF2-40B4-BE49-F238E27FC236}">
              <a16:creationId xmlns:a16="http://schemas.microsoft.com/office/drawing/2014/main" id="{D9E7FAD7-DFA0-4A56-9E3D-2E2003D8BE47}"/>
            </a:ext>
          </a:extLst>
        </xdr:cNvPr>
        <xdr:cNvSpPr txBox="1"/>
      </xdr:nvSpPr>
      <xdr:spPr>
        <a:xfrm>
          <a:off x="5223510" y="6502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357</xdr:row>
      <xdr:rowOff>0</xdr:rowOff>
    </xdr:from>
    <xdr:ext cx="184731" cy="264560"/>
    <xdr:sp macro="" textlink="">
      <xdr:nvSpPr>
        <xdr:cNvPr id="37" name="TextBox 36">
          <a:extLst>
            <a:ext uri="{FF2B5EF4-FFF2-40B4-BE49-F238E27FC236}">
              <a16:creationId xmlns:a16="http://schemas.microsoft.com/office/drawing/2014/main" id="{F654EFE2-7F8E-4C17-8B3A-0B919036EB3B}"/>
            </a:ext>
          </a:extLst>
        </xdr:cNvPr>
        <xdr:cNvSpPr txBox="1"/>
      </xdr:nvSpPr>
      <xdr:spPr>
        <a:xfrm>
          <a:off x="38100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357</xdr:row>
      <xdr:rowOff>0</xdr:rowOff>
    </xdr:from>
    <xdr:ext cx="184731" cy="264560"/>
    <xdr:sp macro="" textlink="">
      <xdr:nvSpPr>
        <xdr:cNvPr id="38" name="TextBox 37">
          <a:extLst>
            <a:ext uri="{FF2B5EF4-FFF2-40B4-BE49-F238E27FC236}">
              <a16:creationId xmlns:a16="http://schemas.microsoft.com/office/drawing/2014/main" id="{4AE59974-5B79-4C98-8AFD-AB2C72CED2F2}"/>
            </a:ext>
          </a:extLst>
        </xdr:cNvPr>
        <xdr:cNvSpPr txBox="1"/>
      </xdr:nvSpPr>
      <xdr:spPr>
        <a:xfrm>
          <a:off x="284035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357</xdr:row>
      <xdr:rowOff>0</xdr:rowOff>
    </xdr:from>
    <xdr:ext cx="184731" cy="264560"/>
    <xdr:sp macro="" textlink="">
      <xdr:nvSpPr>
        <xdr:cNvPr id="39" name="TextBox 38">
          <a:extLst>
            <a:ext uri="{FF2B5EF4-FFF2-40B4-BE49-F238E27FC236}">
              <a16:creationId xmlns:a16="http://schemas.microsoft.com/office/drawing/2014/main" id="{384E2692-E48C-4BDB-A73C-BA2353C27FC9}"/>
            </a:ext>
          </a:extLst>
        </xdr:cNvPr>
        <xdr:cNvSpPr txBox="1"/>
      </xdr:nvSpPr>
      <xdr:spPr>
        <a:xfrm>
          <a:off x="4032885"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357</xdr:row>
      <xdr:rowOff>0</xdr:rowOff>
    </xdr:from>
    <xdr:ext cx="184731" cy="264560"/>
    <xdr:sp macro="" textlink="">
      <xdr:nvSpPr>
        <xdr:cNvPr id="40" name="TextBox 39">
          <a:extLst>
            <a:ext uri="{FF2B5EF4-FFF2-40B4-BE49-F238E27FC236}">
              <a16:creationId xmlns:a16="http://schemas.microsoft.com/office/drawing/2014/main" id="{A6957F5B-15FD-43CA-BF52-DC3E8CEBC89F}"/>
            </a:ext>
          </a:extLst>
        </xdr:cNvPr>
        <xdr:cNvSpPr txBox="1"/>
      </xdr:nvSpPr>
      <xdr:spPr>
        <a:xfrm>
          <a:off x="5223510" y="6518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0</xdr:rowOff>
    </xdr:from>
    <xdr:ext cx="184731" cy="264560"/>
    <xdr:sp macro="" textlink="">
      <xdr:nvSpPr>
        <xdr:cNvPr id="41" name="TextBox 40">
          <a:extLst>
            <a:ext uri="{FF2B5EF4-FFF2-40B4-BE49-F238E27FC236}">
              <a16:creationId xmlns:a16="http://schemas.microsoft.com/office/drawing/2014/main" id="{4B09B265-42F6-49E4-961F-857200E3B42D}"/>
            </a:ext>
          </a:extLst>
        </xdr:cNvPr>
        <xdr:cNvSpPr txBox="1"/>
      </xdr:nvSpPr>
      <xdr:spPr>
        <a:xfrm>
          <a:off x="38100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358</xdr:row>
      <xdr:rowOff>0</xdr:rowOff>
    </xdr:from>
    <xdr:ext cx="184731" cy="264560"/>
    <xdr:sp macro="" textlink="">
      <xdr:nvSpPr>
        <xdr:cNvPr id="42" name="TextBox 41">
          <a:extLst>
            <a:ext uri="{FF2B5EF4-FFF2-40B4-BE49-F238E27FC236}">
              <a16:creationId xmlns:a16="http://schemas.microsoft.com/office/drawing/2014/main" id="{4A2ABAC6-DE64-49BE-8AE0-A3848C9D8EA1}"/>
            </a:ext>
          </a:extLst>
        </xdr:cNvPr>
        <xdr:cNvSpPr txBox="1"/>
      </xdr:nvSpPr>
      <xdr:spPr>
        <a:xfrm>
          <a:off x="284035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358</xdr:row>
      <xdr:rowOff>0</xdr:rowOff>
    </xdr:from>
    <xdr:ext cx="184731" cy="264560"/>
    <xdr:sp macro="" textlink="">
      <xdr:nvSpPr>
        <xdr:cNvPr id="43" name="TextBox 42">
          <a:extLst>
            <a:ext uri="{FF2B5EF4-FFF2-40B4-BE49-F238E27FC236}">
              <a16:creationId xmlns:a16="http://schemas.microsoft.com/office/drawing/2014/main" id="{E4D80A00-F91D-4EFE-A0F7-D6DABD5A8B16}"/>
            </a:ext>
          </a:extLst>
        </xdr:cNvPr>
        <xdr:cNvSpPr txBox="1"/>
      </xdr:nvSpPr>
      <xdr:spPr>
        <a:xfrm>
          <a:off x="4032885"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358</xdr:row>
      <xdr:rowOff>0</xdr:rowOff>
    </xdr:from>
    <xdr:ext cx="184731" cy="264560"/>
    <xdr:sp macro="" textlink="">
      <xdr:nvSpPr>
        <xdr:cNvPr id="44" name="TextBox 43">
          <a:extLst>
            <a:ext uri="{FF2B5EF4-FFF2-40B4-BE49-F238E27FC236}">
              <a16:creationId xmlns:a16="http://schemas.microsoft.com/office/drawing/2014/main" id="{13282AF7-FA5B-4F9C-A3D5-65402ADBF49F}"/>
            </a:ext>
          </a:extLst>
        </xdr:cNvPr>
        <xdr:cNvSpPr txBox="1"/>
      </xdr:nvSpPr>
      <xdr:spPr>
        <a:xfrm>
          <a:off x="5223510" y="6535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359</xdr:row>
      <xdr:rowOff>0</xdr:rowOff>
    </xdr:from>
    <xdr:ext cx="184731" cy="264560"/>
    <xdr:sp macro="" textlink="">
      <xdr:nvSpPr>
        <xdr:cNvPr id="45" name="TextBox 44">
          <a:extLst>
            <a:ext uri="{FF2B5EF4-FFF2-40B4-BE49-F238E27FC236}">
              <a16:creationId xmlns:a16="http://schemas.microsoft.com/office/drawing/2014/main" id="{C4A7DBE2-9298-4D18-8AFC-9DE6589D5528}"/>
            </a:ext>
          </a:extLst>
        </xdr:cNvPr>
        <xdr:cNvSpPr txBox="1"/>
      </xdr:nvSpPr>
      <xdr:spPr>
        <a:xfrm>
          <a:off x="38100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359</xdr:row>
      <xdr:rowOff>0</xdr:rowOff>
    </xdr:from>
    <xdr:ext cx="184731" cy="264560"/>
    <xdr:sp macro="" textlink="">
      <xdr:nvSpPr>
        <xdr:cNvPr id="46" name="TextBox 45">
          <a:extLst>
            <a:ext uri="{FF2B5EF4-FFF2-40B4-BE49-F238E27FC236}">
              <a16:creationId xmlns:a16="http://schemas.microsoft.com/office/drawing/2014/main" id="{D0A7C762-F574-4684-A1A7-F353E1C56F37}"/>
            </a:ext>
          </a:extLst>
        </xdr:cNvPr>
        <xdr:cNvSpPr txBox="1"/>
      </xdr:nvSpPr>
      <xdr:spPr>
        <a:xfrm>
          <a:off x="284035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359</xdr:row>
      <xdr:rowOff>0</xdr:rowOff>
    </xdr:from>
    <xdr:ext cx="184731" cy="264560"/>
    <xdr:sp macro="" textlink="">
      <xdr:nvSpPr>
        <xdr:cNvPr id="47" name="TextBox 46">
          <a:extLst>
            <a:ext uri="{FF2B5EF4-FFF2-40B4-BE49-F238E27FC236}">
              <a16:creationId xmlns:a16="http://schemas.microsoft.com/office/drawing/2014/main" id="{79968359-6BCE-4A42-B445-5DF71655A42F}"/>
            </a:ext>
          </a:extLst>
        </xdr:cNvPr>
        <xdr:cNvSpPr txBox="1"/>
      </xdr:nvSpPr>
      <xdr:spPr>
        <a:xfrm>
          <a:off x="4032885"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359</xdr:row>
      <xdr:rowOff>0</xdr:rowOff>
    </xdr:from>
    <xdr:ext cx="184731" cy="264560"/>
    <xdr:sp macro="" textlink="">
      <xdr:nvSpPr>
        <xdr:cNvPr id="48" name="TextBox 47">
          <a:extLst>
            <a:ext uri="{FF2B5EF4-FFF2-40B4-BE49-F238E27FC236}">
              <a16:creationId xmlns:a16="http://schemas.microsoft.com/office/drawing/2014/main" id="{062509B2-E65B-4168-AAF3-9C0441D720BB}"/>
            </a:ext>
          </a:extLst>
        </xdr:cNvPr>
        <xdr:cNvSpPr txBox="1"/>
      </xdr:nvSpPr>
      <xdr:spPr>
        <a:xfrm>
          <a:off x="5223510" y="6551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360</xdr:row>
      <xdr:rowOff>0</xdr:rowOff>
    </xdr:from>
    <xdr:ext cx="184731" cy="264560"/>
    <xdr:sp macro="" textlink="">
      <xdr:nvSpPr>
        <xdr:cNvPr id="49" name="TextBox 48">
          <a:extLst>
            <a:ext uri="{FF2B5EF4-FFF2-40B4-BE49-F238E27FC236}">
              <a16:creationId xmlns:a16="http://schemas.microsoft.com/office/drawing/2014/main" id="{235E83AF-C944-4CB8-9822-A44C20A71A26}"/>
            </a:ext>
          </a:extLst>
        </xdr:cNvPr>
        <xdr:cNvSpPr txBox="1"/>
      </xdr:nvSpPr>
      <xdr:spPr>
        <a:xfrm>
          <a:off x="38100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1905</xdr:colOff>
      <xdr:row>360</xdr:row>
      <xdr:rowOff>0</xdr:rowOff>
    </xdr:from>
    <xdr:ext cx="184731" cy="264560"/>
    <xdr:sp macro="" textlink="">
      <xdr:nvSpPr>
        <xdr:cNvPr id="50" name="TextBox 49">
          <a:extLst>
            <a:ext uri="{FF2B5EF4-FFF2-40B4-BE49-F238E27FC236}">
              <a16:creationId xmlns:a16="http://schemas.microsoft.com/office/drawing/2014/main" id="{EB9067DD-8D74-4A7E-9BCB-F4885E1A0833}"/>
            </a:ext>
          </a:extLst>
        </xdr:cNvPr>
        <xdr:cNvSpPr txBox="1"/>
      </xdr:nvSpPr>
      <xdr:spPr>
        <a:xfrm>
          <a:off x="284035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3810</xdr:colOff>
      <xdr:row>360</xdr:row>
      <xdr:rowOff>0</xdr:rowOff>
    </xdr:from>
    <xdr:ext cx="184731" cy="264560"/>
    <xdr:sp macro="" textlink="">
      <xdr:nvSpPr>
        <xdr:cNvPr id="51" name="TextBox 50">
          <a:extLst>
            <a:ext uri="{FF2B5EF4-FFF2-40B4-BE49-F238E27FC236}">
              <a16:creationId xmlns:a16="http://schemas.microsoft.com/office/drawing/2014/main" id="{DD41B956-8DA1-43D7-85A6-3E524BE2DA01}"/>
            </a:ext>
          </a:extLst>
        </xdr:cNvPr>
        <xdr:cNvSpPr txBox="1"/>
      </xdr:nvSpPr>
      <xdr:spPr>
        <a:xfrm>
          <a:off x="4032885"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3810</xdr:colOff>
      <xdr:row>360</xdr:row>
      <xdr:rowOff>0</xdr:rowOff>
    </xdr:from>
    <xdr:ext cx="184731" cy="264560"/>
    <xdr:sp macro="" textlink="">
      <xdr:nvSpPr>
        <xdr:cNvPr id="52" name="TextBox 51">
          <a:extLst>
            <a:ext uri="{FF2B5EF4-FFF2-40B4-BE49-F238E27FC236}">
              <a16:creationId xmlns:a16="http://schemas.microsoft.com/office/drawing/2014/main" id="{C45E99C6-08BC-4970-81C8-4B689392CBD9}"/>
            </a:ext>
          </a:extLst>
        </xdr:cNvPr>
        <xdr:cNvSpPr txBox="1"/>
      </xdr:nvSpPr>
      <xdr:spPr>
        <a:xfrm>
          <a:off x="5223510" y="65674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358</xdr:row>
      <xdr:rowOff>95250</xdr:rowOff>
    </xdr:from>
    <xdr:ext cx="184731" cy="264560"/>
    <xdr:sp macro="" textlink="">
      <xdr:nvSpPr>
        <xdr:cNvPr id="53" name="TextBox 52">
          <a:extLst>
            <a:ext uri="{FF2B5EF4-FFF2-40B4-BE49-F238E27FC236}">
              <a16:creationId xmlns:a16="http://schemas.microsoft.com/office/drawing/2014/main" id="{C02DE3EC-E911-4F53-84AB-F202CE830B44}"/>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95250</xdr:rowOff>
    </xdr:from>
    <xdr:ext cx="184731" cy="264560"/>
    <xdr:sp macro="" textlink="">
      <xdr:nvSpPr>
        <xdr:cNvPr id="54" name="TextBox 53">
          <a:extLst>
            <a:ext uri="{FF2B5EF4-FFF2-40B4-BE49-F238E27FC236}">
              <a16:creationId xmlns:a16="http://schemas.microsoft.com/office/drawing/2014/main" id="{C7E0015F-1CB8-42FF-AB9D-CB0A71690476}"/>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358</xdr:row>
      <xdr:rowOff>95250</xdr:rowOff>
    </xdr:from>
    <xdr:ext cx="184731" cy="264560"/>
    <xdr:sp macro="" textlink="">
      <xdr:nvSpPr>
        <xdr:cNvPr id="55" name="TextBox 54">
          <a:extLst>
            <a:ext uri="{FF2B5EF4-FFF2-40B4-BE49-F238E27FC236}">
              <a16:creationId xmlns:a16="http://schemas.microsoft.com/office/drawing/2014/main" id="{B7CD3DD4-3417-478D-9E17-9E8B0DF1AEA9}"/>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351</xdr:row>
      <xdr:rowOff>0</xdr:rowOff>
    </xdr:from>
    <xdr:ext cx="192763" cy="264560"/>
    <xdr:sp macro="" textlink="">
      <xdr:nvSpPr>
        <xdr:cNvPr id="56" name="TextBox 55">
          <a:extLst>
            <a:ext uri="{FF2B5EF4-FFF2-40B4-BE49-F238E27FC236}">
              <a16:creationId xmlns:a16="http://schemas.microsoft.com/office/drawing/2014/main" id="{BA73D7DF-56BA-4B7B-8E9B-E39AC2DEC511}"/>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352</xdr:row>
      <xdr:rowOff>0</xdr:rowOff>
    </xdr:from>
    <xdr:ext cx="192763" cy="264560"/>
    <xdr:sp macro="" textlink="">
      <xdr:nvSpPr>
        <xdr:cNvPr id="57" name="TextBox 56">
          <a:extLst>
            <a:ext uri="{FF2B5EF4-FFF2-40B4-BE49-F238E27FC236}">
              <a16:creationId xmlns:a16="http://schemas.microsoft.com/office/drawing/2014/main" id="{5FBE9D2C-8EC2-456C-BA46-57482DECE56D}"/>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353</xdr:row>
      <xdr:rowOff>0</xdr:rowOff>
    </xdr:from>
    <xdr:ext cx="192763" cy="303466"/>
    <xdr:sp macro="" textlink="">
      <xdr:nvSpPr>
        <xdr:cNvPr id="58" name="TextBox 57">
          <a:extLst>
            <a:ext uri="{FF2B5EF4-FFF2-40B4-BE49-F238E27FC236}">
              <a16:creationId xmlns:a16="http://schemas.microsoft.com/office/drawing/2014/main" id="{409122A3-E77B-4419-BA85-47CC4FE916B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59" name="TextBox 58">
          <a:extLst>
            <a:ext uri="{FF2B5EF4-FFF2-40B4-BE49-F238E27FC236}">
              <a16:creationId xmlns:a16="http://schemas.microsoft.com/office/drawing/2014/main" id="{45A4975F-726F-4C59-8F61-04721CDB24F5}"/>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354</xdr:row>
      <xdr:rowOff>0</xdr:rowOff>
    </xdr:from>
    <xdr:ext cx="192763" cy="264560"/>
    <xdr:sp macro="" textlink="">
      <xdr:nvSpPr>
        <xdr:cNvPr id="60" name="TextBox 59">
          <a:extLst>
            <a:ext uri="{FF2B5EF4-FFF2-40B4-BE49-F238E27FC236}">
              <a16:creationId xmlns:a16="http://schemas.microsoft.com/office/drawing/2014/main" id="{11496412-3370-4C6B-B9C2-C879A385711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1" name="TextBox 60">
          <a:extLst>
            <a:ext uri="{FF2B5EF4-FFF2-40B4-BE49-F238E27FC236}">
              <a16:creationId xmlns:a16="http://schemas.microsoft.com/office/drawing/2014/main" id="{355148E2-5B0A-421D-BDD8-F84F72EF4084}"/>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355</xdr:row>
      <xdr:rowOff>0</xdr:rowOff>
    </xdr:from>
    <xdr:ext cx="192763" cy="264560"/>
    <xdr:sp macro="" textlink="">
      <xdr:nvSpPr>
        <xdr:cNvPr id="62" name="TextBox 61">
          <a:extLst>
            <a:ext uri="{FF2B5EF4-FFF2-40B4-BE49-F238E27FC236}">
              <a16:creationId xmlns:a16="http://schemas.microsoft.com/office/drawing/2014/main" id="{8A38D4A0-66B7-454B-A75E-E357ADCD19D6}"/>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3" name="TextBox 62">
          <a:extLst>
            <a:ext uri="{FF2B5EF4-FFF2-40B4-BE49-F238E27FC236}">
              <a16:creationId xmlns:a16="http://schemas.microsoft.com/office/drawing/2014/main" id="{D492CC27-AB92-4268-8E84-96CB6FEFE910}"/>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356</xdr:row>
      <xdr:rowOff>0</xdr:rowOff>
    </xdr:from>
    <xdr:ext cx="192763" cy="264560"/>
    <xdr:sp macro="" textlink="">
      <xdr:nvSpPr>
        <xdr:cNvPr id="64" name="TextBox 63">
          <a:extLst>
            <a:ext uri="{FF2B5EF4-FFF2-40B4-BE49-F238E27FC236}">
              <a16:creationId xmlns:a16="http://schemas.microsoft.com/office/drawing/2014/main" id="{B6371DB3-B7A3-442C-9495-E7F23FB75FF4}"/>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5" name="TextBox 64">
          <a:extLst>
            <a:ext uri="{FF2B5EF4-FFF2-40B4-BE49-F238E27FC236}">
              <a16:creationId xmlns:a16="http://schemas.microsoft.com/office/drawing/2014/main" id="{68D879B8-5718-4759-889F-96E51E5EB02E}"/>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357</xdr:row>
      <xdr:rowOff>0</xdr:rowOff>
    </xdr:from>
    <xdr:ext cx="192763" cy="264560"/>
    <xdr:sp macro="" textlink="">
      <xdr:nvSpPr>
        <xdr:cNvPr id="66" name="TextBox 65">
          <a:extLst>
            <a:ext uri="{FF2B5EF4-FFF2-40B4-BE49-F238E27FC236}">
              <a16:creationId xmlns:a16="http://schemas.microsoft.com/office/drawing/2014/main" id="{5D4E1489-CC03-46ED-8692-2FD51A6E1251}"/>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7" name="TextBox 66">
          <a:extLst>
            <a:ext uri="{FF2B5EF4-FFF2-40B4-BE49-F238E27FC236}">
              <a16:creationId xmlns:a16="http://schemas.microsoft.com/office/drawing/2014/main" id="{8C5CDA2D-A359-4A00-8926-29075D48E94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358</xdr:row>
      <xdr:rowOff>0</xdr:rowOff>
    </xdr:from>
    <xdr:ext cx="192763" cy="264560"/>
    <xdr:sp macro="" textlink="">
      <xdr:nvSpPr>
        <xdr:cNvPr id="68" name="TextBox 67">
          <a:extLst>
            <a:ext uri="{FF2B5EF4-FFF2-40B4-BE49-F238E27FC236}">
              <a16:creationId xmlns:a16="http://schemas.microsoft.com/office/drawing/2014/main" id="{FB8078A5-6774-41CE-8110-E2CDF423024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351</xdr:row>
      <xdr:rowOff>0</xdr:rowOff>
    </xdr:from>
    <xdr:ext cx="184731" cy="264560"/>
    <xdr:sp macro="" textlink="">
      <xdr:nvSpPr>
        <xdr:cNvPr id="69" name="TextBox 68">
          <a:extLst>
            <a:ext uri="{FF2B5EF4-FFF2-40B4-BE49-F238E27FC236}">
              <a16:creationId xmlns:a16="http://schemas.microsoft.com/office/drawing/2014/main" id="{9FE1F24A-9E37-4670-8968-520F3003EFB3}"/>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352</xdr:row>
      <xdr:rowOff>0</xdr:rowOff>
    </xdr:from>
    <xdr:ext cx="184731" cy="264560"/>
    <xdr:sp macro="" textlink="">
      <xdr:nvSpPr>
        <xdr:cNvPr id="70" name="TextBox 69">
          <a:extLst>
            <a:ext uri="{FF2B5EF4-FFF2-40B4-BE49-F238E27FC236}">
              <a16:creationId xmlns:a16="http://schemas.microsoft.com/office/drawing/2014/main" id="{057C624C-6534-44EC-A95C-EFA5C1711D25}"/>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353</xdr:row>
      <xdr:rowOff>0</xdr:rowOff>
    </xdr:from>
    <xdr:ext cx="184731" cy="303466"/>
    <xdr:sp macro="" textlink="">
      <xdr:nvSpPr>
        <xdr:cNvPr id="71" name="TextBox 70">
          <a:extLst>
            <a:ext uri="{FF2B5EF4-FFF2-40B4-BE49-F238E27FC236}">
              <a16:creationId xmlns:a16="http://schemas.microsoft.com/office/drawing/2014/main" id="{D27B06CF-940B-4FB2-89DF-DC5A10BF4A86}"/>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2" name="TextBox 71">
          <a:extLst>
            <a:ext uri="{FF2B5EF4-FFF2-40B4-BE49-F238E27FC236}">
              <a16:creationId xmlns:a16="http://schemas.microsoft.com/office/drawing/2014/main" id="{8496FFF3-0DBB-440C-8168-EDEE9B98F722}"/>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354</xdr:row>
      <xdr:rowOff>0</xdr:rowOff>
    </xdr:from>
    <xdr:ext cx="184731" cy="264560"/>
    <xdr:sp macro="" textlink="">
      <xdr:nvSpPr>
        <xdr:cNvPr id="73" name="TextBox 72">
          <a:extLst>
            <a:ext uri="{FF2B5EF4-FFF2-40B4-BE49-F238E27FC236}">
              <a16:creationId xmlns:a16="http://schemas.microsoft.com/office/drawing/2014/main" id="{90DB4ADF-8FCA-4582-AA02-A8AE20F4CD9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4" name="TextBox 73">
          <a:extLst>
            <a:ext uri="{FF2B5EF4-FFF2-40B4-BE49-F238E27FC236}">
              <a16:creationId xmlns:a16="http://schemas.microsoft.com/office/drawing/2014/main" id="{5E850E94-4D0A-478F-B725-D77F52E1D3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355</xdr:row>
      <xdr:rowOff>0</xdr:rowOff>
    </xdr:from>
    <xdr:ext cx="184731" cy="264560"/>
    <xdr:sp macro="" textlink="">
      <xdr:nvSpPr>
        <xdr:cNvPr id="75" name="TextBox 74">
          <a:extLst>
            <a:ext uri="{FF2B5EF4-FFF2-40B4-BE49-F238E27FC236}">
              <a16:creationId xmlns:a16="http://schemas.microsoft.com/office/drawing/2014/main" id="{529C6880-E711-491F-97DC-382D58C509DE}"/>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6" name="TextBox 75">
          <a:extLst>
            <a:ext uri="{FF2B5EF4-FFF2-40B4-BE49-F238E27FC236}">
              <a16:creationId xmlns:a16="http://schemas.microsoft.com/office/drawing/2014/main" id="{698464B2-C1C8-40A5-8AE7-584427B35841}"/>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356</xdr:row>
      <xdr:rowOff>0</xdr:rowOff>
    </xdr:from>
    <xdr:ext cx="184731" cy="264560"/>
    <xdr:sp macro="" textlink="">
      <xdr:nvSpPr>
        <xdr:cNvPr id="77" name="TextBox 76">
          <a:extLst>
            <a:ext uri="{FF2B5EF4-FFF2-40B4-BE49-F238E27FC236}">
              <a16:creationId xmlns:a16="http://schemas.microsoft.com/office/drawing/2014/main" id="{EF029898-3D90-4466-A958-66CD209E7626}"/>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8" name="TextBox 77">
          <a:extLst>
            <a:ext uri="{FF2B5EF4-FFF2-40B4-BE49-F238E27FC236}">
              <a16:creationId xmlns:a16="http://schemas.microsoft.com/office/drawing/2014/main" id="{1D4F506B-C638-4D1A-B33D-976BAB9DFA01}"/>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357</xdr:row>
      <xdr:rowOff>0</xdr:rowOff>
    </xdr:from>
    <xdr:ext cx="184731" cy="264560"/>
    <xdr:sp macro="" textlink="">
      <xdr:nvSpPr>
        <xdr:cNvPr id="79" name="TextBox 78">
          <a:extLst>
            <a:ext uri="{FF2B5EF4-FFF2-40B4-BE49-F238E27FC236}">
              <a16:creationId xmlns:a16="http://schemas.microsoft.com/office/drawing/2014/main" id="{FC1D0530-7A5F-48FF-919B-69FAA4272884}"/>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0" name="TextBox 79">
          <a:extLst>
            <a:ext uri="{FF2B5EF4-FFF2-40B4-BE49-F238E27FC236}">
              <a16:creationId xmlns:a16="http://schemas.microsoft.com/office/drawing/2014/main" id="{88E346C6-E4C0-45AC-8E43-FC448689E7C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358</xdr:row>
      <xdr:rowOff>0</xdr:rowOff>
    </xdr:from>
    <xdr:ext cx="184731" cy="264560"/>
    <xdr:sp macro="" textlink="">
      <xdr:nvSpPr>
        <xdr:cNvPr id="81" name="TextBox 80">
          <a:extLst>
            <a:ext uri="{FF2B5EF4-FFF2-40B4-BE49-F238E27FC236}">
              <a16:creationId xmlns:a16="http://schemas.microsoft.com/office/drawing/2014/main" id="{62F0A863-0429-4B78-9C11-C8819276496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351</xdr:row>
      <xdr:rowOff>0</xdr:rowOff>
    </xdr:from>
    <xdr:ext cx="184731" cy="264560"/>
    <xdr:sp macro="" textlink="">
      <xdr:nvSpPr>
        <xdr:cNvPr id="82" name="TextBox 81">
          <a:extLst>
            <a:ext uri="{FF2B5EF4-FFF2-40B4-BE49-F238E27FC236}">
              <a16:creationId xmlns:a16="http://schemas.microsoft.com/office/drawing/2014/main" id="{E0C5498A-0A49-4B15-B8AF-5B2745EDF462}"/>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352</xdr:row>
      <xdr:rowOff>0</xdr:rowOff>
    </xdr:from>
    <xdr:ext cx="184731" cy="264560"/>
    <xdr:sp macro="" textlink="">
      <xdr:nvSpPr>
        <xdr:cNvPr id="83" name="TextBox 82">
          <a:extLst>
            <a:ext uri="{FF2B5EF4-FFF2-40B4-BE49-F238E27FC236}">
              <a16:creationId xmlns:a16="http://schemas.microsoft.com/office/drawing/2014/main" id="{C2EAA875-FA28-4732-A52E-8C2F1F6C292D}"/>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353</xdr:row>
      <xdr:rowOff>0</xdr:rowOff>
    </xdr:from>
    <xdr:ext cx="184731" cy="303466"/>
    <xdr:sp macro="" textlink="">
      <xdr:nvSpPr>
        <xdr:cNvPr id="84" name="TextBox 83">
          <a:extLst>
            <a:ext uri="{FF2B5EF4-FFF2-40B4-BE49-F238E27FC236}">
              <a16:creationId xmlns:a16="http://schemas.microsoft.com/office/drawing/2014/main" id="{8B67D9C0-C534-4BBA-B86F-61B6E1956672}"/>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5" name="TextBox 84">
          <a:extLst>
            <a:ext uri="{FF2B5EF4-FFF2-40B4-BE49-F238E27FC236}">
              <a16:creationId xmlns:a16="http://schemas.microsoft.com/office/drawing/2014/main" id="{0342FC6A-22BE-47F4-A675-B81599734B64}"/>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354</xdr:row>
      <xdr:rowOff>0</xdr:rowOff>
    </xdr:from>
    <xdr:ext cx="184731" cy="264560"/>
    <xdr:sp macro="" textlink="">
      <xdr:nvSpPr>
        <xdr:cNvPr id="86" name="TextBox 85">
          <a:extLst>
            <a:ext uri="{FF2B5EF4-FFF2-40B4-BE49-F238E27FC236}">
              <a16:creationId xmlns:a16="http://schemas.microsoft.com/office/drawing/2014/main" id="{DF12DD1F-FC77-4487-A71F-CBA490CCAD8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7" name="TextBox 86">
          <a:extLst>
            <a:ext uri="{FF2B5EF4-FFF2-40B4-BE49-F238E27FC236}">
              <a16:creationId xmlns:a16="http://schemas.microsoft.com/office/drawing/2014/main" id="{C91E6194-4AF0-446A-A147-703CA110485C}"/>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355</xdr:row>
      <xdr:rowOff>0</xdr:rowOff>
    </xdr:from>
    <xdr:ext cx="184731" cy="264560"/>
    <xdr:sp macro="" textlink="">
      <xdr:nvSpPr>
        <xdr:cNvPr id="88" name="TextBox 87">
          <a:extLst>
            <a:ext uri="{FF2B5EF4-FFF2-40B4-BE49-F238E27FC236}">
              <a16:creationId xmlns:a16="http://schemas.microsoft.com/office/drawing/2014/main" id="{DABBACC1-E874-46FE-B570-13584FCC560F}"/>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89" name="TextBox 88">
          <a:extLst>
            <a:ext uri="{FF2B5EF4-FFF2-40B4-BE49-F238E27FC236}">
              <a16:creationId xmlns:a16="http://schemas.microsoft.com/office/drawing/2014/main" id="{808B0A1B-D968-4A17-9336-918928FEB079}"/>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356</xdr:row>
      <xdr:rowOff>0</xdr:rowOff>
    </xdr:from>
    <xdr:ext cx="184731" cy="264560"/>
    <xdr:sp macro="" textlink="">
      <xdr:nvSpPr>
        <xdr:cNvPr id="90" name="TextBox 89">
          <a:extLst>
            <a:ext uri="{FF2B5EF4-FFF2-40B4-BE49-F238E27FC236}">
              <a16:creationId xmlns:a16="http://schemas.microsoft.com/office/drawing/2014/main" id="{D5F5038D-6574-4FF1-A662-865BC9383ABE}"/>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1" name="TextBox 90">
          <a:extLst>
            <a:ext uri="{FF2B5EF4-FFF2-40B4-BE49-F238E27FC236}">
              <a16:creationId xmlns:a16="http://schemas.microsoft.com/office/drawing/2014/main" id="{B75A9E9E-CA8B-48B3-8A67-8083DD04C25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357</xdr:row>
      <xdr:rowOff>0</xdr:rowOff>
    </xdr:from>
    <xdr:ext cx="184731" cy="264560"/>
    <xdr:sp macro="" textlink="">
      <xdr:nvSpPr>
        <xdr:cNvPr id="92" name="TextBox 91">
          <a:extLst>
            <a:ext uri="{FF2B5EF4-FFF2-40B4-BE49-F238E27FC236}">
              <a16:creationId xmlns:a16="http://schemas.microsoft.com/office/drawing/2014/main" id="{6D3064C6-5155-4F91-B66C-F0DAC75A7791}"/>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3" name="TextBox 92">
          <a:extLst>
            <a:ext uri="{FF2B5EF4-FFF2-40B4-BE49-F238E27FC236}">
              <a16:creationId xmlns:a16="http://schemas.microsoft.com/office/drawing/2014/main" id="{050461CE-7D4E-46CC-BCBC-92C81BD57BBB}"/>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358</xdr:row>
      <xdr:rowOff>0</xdr:rowOff>
    </xdr:from>
    <xdr:ext cx="184731" cy="264560"/>
    <xdr:sp macro="" textlink="">
      <xdr:nvSpPr>
        <xdr:cNvPr id="94" name="TextBox 93">
          <a:extLst>
            <a:ext uri="{FF2B5EF4-FFF2-40B4-BE49-F238E27FC236}">
              <a16:creationId xmlns:a16="http://schemas.microsoft.com/office/drawing/2014/main" id="{83978E90-6CF8-46D6-8DFB-0EE433577E36}"/>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351</xdr:row>
      <xdr:rowOff>0</xdr:rowOff>
    </xdr:from>
    <xdr:ext cx="192763" cy="264560"/>
    <xdr:sp macro="" textlink="">
      <xdr:nvSpPr>
        <xdr:cNvPr id="95" name="TextBox 94">
          <a:extLst>
            <a:ext uri="{FF2B5EF4-FFF2-40B4-BE49-F238E27FC236}">
              <a16:creationId xmlns:a16="http://schemas.microsoft.com/office/drawing/2014/main" id="{121A490F-2B74-418D-8561-73BD25689C14}"/>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351</xdr:row>
      <xdr:rowOff>0</xdr:rowOff>
    </xdr:from>
    <xdr:ext cx="192763" cy="264560"/>
    <xdr:sp macro="" textlink="">
      <xdr:nvSpPr>
        <xdr:cNvPr id="96" name="TextBox 95">
          <a:extLst>
            <a:ext uri="{FF2B5EF4-FFF2-40B4-BE49-F238E27FC236}">
              <a16:creationId xmlns:a16="http://schemas.microsoft.com/office/drawing/2014/main" id="{322FF7B6-7CA2-4D82-AF63-B1A476A61CAA}"/>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351</xdr:row>
      <xdr:rowOff>0</xdr:rowOff>
    </xdr:from>
    <xdr:ext cx="192763" cy="264560"/>
    <xdr:sp macro="" textlink="">
      <xdr:nvSpPr>
        <xdr:cNvPr id="97" name="TextBox 96">
          <a:extLst>
            <a:ext uri="{FF2B5EF4-FFF2-40B4-BE49-F238E27FC236}">
              <a16:creationId xmlns:a16="http://schemas.microsoft.com/office/drawing/2014/main" id="{9DC0E6C8-610F-4D53-8700-71A0B7D33BB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352</xdr:row>
      <xdr:rowOff>0</xdr:rowOff>
    </xdr:from>
    <xdr:ext cx="183125" cy="264560"/>
    <xdr:sp macro="" textlink="">
      <xdr:nvSpPr>
        <xdr:cNvPr id="98" name="TextBox 97">
          <a:extLst>
            <a:ext uri="{FF2B5EF4-FFF2-40B4-BE49-F238E27FC236}">
              <a16:creationId xmlns:a16="http://schemas.microsoft.com/office/drawing/2014/main" id="{A2F4BD7A-B838-4FB1-8820-683F8DD09466}"/>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352</xdr:row>
      <xdr:rowOff>0</xdr:rowOff>
    </xdr:from>
    <xdr:ext cx="184731" cy="271710"/>
    <xdr:sp macro="" textlink="">
      <xdr:nvSpPr>
        <xdr:cNvPr id="99" name="TextBox 98">
          <a:extLst>
            <a:ext uri="{FF2B5EF4-FFF2-40B4-BE49-F238E27FC236}">
              <a16:creationId xmlns:a16="http://schemas.microsoft.com/office/drawing/2014/main" id="{EDFED433-9E52-459F-A496-7CC553896B58}"/>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3139440</xdr:colOff>
      <xdr:row>68</xdr:row>
      <xdr:rowOff>0</xdr:rowOff>
    </xdr:from>
    <xdr:ext cx="192763" cy="264560"/>
    <xdr:sp macro="" textlink="">
      <xdr:nvSpPr>
        <xdr:cNvPr id="2" name="TextBox 1">
          <a:extLst>
            <a:ext uri="{FF2B5EF4-FFF2-40B4-BE49-F238E27FC236}">
              <a16:creationId xmlns:a16="http://schemas.microsoft.com/office/drawing/2014/main" id="{478653EF-3C30-42D5-ABFD-2FA24EFCA767}"/>
            </a:ext>
          </a:extLst>
        </xdr:cNvPr>
        <xdr:cNvSpPr txBox="1"/>
      </xdr:nvSpPr>
      <xdr:spPr>
        <a:xfrm>
          <a:off x="3510915"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3" name="TextBox 2">
          <a:extLst>
            <a:ext uri="{FF2B5EF4-FFF2-40B4-BE49-F238E27FC236}">
              <a16:creationId xmlns:a16="http://schemas.microsoft.com/office/drawing/2014/main" id="{7C621D2E-6679-4D4F-A1FE-18472A3EB6DD}"/>
            </a:ext>
          </a:extLst>
        </xdr:cNvPr>
        <xdr:cNvSpPr txBox="1"/>
      </xdr:nvSpPr>
      <xdr:spPr>
        <a:xfrm>
          <a:off x="3510915" y="11334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303466"/>
    <xdr:sp macro="" textlink="">
      <xdr:nvSpPr>
        <xdr:cNvPr id="4" name="TextBox 3">
          <a:extLst>
            <a:ext uri="{FF2B5EF4-FFF2-40B4-BE49-F238E27FC236}">
              <a16:creationId xmlns:a16="http://schemas.microsoft.com/office/drawing/2014/main" id="{0196F858-4920-4265-9C16-A40AAEBFCA7E}"/>
            </a:ext>
          </a:extLst>
        </xdr:cNvPr>
        <xdr:cNvSpPr txBox="1"/>
      </xdr:nvSpPr>
      <xdr:spPr>
        <a:xfrm>
          <a:off x="3510915" y="114966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5" name="TextBox 4">
          <a:extLst>
            <a:ext uri="{FF2B5EF4-FFF2-40B4-BE49-F238E27FC236}">
              <a16:creationId xmlns:a16="http://schemas.microsoft.com/office/drawing/2014/main" id="{FE5FC503-6DBB-41AE-BB90-9722EE0D4ADB}"/>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264560"/>
    <xdr:sp macro="" textlink="">
      <xdr:nvSpPr>
        <xdr:cNvPr id="6" name="TextBox 5">
          <a:extLst>
            <a:ext uri="{FF2B5EF4-FFF2-40B4-BE49-F238E27FC236}">
              <a16:creationId xmlns:a16="http://schemas.microsoft.com/office/drawing/2014/main" id="{722368F8-0591-452E-ACEC-2E96E0759DE6}"/>
            </a:ext>
          </a:extLst>
        </xdr:cNvPr>
        <xdr:cNvSpPr txBox="1"/>
      </xdr:nvSpPr>
      <xdr:spPr>
        <a:xfrm>
          <a:off x="3510915" y="116586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7" name="TextBox 6">
          <a:extLst>
            <a:ext uri="{FF2B5EF4-FFF2-40B4-BE49-F238E27FC236}">
              <a16:creationId xmlns:a16="http://schemas.microsoft.com/office/drawing/2014/main" id="{8AD5144A-DF41-41DE-A49E-CA033419A1E1}"/>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8" name="TextBox 7">
          <a:extLst>
            <a:ext uri="{FF2B5EF4-FFF2-40B4-BE49-F238E27FC236}">
              <a16:creationId xmlns:a16="http://schemas.microsoft.com/office/drawing/2014/main" id="{C1C57C83-277F-4B13-AE07-9CC76EC1014E}"/>
            </a:ext>
          </a:extLst>
        </xdr:cNvPr>
        <xdr:cNvSpPr txBox="1"/>
      </xdr:nvSpPr>
      <xdr:spPr>
        <a:xfrm>
          <a:off x="3510915" y="11820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9" name="TextBox 8">
          <a:extLst>
            <a:ext uri="{FF2B5EF4-FFF2-40B4-BE49-F238E27FC236}">
              <a16:creationId xmlns:a16="http://schemas.microsoft.com/office/drawing/2014/main" id="{3FF45FCE-6F56-4DDA-AB48-94A2F0D3B125}"/>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10" name="TextBox 9">
          <a:extLst>
            <a:ext uri="{FF2B5EF4-FFF2-40B4-BE49-F238E27FC236}">
              <a16:creationId xmlns:a16="http://schemas.microsoft.com/office/drawing/2014/main" id="{DE9ABBDF-E7C4-434B-8D6D-5AE7D5B8E7CB}"/>
            </a:ext>
          </a:extLst>
        </xdr:cNvPr>
        <xdr:cNvSpPr txBox="1"/>
      </xdr:nvSpPr>
      <xdr:spPr>
        <a:xfrm>
          <a:off x="3510915" y="119824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1" name="TextBox 10">
          <a:extLst>
            <a:ext uri="{FF2B5EF4-FFF2-40B4-BE49-F238E27FC236}">
              <a16:creationId xmlns:a16="http://schemas.microsoft.com/office/drawing/2014/main" id="{18D51172-15EC-435F-9AFD-067854E4478D}"/>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2" name="TextBox 11">
          <a:extLst>
            <a:ext uri="{FF2B5EF4-FFF2-40B4-BE49-F238E27FC236}">
              <a16:creationId xmlns:a16="http://schemas.microsoft.com/office/drawing/2014/main" id="{CAE64009-DDD9-4C12-BC13-46E9AC28B7A7}"/>
            </a:ext>
          </a:extLst>
        </xdr:cNvPr>
        <xdr:cNvSpPr txBox="1"/>
      </xdr:nvSpPr>
      <xdr:spPr>
        <a:xfrm>
          <a:off x="3510915" y="121443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3" name="TextBox 12">
          <a:extLst>
            <a:ext uri="{FF2B5EF4-FFF2-40B4-BE49-F238E27FC236}">
              <a16:creationId xmlns:a16="http://schemas.microsoft.com/office/drawing/2014/main" id="{E993ABB3-379D-449A-959B-5C7E2DF0DA91}"/>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4" name="TextBox 13">
          <a:extLst>
            <a:ext uri="{FF2B5EF4-FFF2-40B4-BE49-F238E27FC236}">
              <a16:creationId xmlns:a16="http://schemas.microsoft.com/office/drawing/2014/main" id="{16EEDCB9-C9C1-4602-887C-0C9A298A41A5}"/>
            </a:ext>
          </a:extLst>
        </xdr:cNvPr>
        <xdr:cNvSpPr txBox="1"/>
      </xdr:nvSpPr>
      <xdr:spPr>
        <a:xfrm>
          <a:off x="3510915"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15" name="TextBox 14">
          <a:extLst>
            <a:ext uri="{FF2B5EF4-FFF2-40B4-BE49-F238E27FC236}">
              <a16:creationId xmlns:a16="http://schemas.microsoft.com/office/drawing/2014/main" id="{315B370D-D12B-4C12-8228-BE6935A97CF2}"/>
            </a:ext>
          </a:extLst>
        </xdr:cNvPr>
        <xdr:cNvSpPr txBox="1"/>
      </xdr:nvSpPr>
      <xdr:spPr>
        <a:xfrm>
          <a:off x="51625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6" name="TextBox 15">
          <a:extLst>
            <a:ext uri="{FF2B5EF4-FFF2-40B4-BE49-F238E27FC236}">
              <a16:creationId xmlns:a16="http://schemas.microsoft.com/office/drawing/2014/main" id="{FC9D10BE-061E-41F8-8113-9960964AE16B}"/>
            </a:ext>
          </a:extLst>
        </xdr:cNvPr>
        <xdr:cNvSpPr txBox="1"/>
      </xdr:nvSpPr>
      <xdr:spPr>
        <a:xfrm>
          <a:off x="51625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70</xdr:row>
      <xdr:rowOff>0</xdr:rowOff>
    </xdr:from>
    <xdr:ext cx="184731" cy="303466"/>
    <xdr:sp macro="" textlink="">
      <xdr:nvSpPr>
        <xdr:cNvPr id="17" name="TextBox 16">
          <a:extLst>
            <a:ext uri="{FF2B5EF4-FFF2-40B4-BE49-F238E27FC236}">
              <a16:creationId xmlns:a16="http://schemas.microsoft.com/office/drawing/2014/main" id="{59CF1D2A-2057-49FF-894B-A665E322E045}"/>
            </a:ext>
          </a:extLst>
        </xdr:cNvPr>
        <xdr:cNvSpPr txBox="1"/>
      </xdr:nvSpPr>
      <xdr:spPr>
        <a:xfrm>
          <a:off x="51625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8" name="TextBox 17">
          <a:extLst>
            <a:ext uri="{FF2B5EF4-FFF2-40B4-BE49-F238E27FC236}">
              <a16:creationId xmlns:a16="http://schemas.microsoft.com/office/drawing/2014/main" id="{24040C31-F369-4629-B534-498503C99CB7}"/>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264560"/>
    <xdr:sp macro="" textlink="">
      <xdr:nvSpPr>
        <xdr:cNvPr id="19" name="TextBox 18">
          <a:extLst>
            <a:ext uri="{FF2B5EF4-FFF2-40B4-BE49-F238E27FC236}">
              <a16:creationId xmlns:a16="http://schemas.microsoft.com/office/drawing/2014/main" id="{EE6413B1-6F87-4D57-9538-9C3BF2BE6A2A}"/>
            </a:ext>
          </a:extLst>
        </xdr:cNvPr>
        <xdr:cNvSpPr txBox="1"/>
      </xdr:nvSpPr>
      <xdr:spPr>
        <a:xfrm>
          <a:off x="51625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0" name="TextBox 19">
          <a:extLst>
            <a:ext uri="{FF2B5EF4-FFF2-40B4-BE49-F238E27FC236}">
              <a16:creationId xmlns:a16="http://schemas.microsoft.com/office/drawing/2014/main" id="{93550FA8-8CC8-4C21-939D-A3B7B20AACEB}"/>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72</xdr:row>
      <xdr:rowOff>0</xdr:rowOff>
    </xdr:from>
    <xdr:ext cx="184731" cy="264560"/>
    <xdr:sp macro="" textlink="">
      <xdr:nvSpPr>
        <xdr:cNvPr id="21" name="TextBox 20">
          <a:extLst>
            <a:ext uri="{FF2B5EF4-FFF2-40B4-BE49-F238E27FC236}">
              <a16:creationId xmlns:a16="http://schemas.microsoft.com/office/drawing/2014/main" id="{C9CD2B84-8993-410B-BA40-42F11DB42B19}"/>
            </a:ext>
          </a:extLst>
        </xdr:cNvPr>
        <xdr:cNvSpPr txBox="1"/>
      </xdr:nvSpPr>
      <xdr:spPr>
        <a:xfrm>
          <a:off x="51625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2" name="TextBox 21">
          <a:extLst>
            <a:ext uri="{FF2B5EF4-FFF2-40B4-BE49-F238E27FC236}">
              <a16:creationId xmlns:a16="http://schemas.microsoft.com/office/drawing/2014/main" id="{B8E7CE7E-8FDD-4189-8FAD-1A7C147933AC}"/>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3" name="TextBox 22">
          <a:extLst>
            <a:ext uri="{FF2B5EF4-FFF2-40B4-BE49-F238E27FC236}">
              <a16:creationId xmlns:a16="http://schemas.microsoft.com/office/drawing/2014/main" id="{4FE6FCAA-089A-4B3C-99B1-AD2C54617C5B}"/>
            </a:ext>
          </a:extLst>
        </xdr:cNvPr>
        <xdr:cNvSpPr txBox="1"/>
      </xdr:nvSpPr>
      <xdr:spPr>
        <a:xfrm>
          <a:off x="51625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4" name="TextBox 23">
          <a:extLst>
            <a:ext uri="{FF2B5EF4-FFF2-40B4-BE49-F238E27FC236}">
              <a16:creationId xmlns:a16="http://schemas.microsoft.com/office/drawing/2014/main" id="{9D4506E6-0F15-4E21-BA1C-F2E91F0790EF}"/>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5" name="TextBox 24">
          <a:extLst>
            <a:ext uri="{FF2B5EF4-FFF2-40B4-BE49-F238E27FC236}">
              <a16:creationId xmlns:a16="http://schemas.microsoft.com/office/drawing/2014/main" id="{27700283-1E24-4251-B72F-D200D09DF123}"/>
            </a:ext>
          </a:extLst>
        </xdr:cNvPr>
        <xdr:cNvSpPr txBox="1"/>
      </xdr:nvSpPr>
      <xdr:spPr>
        <a:xfrm>
          <a:off x="51625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6" name="TextBox 25">
          <a:extLst>
            <a:ext uri="{FF2B5EF4-FFF2-40B4-BE49-F238E27FC236}">
              <a16:creationId xmlns:a16="http://schemas.microsoft.com/office/drawing/2014/main" id="{6C524861-0E30-4C5D-B1E0-7D1EEAF76316}"/>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7" name="TextBox 26">
          <a:extLst>
            <a:ext uri="{FF2B5EF4-FFF2-40B4-BE49-F238E27FC236}">
              <a16:creationId xmlns:a16="http://schemas.microsoft.com/office/drawing/2014/main" id="{862242AD-E55E-42DC-BE10-1E65BE95FE83}"/>
            </a:ext>
          </a:extLst>
        </xdr:cNvPr>
        <xdr:cNvSpPr txBox="1"/>
      </xdr:nvSpPr>
      <xdr:spPr>
        <a:xfrm>
          <a:off x="51625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28" name="TextBox 27">
          <a:extLst>
            <a:ext uri="{FF2B5EF4-FFF2-40B4-BE49-F238E27FC236}">
              <a16:creationId xmlns:a16="http://schemas.microsoft.com/office/drawing/2014/main" id="{B46FD6A3-5D9E-4B2E-9A05-BB6695899C2D}"/>
            </a:ext>
          </a:extLst>
        </xdr:cNvPr>
        <xdr:cNvSpPr txBox="1"/>
      </xdr:nvSpPr>
      <xdr:spPr>
        <a:xfrm>
          <a:off x="61912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9" name="TextBox 28">
          <a:extLst>
            <a:ext uri="{FF2B5EF4-FFF2-40B4-BE49-F238E27FC236}">
              <a16:creationId xmlns:a16="http://schemas.microsoft.com/office/drawing/2014/main" id="{B99DEE61-E0A6-4221-9CEE-5BDBAD9CBAE2}"/>
            </a:ext>
          </a:extLst>
        </xdr:cNvPr>
        <xdr:cNvSpPr txBox="1"/>
      </xdr:nvSpPr>
      <xdr:spPr>
        <a:xfrm>
          <a:off x="6191250" y="1133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70</xdr:row>
      <xdr:rowOff>0</xdr:rowOff>
    </xdr:from>
    <xdr:ext cx="184731" cy="303466"/>
    <xdr:sp macro="" textlink="">
      <xdr:nvSpPr>
        <xdr:cNvPr id="30" name="TextBox 29">
          <a:extLst>
            <a:ext uri="{FF2B5EF4-FFF2-40B4-BE49-F238E27FC236}">
              <a16:creationId xmlns:a16="http://schemas.microsoft.com/office/drawing/2014/main" id="{9A85999C-5053-4ACB-B5E7-992175E180A4}"/>
            </a:ext>
          </a:extLst>
        </xdr:cNvPr>
        <xdr:cNvSpPr txBox="1"/>
      </xdr:nvSpPr>
      <xdr:spPr>
        <a:xfrm>
          <a:off x="6191250" y="114966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1" name="TextBox 30">
          <a:extLst>
            <a:ext uri="{FF2B5EF4-FFF2-40B4-BE49-F238E27FC236}">
              <a16:creationId xmlns:a16="http://schemas.microsoft.com/office/drawing/2014/main" id="{CF051D72-4BE8-4EAA-8987-D2007E4BA1CA}"/>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264560"/>
    <xdr:sp macro="" textlink="">
      <xdr:nvSpPr>
        <xdr:cNvPr id="32" name="TextBox 31">
          <a:extLst>
            <a:ext uri="{FF2B5EF4-FFF2-40B4-BE49-F238E27FC236}">
              <a16:creationId xmlns:a16="http://schemas.microsoft.com/office/drawing/2014/main" id="{3541C655-2084-4BB7-9859-0FC9D1863473}"/>
            </a:ext>
          </a:extLst>
        </xdr:cNvPr>
        <xdr:cNvSpPr txBox="1"/>
      </xdr:nvSpPr>
      <xdr:spPr>
        <a:xfrm>
          <a:off x="6191250" y="1165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3" name="TextBox 32">
          <a:extLst>
            <a:ext uri="{FF2B5EF4-FFF2-40B4-BE49-F238E27FC236}">
              <a16:creationId xmlns:a16="http://schemas.microsoft.com/office/drawing/2014/main" id="{C5F650C6-CE07-4CD2-AA0D-AD85492053EA}"/>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72</xdr:row>
      <xdr:rowOff>0</xdr:rowOff>
    </xdr:from>
    <xdr:ext cx="184731" cy="264560"/>
    <xdr:sp macro="" textlink="">
      <xdr:nvSpPr>
        <xdr:cNvPr id="34" name="TextBox 33">
          <a:extLst>
            <a:ext uri="{FF2B5EF4-FFF2-40B4-BE49-F238E27FC236}">
              <a16:creationId xmlns:a16="http://schemas.microsoft.com/office/drawing/2014/main" id="{D6C008C9-A99E-4ACA-BEF3-26E2BB121E17}"/>
            </a:ext>
          </a:extLst>
        </xdr:cNvPr>
        <xdr:cNvSpPr txBox="1"/>
      </xdr:nvSpPr>
      <xdr:spPr>
        <a:xfrm>
          <a:off x="6191250" y="118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5" name="TextBox 34">
          <a:extLst>
            <a:ext uri="{FF2B5EF4-FFF2-40B4-BE49-F238E27FC236}">
              <a16:creationId xmlns:a16="http://schemas.microsoft.com/office/drawing/2014/main" id="{3E7DC66C-0585-4527-9513-0F04F744BF1C}"/>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6" name="TextBox 35">
          <a:extLst>
            <a:ext uri="{FF2B5EF4-FFF2-40B4-BE49-F238E27FC236}">
              <a16:creationId xmlns:a16="http://schemas.microsoft.com/office/drawing/2014/main" id="{E972BEA3-83D7-4509-BA90-9FF3A8C1D881}"/>
            </a:ext>
          </a:extLst>
        </xdr:cNvPr>
        <xdr:cNvSpPr txBox="1"/>
      </xdr:nvSpPr>
      <xdr:spPr>
        <a:xfrm>
          <a:off x="6191250" y="1198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7" name="TextBox 36">
          <a:extLst>
            <a:ext uri="{FF2B5EF4-FFF2-40B4-BE49-F238E27FC236}">
              <a16:creationId xmlns:a16="http://schemas.microsoft.com/office/drawing/2014/main" id="{9FEA1684-61FB-4586-A4D7-FD189D76F008}"/>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8" name="TextBox 37">
          <a:extLst>
            <a:ext uri="{FF2B5EF4-FFF2-40B4-BE49-F238E27FC236}">
              <a16:creationId xmlns:a16="http://schemas.microsoft.com/office/drawing/2014/main" id="{99EA2DFB-8BFC-4F44-B2C9-F8878710935C}"/>
            </a:ext>
          </a:extLst>
        </xdr:cNvPr>
        <xdr:cNvSpPr txBox="1"/>
      </xdr:nvSpPr>
      <xdr:spPr>
        <a:xfrm>
          <a:off x="6191250" y="1214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9" name="TextBox 38">
          <a:extLst>
            <a:ext uri="{FF2B5EF4-FFF2-40B4-BE49-F238E27FC236}">
              <a16:creationId xmlns:a16="http://schemas.microsoft.com/office/drawing/2014/main" id="{616C87A9-FBBF-4D47-AEE4-2E45F78943F7}"/>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40" name="TextBox 39">
          <a:extLst>
            <a:ext uri="{FF2B5EF4-FFF2-40B4-BE49-F238E27FC236}">
              <a16:creationId xmlns:a16="http://schemas.microsoft.com/office/drawing/2014/main" id="{984CF956-2CA5-42D7-822F-B0A012B1B5E8}"/>
            </a:ext>
          </a:extLst>
        </xdr:cNvPr>
        <xdr:cNvSpPr txBox="1"/>
      </xdr:nvSpPr>
      <xdr:spPr>
        <a:xfrm>
          <a:off x="61912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68</xdr:row>
      <xdr:rowOff>0</xdr:rowOff>
    </xdr:from>
    <xdr:ext cx="192763" cy="264560"/>
    <xdr:sp macro="" textlink="">
      <xdr:nvSpPr>
        <xdr:cNvPr id="41" name="TextBox 40">
          <a:extLst>
            <a:ext uri="{FF2B5EF4-FFF2-40B4-BE49-F238E27FC236}">
              <a16:creationId xmlns:a16="http://schemas.microsoft.com/office/drawing/2014/main" id="{423A4BAE-EF84-4719-AC32-C8CED77732F7}"/>
            </a:ext>
          </a:extLst>
        </xdr:cNvPr>
        <xdr:cNvSpPr txBox="1"/>
      </xdr:nvSpPr>
      <xdr:spPr>
        <a:xfrm>
          <a:off x="51587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68</xdr:row>
      <xdr:rowOff>0</xdr:rowOff>
    </xdr:from>
    <xdr:ext cx="192763" cy="264560"/>
    <xdr:sp macro="" textlink="">
      <xdr:nvSpPr>
        <xdr:cNvPr id="42" name="TextBox 41">
          <a:extLst>
            <a:ext uri="{FF2B5EF4-FFF2-40B4-BE49-F238E27FC236}">
              <a16:creationId xmlns:a16="http://schemas.microsoft.com/office/drawing/2014/main" id="{97B418F2-91E6-474E-AE0B-7AB21A10BB3C}"/>
            </a:ext>
          </a:extLst>
        </xdr:cNvPr>
        <xdr:cNvSpPr txBox="1"/>
      </xdr:nvSpPr>
      <xdr:spPr>
        <a:xfrm>
          <a:off x="61874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68</xdr:row>
      <xdr:rowOff>0</xdr:rowOff>
    </xdr:from>
    <xdr:ext cx="192763" cy="264560"/>
    <xdr:sp macro="" textlink="">
      <xdr:nvSpPr>
        <xdr:cNvPr id="43" name="TextBox 42">
          <a:extLst>
            <a:ext uri="{FF2B5EF4-FFF2-40B4-BE49-F238E27FC236}">
              <a16:creationId xmlns:a16="http://schemas.microsoft.com/office/drawing/2014/main" id="{AB477DF1-A2CA-4E94-BA2D-C929BDE73BAC}"/>
            </a:ext>
          </a:extLst>
        </xdr:cNvPr>
        <xdr:cNvSpPr txBox="1"/>
      </xdr:nvSpPr>
      <xdr:spPr>
        <a:xfrm>
          <a:off x="7216140" y="11172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69</xdr:row>
      <xdr:rowOff>0</xdr:rowOff>
    </xdr:from>
    <xdr:ext cx="183125" cy="264560"/>
    <xdr:sp macro="" textlink="">
      <xdr:nvSpPr>
        <xdr:cNvPr id="44" name="TextBox 43">
          <a:extLst>
            <a:ext uri="{FF2B5EF4-FFF2-40B4-BE49-F238E27FC236}">
              <a16:creationId xmlns:a16="http://schemas.microsoft.com/office/drawing/2014/main" id="{ACD21A4B-90F9-439B-8958-27D7BF9D7D5D}"/>
            </a:ext>
          </a:extLst>
        </xdr:cNvPr>
        <xdr:cNvSpPr txBox="1"/>
      </xdr:nvSpPr>
      <xdr:spPr>
        <a:xfrm>
          <a:off x="3520440" y="113347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69</xdr:row>
      <xdr:rowOff>0</xdr:rowOff>
    </xdr:from>
    <xdr:ext cx="184731" cy="271710"/>
    <xdr:sp macro="" textlink="">
      <xdr:nvSpPr>
        <xdr:cNvPr id="45" name="TextBox 44">
          <a:extLst>
            <a:ext uri="{FF2B5EF4-FFF2-40B4-BE49-F238E27FC236}">
              <a16:creationId xmlns:a16="http://schemas.microsoft.com/office/drawing/2014/main" id="{967C77AC-04E4-41EA-8858-1A25D1D9118C}"/>
            </a:ext>
          </a:extLst>
        </xdr:cNvPr>
        <xdr:cNvSpPr txBox="1"/>
      </xdr:nvSpPr>
      <xdr:spPr>
        <a:xfrm>
          <a:off x="702945" y="113347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201930</xdr:colOff>
      <xdr:row>58</xdr:row>
      <xdr:rowOff>0</xdr:rowOff>
    </xdr:from>
    <xdr:ext cx="184731" cy="264560"/>
    <xdr:sp macro="" textlink="">
      <xdr:nvSpPr>
        <xdr:cNvPr id="2" name="TextBox 1">
          <a:extLst>
            <a:ext uri="{FF2B5EF4-FFF2-40B4-BE49-F238E27FC236}">
              <a16:creationId xmlns:a16="http://schemas.microsoft.com/office/drawing/2014/main" id="{0A53E7E3-D8DA-4135-968F-DCB7776C24F2}"/>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3" name="TextBox 2">
          <a:extLst>
            <a:ext uri="{FF2B5EF4-FFF2-40B4-BE49-F238E27FC236}">
              <a16:creationId xmlns:a16="http://schemas.microsoft.com/office/drawing/2014/main" id="{B749128C-58A7-407A-9820-0D117C5C88F5}"/>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4" name="TextBox 3">
          <a:extLst>
            <a:ext uri="{FF2B5EF4-FFF2-40B4-BE49-F238E27FC236}">
              <a16:creationId xmlns:a16="http://schemas.microsoft.com/office/drawing/2014/main" id="{89765C16-0F23-4093-80D4-178EA3733A10}"/>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5" name="TextBox 4">
          <a:extLst>
            <a:ext uri="{FF2B5EF4-FFF2-40B4-BE49-F238E27FC236}">
              <a16:creationId xmlns:a16="http://schemas.microsoft.com/office/drawing/2014/main" id="{0976AF14-A0D4-443C-BF5F-D7329BAB4F2E}"/>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58</xdr:row>
      <xdr:rowOff>0</xdr:rowOff>
    </xdr:from>
    <xdr:ext cx="184731" cy="264560"/>
    <xdr:sp macro="" textlink="">
      <xdr:nvSpPr>
        <xdr:cNvPr id="6" name="TextBox 5">
          <a:extLst>
            <a:ext uri="{FF2B5EF4-FFF2-40B4-BE49-F238E27FC236}">
              <a16:creationId xmlns:a16="http://schemas.microsoft.com/office/drawing/2014/main" id="{4A9FD35A-1BEF-4EC4-A294-60E34F102EA1}"/>
            </a:ext>
          </a:extLst>
        </xdr:cNvPr>
        <xdr:cNvSpPr txBox="1"/>
      </xdr:nvSpPr>
      <xdr:spPr>
        <a:xfrm>
          <a:off x="20193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7" name="TextBox 6">
          <a:extLst>
            <a:ext uri="{FF2B5EF4-FFF2-40B4-BE49-F238E27FC236}">
              <a16:creationId xmlns:a16="http://schemas.microsoft.com/office/drawing/2014/main" id="{DFB25A4F-77BD-4A4F-A972-AA624083FD07}"/>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8" name="TextBox 7">
          <a:extLst>
            <a:ext uri="{FF2B5EF4-FFF2-40B4-BE49-F238E27FC236}">
              <a16:creationId xmlns:a16="http://schemas.microsoft.com/office/drawing/2014/main" id="{A6A89A0A-326C-461B-84DD-9DF401A0EE9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9" name="TextBox 8">
          <a:extLst>
            <a:ext uri="{FF2B5EF4-FFF2-40B4-BE49-F238E27FC236}">
              <a16:creationId xmlns:a16="http://schemas.microsoft.com/office/drawing/2014/main" id="{8B42DBBC-8D5C-4588-9151-D864DCE709AB}"/>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58</xdr:row>
      <xdr:rowOff>0</xdr:rowOff>
    </xdr:from>
    <xdr:ext cx="184731" cy="264560"/>
    <xdr:sp macro="" textlink="">
      <xdr:nvSpPr>
        <xdr:cNvPr id="10" name="TextBox 9">
          <a:extLst>
            <a:ext uri="{FF2B5EF4-FFF2-40B4-BE49-F238E27FC236}">
              <a16:creationId xmlns:a16="http://schemas.microsoft.com/office/drawing/2014/main" id="{BC02CA61-E9FA-49D4-9B07-654FBE09DB69}"/>
            </a:ext>
          </a:extLst>
        </xdr:cNvPr>
        <xdr:cNvSpPr txBox="1"/>
      </xdr:nvSpPr>
      <xdr:spPr>
        <a:xfrm>
          <a:off x="265938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1" name="TextBox 10">
          <a:extLst>
            <a:ext uri="{FF2B5EF4-FFF2-40B4-BE49-F238E27FC236}">
              <a16:creationId xmlns:a16="http://schemas.microsoft.com/office/drawing/2014/main" id="{328496DA-305F-4C4E-B4C7-F7C874D34E6F}"/>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2" name="TextBox 11">
          <a:extLst>
            <a:ext uri="{FF2B5EF4-FFF2-40B4-BE49-F238E27FC236}">
              <a16:creationId xmlns:a16="http://schemas.microsoft.com/office/drawing/2014/main" id="{7926B204-243C-4EA8-98B1-16172FD39F77}"/>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3" name="TextBox 12">
          <a:extLst>
            <a:ext uri="{FF2B5EF4-FFF2-40B4-BE49-F238E27FC236}">
              <a16:creationId xmlns:a16="http://schemas.microsoft.com/office/drawing/2014/main" id="{1DDE5E44-9DEF-4793-B458-2EC85CC8BD18}"/>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58</xdr:row>
      <xdr:rowOff>0</xdr:rowOff>
    </xdr:from>
    <xdr:ext cx="184731" cy="264560"/>
    <xdr:sp macro="" textlink="">
      <xdr:nvSpPr>
        <xdr:cNvPr id="14" name="TextBox 13">
          <a:extLst>
            <a:ext uri="{FF2B5EF4-FFF2-40B4-BE49-F238E27FC236}">
              <a16:creationId xmlns:a16="http://schemas.microsoft.com/office/drawing/2014/main" id="{92DBC81E-B600-4E78-A7D5-279F33D80F63}"/>
            </a:ext>
          </a:extLst>
        </xdr:cNvPr>
        <xdr:cNvSpPr txBox="1"/>
      </xdr:nvSpPr>
      <xdr:spPr>
        <a:xfrm>
          <a:off x="3147060"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5" name="TextBox 14">
          <a:extLst>
            <a:ext uri="{FF2B5EF4-FFF2-40B4-BE49-F238E27FC236}">
              <a16:creationId xmlns:a16="http://schemas.microsoft.com/office/drawing/2014/main" id="{BC0224D2-6185-441E-9725-77835F31D281}"/>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6" name="TextBox 15">
          <a:extLst>
            <a:ext uri="{FF2B5EF4-FFF2-40B4-BE49-F238E27FC236}">
              <a16:creationId xmlns:a16="http://schemas.microsoft.com/office/drawing/2014/main" id="{7B28DB4D-17CB-4933-80CF-DC0E5CDDDFD6}"/>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7" name="TextBox 16">
          <a:extLst>
            <a:ext uri="{FF2B5EF4-FFF2-40B4-BE49-F238E27FC236}">
              <a16:creationId xmlns:a16="http://schemas.microsoft.com/office/drawing/2014/main" id="{39B27F34-F5C2-4BA9-9719-04D28389F674}"/>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58</xdr:row>
      <xdr:rowOff>0</xdr:rowOff>
    </xdr:from>
    <xdr:ext cx="184731" cy="264560"/>
    <xdr:sp macro="" textlink="">
      <xdr:nvSpPr>
        <xdr:cNvPr id="18" name="TextBox 17">
          <a:extLst>
            <a:ext uri="{FF2B5EF4-FFF2-40B4-BE49-F238E27FC236}">
              <a16:creationId xmlns:a16="http://schemas.microsoft.com/office/drawing/2014/main" id="{1B96E982-8E44-429C-9551-9AB09304AA08}"/>
            </a:ext>
          </a:extLst>
        </xdr:cNvPr>
        <xdr:cNvSpPr txBox="1"/>
      </xdr:nvSpPr>
      <xdr:spPr>
        <a:xfrm>
          <a:off x="4238625" y="1249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9" name="TextBox 18">
          <a:extLst>
            <a:ext uri="{FF2B5EF4-FFF2-40B4-BE49-F238E27FC236}">
              <a16:creationId xmlns:a16="http://schemas.microsoft.com/office/drawing/2014/main" id="{2B0F7369-3007-4171-9A53-246CDBE0936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0" name="TextBox 19">
          <a:extLst>
            <a:ext uri="{FF2B5EF4-FFF2-40B4-BE49-F238E27FC236}">
              <a16:creationId xmlns:a16="http://schemas.microsoft.com/office/drawing/2014/main" id="{715DC89B-C15F-4519-B88E-72FDC3D73BF6}"/>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1" name="TextBox 20">
          <a:extLst>
            <a:ext uri="{FF2B5EF4-FFF2-40B4-BE49-F238E27FC236}">
              <a16:creationId xmlns:a16="http://schemas.microsoft.com/office/drawing/2014/main" id="{FACD6A40-BDB5-4400-95B0-B65FFC1223F1}"/>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2" name="TextBox 21">
          <a:extLst>
            <a:ext uri="{FF2B5EF4-FFF2-40B4-BE49-F238E27FC236}">
              <a16:creationId xmlns:a16="http://schemas.microsoft.com/office/drawing/2014/main" id="{C7FDB0DD-94BC-441C-9323-0C649237D83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23" name="TextBox 22">
          <a:extLst>
            <a:ext uri="{FF2B5EF4-FFF2-40B4-BE49-F238E27FC236}">
              <a16:creationId xmlns:a16="http://schemas.microsoft.com/office/drawing/2014/main" id="{51E9AD5B-BEB2-4B47-B809-A95ED97EF168}"/>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4" name="TextBox 23">
          <a:extLst>
            <a:ext uri="{FF2B5EF4-FFF2-40B4-BE49-F238E27FC236}">
              <a16:creationId xmlns:a16="http://schemas.microsoft.com/office/drawing/2014/main" id="{7EF9822B-4447-405B-A323-F66A65F4CB9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5" name="TextBox 24">
          <a:extLst>
            <a:ext uri="{FF2B5EF4-FFF2-40B4-BE49-F238E27FC236}">
              <a16:creationId xmlns:a16="http://schemas.microsoft.com/office/drawing/2014/main" id="{9BD1A8D4-E122-4F5F-A14C-7FE1DC02859D}"/>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6" name="TextBox 25">
          <a:extLst>
            <a:ext uri="{FF2B5EF4-FFF2-40B4-BE49-F238E27FC236}">
              <a16:creationId xmlns:a16="http://schemas.microsoft.com/office/drawing/2014/main" id="{DB147C60-A527-45EA-AB4F-EDB7BD3D5A3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27" name="TextBox 26">
          <a:extLst>
            <a:ext uri="{FF2B5EF4-FFF2-40B4-BE49-F238E27FC236}">
              <a16:creationId xmlns:a16="http://schemas.microsoft.com/office/drawing/2014/main" id="{A86C5267-3A0E-42A5-B9E3-785E5B5121AB}"/>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8" name="TextBox 27">
          <a:extLst>
            <a:ext uri="{FF2B5EF4-FFF2-40B4-BE49-F238E27FC236}">
              <a16:creationId xmlns:a16="http://schemas.microsoft.com/office/drawing/2014/main" id="{FD29A3A5-EF75-4A48-AE61-C3E5B59B7EFF}"/>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29" name="TextBox 28">
          <a:extLst>
            <a:ext uri="{FF2B5EF4-FFF2-40B4-BE49-F238E27FC236}">
              <a16:creationId xmlns:a16="http://schemas.microsoft.com/office/drawing/2014/main" id="{DDB3B947-7BFB-4DDB-BA82-6A3DA54803DE}"/>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0" name="TextBox 29">
          <a:extLst>
            <a:ext uri="{FF2B5EF4-FFF2-40B4-BE49-F238E27FC236}">
              <a16:creationId xmlns:a16="http://schemas.microsoft.com/office/drawing/2014/main" id="{42997024-36D2-4A31-AE22-A6BFF774AB6D}"/>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31" name="TextBox 30">
          <a:extLst>
            <a:ext uri="{FF2B5EF4-FFF2-40B4-BE49-F238E27FC236}">
              <a16:creationId xmlns:a16="http://schemas.microsoft.com/office/drawing/2014/main" id="{E9755E6E-11FA-4899-9CBF-94391E0AAF4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2" name="TextBox 31">
          <a:extLst>
            <a:ext uri="{FF2B5EF4-FFF2-40B4-BE49-F238E27FC236}">
              <a16:creationId xmlns:a16="http://schemas.microsoft.com/office/drawing/2014/main" id="{B01CAF7D-62B7-4782-B8DC-D2CE83F30B52}"/>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3" name="TextBox 32">
          <a:extLst>
            <a:ext uri="{FF2B5EF4-FFF2-40B4-BE49-F238E27FC236}">
              <a16:creationId xmlns:a16="http://schemas.microsoft.com/office/drawing/2014/main" id="{E347FB7F-6E69-46EF-9639-4D656259E56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4" name="TextBox 33">
          <a:extLst>
            <a:ext uri="{FF2B5EF4-FFF2-40B4-BE49-F238E27FC236}">
              <a16:creationId xmlns:a16="http://schemas.microsoft.com/office/drawing/2014/main" id="{4C0384C4-3BE9-4851-858B-9B615C90348C}"/>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5" name="TextBox 34">
          <a:extLst>
            <a:ext uri="{FF2B5EF4-FFF2-40B4-BE49-F238E27FC236}">
              <a16:creationId xmlns:a16="http://schemas.microsoft.com/office/drawing/2014/main" id="{0F655798-B757-443D-B928-E10533B2D213}"/>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36" name="TextBox 35">
          <a:extLst>
            <a:ext uri="{FF2B5EF4-FFF2-40B4-BE49-F238E27FC236}">
              <a16:creationId xmlns:a16="http://schemas.microsoft.com/office/drawing/2014/main" id="{AE27021D-27F3-4EC8-AD8B-93A9EA6869A6}"/>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7" name="TextBox 36">
          <a:extLst>
            <a:ext uri="{FF2B5EF4-FFF2-40B4-BE49-F238E27FC236}">
              <a16:creationId xmlns:a16="http://schemas.microsoft.com/office/drawing/2014/main" id="{C0A3D5F6-C096-46AE-A1C3-8E899D19CB8B}"/>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8" name="TextBox 37">
          <a:extLst>
            <a:ext uri="{FF2B5EF4-FFF2-40B4-BE49-F238E27FC236}">
              <a16:creationId xmlns:a16="http://schemas.microsoft.com/office/drawing/2014/main" id="{515CAEA7-6E26-4619-BEA5-16D56A747FE9}"/>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39" name="TextBox 38">
          <a:extLst>
            <a:ext uri="{FF2B5EF4-FFF2-40B4-BE49-F238E27FC236}">
              <a16:creationId xmlns:a16="http://schemas.microsoft.com/office/drawing/2014/main" id="{7C4FAB8A-030B-400C-B588-2885D0DD3E90}"/>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40" name="TextBox 39">
          <a:extLst>
            <a:ext uri="{FF2B5EF4-FFF2-40B4-BE49-F238E27FC236}">
              <a16:creationId xmlns:a16="http://schemas.microsoft.com/office/drawing/2014/main" id="{0F0E7AAD-39CC-491D-984C-8070FA559C67}"/>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1" name="TextBox 40">
          <a:extLst>
            <a:ext uri="{FF2B5EF4-FFF2-40B4-BE49-F238E27FC236}">
              <a16:creationId xmlns:a16="http://schemas.microsoft.com/office/drawing/2014/main" id="{9F663D39-5FB2-4A6E-B322-EDEEC31B9880}"/>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2" name="TextBox 41">
          <a:extLst>
            <a:ext uri="{FF2B5EF4-FFF2-40B4-BE49-F238E27FC236}">
              <a16:creationId xmlns:a16="http://schemas.microsoft.com/office/drawing/2014/main" id="{A37AD770-01FF-44A4-B8EC-6D1ABECB0148}"/>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3" name="TextBox 42">
          <a:extLst>
            <a:ext uri="{FF2B5EF4-FFF2-40B4-BE49-F238E27FC236}">
              <a16:creationId xmlns:a16="http://schemas.microsoft.com/office/drawing/2014/main" id="{1B423D0F-D86A-4DF9-8C7C-58C4567A6C8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44" name="TextBox 43">
          <a:extLst>
            <a:ext uri="{FF2B5EF4-FFF2-40B4-BE49-F238E27FC236}">
              <a16:creationId xmlns:a16="http://schemas.microsoft.com/office/drawing/2014/main" id="{CAE78F77-5C50-4CBC-B49D-D21C92964B0C}"/>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5" name="TextBox 44">
          <a:extLst>
            <a:ext uri="{FF2B5EF4-FFF2-40B4-BE49-F238E27FC236}">
              <a16:creationId xmlns:a16="http://schemas.microsoft.com/office/drawing/2014/main" id="{D4801638-F29D-498A-A565-14DE2BB35B4C}"/>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6" name="TextBox 45">
          <a:extLst>
            <a:ext uri="{FF2B5EF4-FFF2-40B4-BE49-F238E27FC236}">
              <a16:creationId xmlns:a16="http://schemas.microsoft.com/office/drawing/2014/main" id="{6BDD4BE4-225A-4194-B372-A812B4DB3E5D}"/>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7" name="TextBox 46">
          <a:extLst>
            <a:ext uri="{FF2B5EF4-FFF2-40B4-BE49-F238E27FC236}">
              <a16:creationId xmlns:a16="http://schemas.microsoft.com/office/drawing/2014/main" id="{57EE22F1-84EB-4F5D-93CD-AE8F6625F133}"/>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8" name="TextBox 47">
          <a:extLst>
            <a:ext uri="{FF2B5EF4-FFF2-40B4-BE49-F238E27FC236}">
              <a16:creationId xmlns:a16="http://schemas.microsoft.com/office/drawing/2014/main" id="{6B1B28A7-5267-4BC6-BCD1-3130B08FF0C9}"/>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49" name="TextBox 48">
          <a:extLst>
            <a:ext uri="{FF2B5EF4-FFF2-40B4-BE49-F238E27FC236}">
              <a16:creationId xmlns:a16="http://schemas.microsoft.com/office/drawing/2014/main" id="{CE160F76-1D43-460F-97B0-79D9C89DFF10}"/>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0" name="TextBox 49">
          <a:extLst>
            <a:ext uri="{FF2B5EF4-FFF2-40B4-BE49-F238E27FC236}">
              <a16:creationId xmlns:a16="http://schemas.microsoft.com/office/drawing/2014/main" id="{7D327CFA-2C0A-4627-94AB-EB17FB7CCDA2}"/>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1" name="TextBox 50">
          <a:extLst>
            <a:ext uri="{FF2B5EF4-FFF2-40B4-BE49-F238E27FC236}">
              <a16:creationId xmlns:a16="http://schemas.microsoft.com/office/drawing/2014/main" id="{7029428B-51BA-4822-878D-0693E1E0B26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2" name="TextBox 51">
          <a:extLst>
            <a:ext uri="{FF2B5EF4-FFF2-40B4-BE49-F238E27FC236}">
              <a16:creationId xmlns:a16="http://schemas.microsoft.com/office/drawing/2014/main" id="{08BCCB25-E7D0-466A-8A4A-6BD858DBB028}"/>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53" name="TextBox 52">
          <a:extLst>
            <a:ext uri="{FF2B5EF4-FFF2-40B4-BE49-F238E27FC236}">
              <a16:creationId xmlns:a16="http://schemas.microsoft.com/office/drawing/2014/main" id="{376F8D04-D960-46B3-AB4F-C8B10A0D71D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4" name="TextBox 53">
          <a:extLst>
            <a:ext uri="{FF2B5EF4-FFF2-40B4-BE49-F238E27FC236}">
              <a16:creationId xmlns:a16="http://schemas.microsoft.com/office/drawing/2014/main" id="{04F923A1-0445-490B-BFBA-C48E5E51D5C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5" name="TextBox 54">
          <a:extLst>
            <a:ext uri="{FF2B5EF4-FFF2-40B4-BE49-F238E27FC236}">
              <a16:creationId xmlns:a16="http://schemas.microsoft.com/office/drawing/2014/main" id="{F44EE40D-0027-486A-A6D9-D7810F8D2699}"/>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6" name="TextBox 55">
          <a:extLst>
            <a:ext uri="{FF2B5EF4-FFF2-40B4-BE49-F238E27FC236}">
              <a16:creationId xmlns:a16="http://schemas.microsoft.com/office/drawing/2014/main" id="{4CA810FC-DDB8-4E03-99C8-073C4C610DD4}"/>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57" name="TextBox 56">
          <a:extLst>
            <a:ext uri="{FF2B5EF4-FFF2-40B4-BE49-F238E27FC236}">
              <a16:creationId xmlns:a16="http://schemas.microsoft.com/office/drawing/2014/main" id="{DA2242E5-04EF-4C76-A34B-D396143D0DD1}"/>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8" name="TextBox 57">
          <a:extLst>
            <a:ext uri="{FF2B5EF4-FFF2-40B4-BE49-F238E27FC236}">
              <a16:creationId xmlns:a16="http://schemas.microsoft.com/office/drawing/2014/main" id="{F6A22566-78A5-4917-B09F-B6F1F2331A81}"/>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59" name="TextBox 58">
          <a:extLst>
            <a:ext uri="{FF2B5EF4-FFF2-40B4-BE49-F238E27FC236}">
              <a16:creationId xmlns:a16="http://schemas.microsoft.com/office/drawing/2014/main" id="{5BB89936-8739-445D-BDE1-3FD7A46600A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0" name="TextBox 59">
          <a:extLst>
            <a:ext uri="{FF2B5EF4-FFF2-40B4-BE49-F238E27FC236}">
              <a16:creationId xmlns:a16="http://schemas.microsoft.com/office/drawing/2014/main" id="{23C6A4E7-C9E5-487F-B0B8-CA08F02CD93F}"/>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1" name="TextBox 60">
          <a:extLst>
            <a:ext uri="{FF2B5EF4-FFF2-40B4-BE49-F238E27FC236}">
              <a16:creationId xmlns:a16="http://schemas.microsoft.com/office/drawing/2014/main" id="{946CEDB7-1D03-4C34-A332-BD1435B1EC1D}"/>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62" name="TextBox 61">
          <a:extLst>
            <a:ext uri="{FF2B5EF4-FFF2-40B4-BE49-F238E27FC236}">
              <a16:creationId xmlns:a16="http://schemas.microsoft.com/office/drawing/2014/main" id="{C21F2F1A-4943-4E0E-B3F9-54D31005BD79}"/>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3" name="TextBox 62">
          <a:extLst>
            <a:ext uri="{FF2B5EF4-FFF2-40B4-BE49-F238E27FC236}">
              <a16:creationId xmlns:a16="http://schemas.microsoft.com/office/drawing/2014/main" id="{483B659B-4111-4C62-9A72-CCC985C9390E}"/>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4" name="TextBox 63">
          <a:extLst>
            <a:ext uri="{FF2B5EF4-FFF2-40B4-BE49-F238E27FC236}">
              <a16:creationId xmlns:a16="http://schemas.microsoft.com/office/drawing/2014/main" id="{3CC93730-3D26-438F-9B81-11A27167C766}"/>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5" name="TextBox 64">
          <a:extLst>
            <a:ext uri="{FF2B5EF4-FFF2-40B4-BE49-F238E27FC236}">
              <a16:creationId xmlns:a16="http://schemas.microsoft.com/office/drawing/2014/main" id="{CE995F8D-D3D1-4C71-8D9D-A172FAFA9B32}"/>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66" name="TextBox 65">
          <a:extLst>
            <a:ext uri="{FF2B5EF4-FFF2-40B4-BE49-F238E27FC236}">
              <a16:creationId xmlns:a16="http://schemas.microsoft.com/office/drawing/2014/main" id="{456C9F3E-2A99-4F7F-90B1-AFEE484A1A6C}"/>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7" name="TextBox 66">
          <a:extLst>
            <a:ext uri="{FF2B5EF4-FFF2-40B4-BE49-F238E27FC236}">
              <a16:creationId xmlns:a16="http://schemas.microsoft.com/office/drawing/2014/main" id="{835DDD1B-2EE1-4C31-A0C0-2C3A47F41E3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8" name="TextBox 67">
          <a:extLst>
            <a:ext uri="{FF2B5EF4-FFF2-40B4-BE49-F238E27FC236}">
              <a16:creationId xmlns:a16="http://schemas.microsoft.com/office/drawing/2014/main" id="{C3661F2E-7726-4699-B21F-3DFD848B05C6}"/>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69" name="TextBox 68">
          <a:extLst>
            <a:ext uri="{FF2B5EF4-FFF2-40B4-BE49-F238E27FC236}">
              <a16:creationId xmlns:a16="http://schemas.microsoft.com/office/drawing/2014/main" id="{A0A5AA9A-9567-4CE4-9195-2DED61A0E74E}"/>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70" name="TextBox 69">
          <a:extLst>
            <a:ext uri="{FF2B5EF4-FFF2-40B4-BE49-F238E27FC236}">
              <a16:creationId xmlns:a16="http://schemas.microsoft.com/office/drawing/2014/main" id="{1E156498-7D1E-474E-84FB-85AD481DF737}"/>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1" name="TextBox 70">
          <a:extLst>
            <a:ext uri="{FF2B5EF4-FFF2-40B4-BE49-F238E27FC236}">
              <a16:creationId xmlns:a16="http://schemas.microsoft.com/office/drawing/2014/main" id="{63EA6DF0-F704-4CE4-A0C9-B0C2BD04CC93}"/>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2" name="TextBox 71">
          <a:extLst>
            <a:ext uri="{FF2B5EF4-FFF2-40B4-BE49-F238E27FC236}">
              <a16:creationId xmlns:a16="http://schemas.microsoft.com/office/drawing/2014/main" id="{8B8CFC1B-3E14-4027-81BF-A75E22ED353B}"/>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3" name="TextBox 72">
          <a:extLst>
            <a:ext uri="{FF2B5EF4-FFF2-40B4-BE49-F238E27FC236}">
              <a16:creationId xmlns:a16="http://schemas.microsoft.com/office/drawing/2014/main" id="{D059D9CD-0CF1-43D8-8225-10B867D1D64A}"/>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4" name="TextBox 73">
          <a:extLst>
            <a:ext uri="{FF2B5EF4-FFF2-40B4-BE49-F238E27FC236}">
              <a16:creationId xmlns:a16="http://schemas.microsoft.com/office/drawing/2014/main" id="{9CACA69E-5E2B-4197-B9E8-AC529D7C831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75" name="TextBox 74">
          <a:extLst>
            <a:ext uri="{FF2B5EF4-FFF2-40B4-BE49-F238E27FC236}">
              <a16:creationId xmlns:a16="http://schemas.microsoft.com/office/drawing/2014/main" id="{3611027E-B00C-4737-BED7-7CD5E460A12F}"/>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6" name="TextBox 75">
          <a:extLst>
            <a:ext uri="{FF2B5EF4-FFF2-40B4-BE49-F238E27FC236}">
              <a16:creationId xmlns:a16="http://schemas.microsoft.com/office/drawing/2014/main" id="{E32ACB87-1846-4992-AD84-33A7CE1E37F3}"/>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7" name="TextBox 76">
          <a:extLst>
            <a:ext uri="{FF2B5EF4-FFF2-40B4-BE49-F238E27FC236}">
              <a16:creationId xmlns:a16="http://schemas.microsoft.com/office/drawing/2014/main" id="{E1996073-AC46-4BE0-9C26-932637DB5E62}"/>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8" name="TextBox 77">
          <a:extLst>
            <a:ext uri="{FF2B5EF4-FFF2-40B4-BE49-F238E27FC236}">
              <a16:creationId xmlns:a16="http://schemas.microsoft.com/office/drawing/2014/main" id="{77564333-887C-4DC9-8EA6-069737AE0D94}"/>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79" name="TextBox 78">
          <a:extLst>
            <a:ext uri="{FF2B5EF4-FFF2-40B4-BE49-F238E27FC236}">
              <a16:creationId xmlns:a16="http://schemas.microsoft.com/office/drawing/2014/main" id="{2B9867DA-D42B-4805-860F-6F60FFD36D47}"/>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0" name="TextBox 79">
          <a:extLst>
            <a:ext uri="{FF2B5EF4-FFF2-40B4-BE49-F238E27FC236}">
              <a16:creationId xmlns:a16="http://schemas.microsoft.com/office/drawing/2014/main" id="{03B23803-C32D-497D-B7A2-EAB84AF1B0A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1" name="TextBox 80">
          <a:extLst>
            <a:ext uri="{FF2B5EF4-FFF2-40B4-BE49-F238E27FC236}">
              <a16:creationId xmlns:a16="http://schemas.microsoft.com/office/drawing/2014/main" id="{796D238A-3AE7-485F-A1D5-285CF121F243}"/>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2" name="TextBox 81">
          <a:extLst>
            <a:ext uri="{FF2B5EF4-FFF2-40B4-BE49-F238E27FC236}">
              <a16:creationId xmlns:a16="http://schemas.microsoft.com/office/drawing/2014/main" id="{D0013FE9-5A35-4D27-A073-F3C14B74098D}"/>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83" name="TextBox 82">
          <a:extLst>
            <a:ext uri="{FF2B5EF4-FFF2-40B4-BE49-F238E27FC236}">
              <a16:creationId xmlns:a16="http://schemas.microsoft.com/office/drawing/2014/main" id="{06AF1B7A-DD06-48FA-8C02-3A6B35D6F2AB}"/>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4" name="TextBox 83">
          <a:extLst>
            <a:ext uri="{FF2B5EF4-FFF2-40B4-BE49-F238E27FC236}">
              <a16:creationId xmlns:a16="http://schemas.microsoft.com/office/drawing/2014/main" id="{D274061D-7AFC-4299-8D57-5D32CB6287D1}"/>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5" name="TextBox 84">
          <a:extLst>
            <a:ext uri="{FF2B5EF4-FFF2-40B4-BE49-F238E27FC236}">
              <a16:creationId xmlns:a16="http://schemas.microsoft.com/office/drawing/2014/main" id="{83609181-5520-42EA-A2C1-C599F4296C58}"/>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6" name="TextBox 85">
          <a:extLst>
            <a:ext uri="{FF2B5EF4-FFF2-40B4-BE49-F238E27FC236}">
              <a16:creationId xmlns:a16="http://schemas.microsoft.com/office/drawing/2014/main" id="{37D08180-EA79-425E-B548-744D009BE2D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7" name="TextBox 86">
          <a:extLst>
            <a:ext uri="{FF2B5EF4-FFF2-40B4-BE49-F238E27FC236}">
              <a16:creationId xmlns:a16="http://schemas.microsoft.com/office/drawing/2014/main" id="{6FFCA166-DB94-4C03-8C1C-5332ED10029F}"/>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88" name="TextBox 87">
          <a:extLst>
            <a:ext uri="{FF2B5EF4-FFF2-40B4-BE49-F238E27FC236}">
              <a16:creationId xmlns:a16="http://schemas.microsoft.com/office/drawing/2014/main" id="{520FD6F8-5C3F-4A00-B09D-E61B646038D5}"/>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89" name="TextBox 88">
          <a:extLst>
            <a:ext uri="{FF2B5EF4-FFF2-40B4-BE49-F238E27FC236}">
              <a16:creationId xmlns:a16="http://schemas.microsoft.com/office/drawing/2014/main" id="{DCA0E572-F924-4447-95A9-6FE50D565D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0" name="TextBox 89">
          <a:extLst>
            <a:ext uri="{FF2B5EF4-FFF2-40B4-BE49-F238E27FC236}">
              <a16:creationId xmlns:a16="http://schemas.microsoft.com/office/drawing/2014/main" id="{DF4621AA-1FC0-498A-B5F4-427A36C24A7A}"/>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1" name="TextBox 90">
          <a:extLst>
            <a:ext uri="{FF2B5EF4-FFF2-40B4-BE49-F238E27FC236}">
              <a16:creationId xmlns:a16="http://schemas.microsoft.com/office/drawing/2014/main" id="{BEE5CE7E-9903-4566-BAFD-FF3E898A1339}"/>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92" name="TextBox 91">
          <a:extLst>
            <a:ext uri="{FF2B5EF4-FFF2-40B4-BE49-F238E27FC236}">
              <a16:creationId xmlns:a16="http://schemas.microsoft.com/office/drawing/2014/main" id="{852A99A0-E728-4753-B980-5D7B19E38C2E}"/>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3" name="TextBox 92">
          <a:extLst>
            <a:ext uri="{FF2B5EF4-FFF2-40B4-BE49-F238E27FC236}">
              <a16:creationId xmlns:a16="http://schemas.microsoft.com/office/drawing/2014/main" id="{47BEF588-236A-485A-9DB0-BCC55BA55053}"/>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4" name="TextBox 93">
          <a:extLst>
            <a:ext uri="{FF2B5EF4-FFF2-40B4-BE49-F238E27FC236}">
              <a16:creationId xmlns:a16="http://schemas.microsoft.com/office/drawing/2014/main" id="{42FC51E4-B68F-45F6-82A5-B207DEECF8C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5" name="TextBox 94">
          <a:extLst>
            <a:ext uri="{FF2B5EF4-FFF2-40B4-BE49-F238E27FC236}">
              <a16:creationId xmlns:a16="http://schemas.microsoft.com/office/drawing/2014/main" id="{ABC07B3F-0744-4BE1-85C3-36825021C37D}"/>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96" name="TextBox 95">
          <a:extLst>
            <a:ext uri="{FF2B5EF4-FFF2-40B4-BE49-F238E27FC236}">
              <a16:creationId xmlns:a16="http://schemas.microsoft.com/office/drawing/2014/main" id="{759FCF13-8266-451C-8E31-D299F888B9B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7" name="TextBox 96">
          <a:extLst>
            <a:ext uri="{FF2B5EF4-FFF2-40B4-BE49-F238E27FC236}">
              <a16:creationId xmlns:a16="http://schemas.microsoft.com/office/drawing/2014/main" id="{320018FB-078C-4AED-B324-C76877DCB27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98" name="TextBox 97">
          <a:extLst>
            <a:ext uri="{FF2B5EF4-FFF2-40B4-BE49-F238E27FC236}">
              <a16:creationId xmlns:a16="http://schemas.microsoft.com/office/drawing/2014/main" id="{7B09DE0D-C53A-41A0-B222-F3F805D370A3}"/>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99" name="TextBox 98">
          <a:extLst>
            <a:ext uri="{FF2B5EF4-FFF2-40B4-BE49-F238E27FC236}">
              <a16:creationId xmlns:a16="http://schemas.microsoft.com/office/drawing/2014/main" id="{7084BC3A-CB48-49E5-88D3-127E48BC41CD}"/>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0" name="TextBox 99">
          <a:extLst>
            <a:ext uri="{FF2B5EF4-FFF2-40B4-BE49-F238E27FC236}">
              <a16:creationId xmlns:a16="http://schemas.microsoft.com/office/drawing/2014/main" id="{97AF7E08-238C-481E-A7E2-E4D950F0A6A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59</xdr:row>
      <xdr:rowOff>0</xdr:rowOff>
    </xdr:from>
    <xdr:ext cx="184731" cy="264560"/>
    <xdr:sp macro="" textlink="">
      <xdr:nvSpPr>
        <xdr:cNvPr id="101" name="TextBox 100">
          <a:extLst>
            <a:ext uri="{FF2B5EF4-FFF2-40B4-BE49-F238E27FC236}">
              <a16:creationId xmlns:a16="http://schemas.microsoft.com/office/drawing/2014/main" id="{B5CEB416-C553-4918-855D-203BA14E2F2F}"/>
            </a:ext>
          </a:extLst>
        </xdr:cNvPr>
        <xdr:cNvSpPr txBox="1"/>
      </xdr:nvSpPr>
      <xdr:spPr>
        <a:xfrm>
          <a:off x="20193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2" name="TextBox 101">
          <a:extLst>
            <a:ext uri="{FF2B5EF4-FFF2-40B4-BE49-F238E27FC236}">
              <a16:creationId xmlns:a16="http://schemas.microsoft.com/office/drawing/2014/main" id="{24B427D6-8245-4074-A81B-7D49882A84B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3" name="TextBox 102">
          <a:extLst>
            <a:ext uri="{FF2B5EF4-FFF2-40B4-BE49-F238E27FC236}">
              <a16:creationId xmlns:a16="http://schemas.microsoft.com/office/drawing/2014/main" id="{077B1CD3-030B-4A8C-A3F7-FE28BB18A0A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4" name="TextBox 103">
          <a:extLst>
            <a:ext uri="{FF2B5EF4-FFF2-40B4-BE49-F238E27FC236}">
              <a16:creationId xmlns:a16="http://schemas.microsoft.com/office/drawing/2014/main" id="{2EBCFD96-36AA-4B14-9B34-98328AFC1062}"/>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59</xdr:row>
      <xdr:rowOff>0</xdr:rowOff>
    </xdr:from>
    <xdr:ext cx="184731" cy="264560"/>
    <xdr:sp macro="" textlink="">
      <xdr:nvSpPr>
        <xdr:cNvPr id="105" name="TextBox 104">
          <a:extLst>
            <a:ext uri="{FF2B5EF4-FFF2-40B4-BE49-F238E27FC236}">
              <a16:creationId xmlns:a16="http://schemas.microsoft.com/office/drawing/2014/main" id="{8D279BE1-431F-4B3D-A4D4-9BBBC495C36A}"/>
            </a:ext>
          </a:extLst>
        </xdr:cNvPr>
        <xdr:cNvSpPr txBox="1"/>
      </xdr:nvSpPr>
      <xdr:spPr>
        <a:xfrm>
          <a:off x="265938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6" name="TextBox 105">
          <a:extLst>
            <a:ext uri="{FF2B5EF4-FFF2-40B4-BE49-F238E27FC236}">
              <a16:creationId xmlns:a16="http://schemas.microsoft.com/office/drawing/2014/main" id="{7E908310-D775-4575-93BB-48A4B55ABB42}"/>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7" name="TextBox 106">
          <a:extLst>
            <a:ext uri="{FF2B5EF4-FFF2-40B4-BE49-F238E27FC236}">
              <a16:creationId xmlns:a16="http://schemas.microsoft.com/office/drawing/2014/main" id="{49A276FF-F869-4C72-943E-76F6D1AFF23A}"/>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8" name="TextBox 107">
          <a:extLst>
            <a:ext uri="{FF2B5EF4-FFF2-40B4-BE49-F238E27FC236}">
              <a16:creationId xmlns:a16="http://schemas.microsoft.com/office/drawing/2014/main" id="{40545954-3831-4875-B1BD-CECF6EDCF8B9}"/>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59</xdr:row>
      <xdr:rowOff>0</xdr:rowOff>
    </xdr:from>
    <xdr:ext cx="184731" cy="264560"/>
    <xdr:sp macro="" textlink="">
      <xdr:nvSpPr>
        <xdr:cNvPr id="109" name="TextBox 108">
          <a:extLst>
            <a:ext uri="{FF2B5EF4-FFF2-40B4-BE49-F238E27FC236}">
              <a16:creationId xmlns:a16="http://schemas.microsoft.com/office/drawing/2014/main" id="{73C214BE-35E1-4BDB-BAA4-E64F18134C40}"/>
            </a:ext>
          </a:extLst>
        </xdr:cNvPr>
        <xdr:cNvSpPr txBox="1"/>
      </xdr:nvSpPr>
      <xdr:spPr>
        <a:xfrm>
          <a:off x="3147060"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0" name="TextBox 109">
          <a:extLst>
            <a:ext uri="{FF2B5EF4-FFF2-40B4-BE49-F238E27FC236}">
              <a16:creationId xmlns:a16="http://schemas.microsoft.com/office/drawing/2014/main" id="{2600C063-78F4-407F-ACBC-C517AF18D208}"/>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1" name="TextBox 110">
          <a:extLst>
            <a:ext uri="{FF2B5EF4-FFF2-40B4-BE49-F238E27FC236}">
              <a16:creationId xmlns:a16="http://schemas.microsoft.com/office/drawing/2014/main" id="{32AB6D68-C985-4DAE-9930-7CDAB403AD43}"/>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2" name="TextBox 111">
          <a:extLst>
            <a:ext uri="{FF2B5EF4-FFF2-40B4-BE49-F238E27FC236}">
              <a16:creationId xmlns:a16="http://schemas.microsoft.com/office/drawing/2014/main" id="{33D52D9A-0432-4F9C-A905-9E1A2F2419BB}"/>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59</xdr:row>
      <xdr:rowOff>0</xdr:rowOff>
    </xdr:from>
    <xdr:ext cx="184731" cy="264560"/>
    <xdr:sp macro="" textlink="">
      <xdr:nvSpPr>
        <xdr:cNvPr id="113" name="TextBox 112">
          <a:extLst>
            <a:ext uri="{FF2B5EF4-FFF2-40B4-BE49-F238E27FC236}">
              <a16:creationId xmlns:a16="http://schemas.microsoft.com/office/drawing/2014/main" id="{A0861D82-32E0-459F-A62F-4F846A876EA7}"/>
            </a:ext>
          </a:extLst>
        </xdr:cNvPr>
        <xdr:cNvSpPr txBox="1"/>
      </xdr:nvSpPr>
      <xdr:spPr>
        <a:xfrm>
          <a:off x="4238625" y="12687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4" name="TextBox 113">
          <a:extLst>
            <a:ext uri="{FF2B5EF4-FFF2-40B4-BE49-F238E27FC236}">
              <a16:creationId xmlns:a16="http://schemas.microsoft.com/office/drawing/2014/main" id="{6E1C5FAA-9D90-48CD-A7B9-96290FDC68CE}"/>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5" name="TextBox 114">
          <a:extLst>
            <a:ext uri="{FF2B5EF4-FFF2-40B4-BE49-F238E27FC236}">
              <a16:creationId xmlns:a16="http://schemas.microsoft.com/office/drawing/2014/main" id="{052AB165-E1E1-4627-9FB7-ADDCF60B7A29}"/>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6" name="TextBox 115">
          <a:extLst>
            <a:ext uri="{FF2B5EF4-FFF2-40B4-BE49-F238E27FC236}">
              <a16:creationId xmlns:a16="http://schemas.microsoft.com/office/drawing/2014/main" id="{9F503286-0172-4919-9663-998AAFFD2413}"/>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7" name="TextBox 116">
          <a:extLst>
            <a:ext uri="{FF2B5EF4-FFF2-40B4-BE49-F238E27FC236}">
              <a16:creationId xmlns:a16="http://schemas.microsoft.com/office/drawing/2014/main" id="{727E5556-69EF-4607-A34C-7EC906C6DCC2}"/>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60</xdr:row>
      <xdr:rowOff>0</xdr:rowOff>
    </xdr:from>
    <xdr:ext cx="184731" cy="264560"/>
    <xdr:sp macro="" textlink="">
      <xdr:nvSpPr>
        <xdr:cNvPr id="118" name="TextBox 117">
          <a:extLst>
            <a:ext uri="{FF2B5EF4-FFF2-40B4-BE49-F238E27FC236}">
              <a16:creationId xmlns:a16="http://schemas.microsoft.com/office/drawing/2014/main" id="{C34F162E-46C6-4D61-AAB3-56A3E41032BF}"/>
            </a:ext>
          </a:extLst>
        </xdr:cNvPr>
        <xdr:cNvSpPr txBox="1"/>
      </xdr:nvSpPr>
      <xdr:spPr>
        <a:xfrm>
          <a:off x="20193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19" name="TextBox 118">
          <a:extLst>
            <a:ext uri="{FF2B5EF4-FFF2-40B4-BE49-F238E27FC236}">
              <a16:creationId xmlns:a16="http://schemas.microsoft.com/office/drawing/2014/main" id="{AE3925EE-4CEF-42D0-9FC9-C50935A96391}"/>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0" name="TextBox 119">
          <a:extLst>
            <a:ext uri="{FF2B5EF4-FFF2-40B4-BE49-F238E27FC236}">
              <a16:creationId xmlns:a16="http://schemas.microsoft.com/office/drawing/2014/main" id="{A3400E29-4388-4C7C-9F48-C8EBA7504C90}"/>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1" name="TextBox 120">
          <a:extLst>
            <a:ext uri="{FF2B5EF4-FFF2-40B4-BE49-F238E27FC236}">
              <a16:creationId xmlns:a16="http://schemas.microsoft.com/office/drawing/2014/main" id="{C10658A1-3F20-4388-88FF-986DEFC059AF}"/>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60</xdr:row>
      <xdr:rowOff>0</xdr:rowOff>
    </xdr:from>
    <xdr:ext cx="184731" cy="264560"/>
    <xdr:sp macro="" textlink="">
      <xdr:nvSpPr>
        <xdr:cNvPr id="122" name="TextBox 121">
          <a:extLst>
            <a:ext uri="{FF2B5EF4-FFF2-40B4-BE49-F238E27FC236}">
              <a16:creationId xmlns:a16="http://schemas.microsoft.com/office/drawing/2014/main" id="{4193498C-F002-45F7-B61E-C400826379EB}"/>
            </a:ext>
          </a:extLst>
        </xdr:cNvPr>
        <xdr:cNvSpPr txBox="1"/>
      </xdr:nvSpPr>
      <xdr:spPr>
        <a:xfrm>
          <a:off x="265938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3" name="TextBox 122">
          <a:extLst>
            <a:ext uri="{FF2B5EF4-FFF2-40B4-BE49-F238E27FC236}">
              <a16:creationId xmlns:a16="http://schemas.microsoft.com/office/drawing/2014/main" id="{777A3D28-2406-4DD9-B726-CA580BE9CD3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4" name="TextBox 123">
          <a:extLst>
            <a:ext uri="{FF2B5EF4-FFF2-40B4-BE49-F238E27FC236}">
              <a16:creationId xmlns:a16="http://schemas.microsoft.com/office/drawing/2014/main" id="{6B52E147-6DC1-4B9B-9503-85DC60792A06}"/>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5" name="TextBox 124">
          <a:extLst>
            <a:ext uri="{FF2B5EF4-FFF2-40B4-BE49-F238E27FC236}">
              <a16:creationId xmlns:a16="http://schemas.microsoft.com/office/drawing/2014/main" id="{45D4E89E-07E6-4F10-BE36-6EC8BE3380AA}"/>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60</xdr:row>
      <xdr:rowOff>0</xdr:rowOff>
    </xdr:from>
    <xdr:ext cx="184731" cy="264560"/>
    <xdr:sp macro="" textlink="">
      <xdr:nvSpPr>
        <xdr:cNvPr id="126" name="TextBox 125">
          <a:extLst>
            <a:ext uri="{FF2B5EF4-FFF2-40B4-BE49-F238E27FC236}">
              <a16:creationId xmlns:a16="http://schemas.microsoft.com/office/drawing/2014/main" id="{B30EC0AC-3C9B-4CE4-9C42-23558B5E4CED}"/>
            </a:ext>
          </a:extLst>
        </xdr:cNvPr>
        <xdr:cNvSpPr txBox="1"/>
      </xdr:nvSpPr>
      <xdr:spPr>
        <a:xfrm>
          <a:off x="3147060"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7" name="TextBox 126">
          <a:extLst>
            <a:ext uri="{FF2B5EF4-FFF2-40B4-BE49-F238E27FC236}">
              <a16:creationId xmlns:a16="http://schemas.microsoft.com/office/drawing/2014/main" id="{AD048AED-03D4-4A0D-A79A-1C46324AEFA9}"/>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8" name="TextBox 127">
          <a:extLst>
            <a:ext uri="{FF2B5EF4-FFF2-40B4-BE49-F238E27FC236}">
              <a16:creationId xmlns:a16="http://schemas.microsoft.com/office/drawing/2014/main" id="{49D6DA0D-0C02-464B-B120-852DB2103A93}"/>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29" name="TextBox 128">
          <a:extLst>
            <a:ext uri="{FF2B5EF4-FFF2-40B4-BE49-F238E27FC236}">
              <a16:creationId xmlns:a16="http://schemas.microsoft.com/office/drawing/2014/main" id="{B580BF2E-6BBF-43CC-85D2-632B3AB8FD2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60</xdr:row>
      <xdr:rowOff>0</xdr:rowOff>
    </xdr:from>
    <xdr:ext cx="184731" cy="264560"/>
    <xdr:sp macro="" textlink="">
      <xdr:nvSpPr>
        <xdr:cNvPr id="130" name="TextBox 129">
          <a:extLst>
            <a:ext uri="{FF2B5EF4-FFF2-40B4-BE49-F238E27FC236}">
              <a16:creationId xmlns:a16="http://schemas.microsoft.com/office/drawing/2014/main" id="{81F9BA67-4D60-4254-B172-480E4328BB8B}"/>
            </a:ext>
          </a:extLst>
        </xdr:cNvPr>
        <xdr:cNvSpPr txBox="1"/>
      </xdr:nvSpPr>
      <xdr:spPr>
        <a:xfrm>
          <a:off x="4238625" y="1287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1" name="TextBox 130">
          <a:extLst>
            <a:ext uri="{FF2B5EF4-FFF2-40B4-BE49-F238E27FC236}">
              <a16:creationId xmlns:a16="http://schemas.microsoft.com/office/drawing/2014/main" id="{FB1DEC01-54E4-4AAD-A4D2-96DB909F5EF5}"/>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2" name="TextBox 131">
          <a:extLst>
            <a:ext uri="{FF2B5EF4-FFF2-40B4-BE49-F238E27FC236}">
              <a16:creationId xmlns:a16="http://schemas.microsoft.com/office/drawing/2014/main" id="{77B48DAA-9896-4FBF-8C9E-136785486DD6}"/>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3" name="TextBox 132">
          <a:extLst>
            <a:ext uri="{FF2B5EF4-FFF2-40B4-BE49-F238E27FC236}">
              <a16:creationId xmlns:a16="http://schemas.microsoft.com/office/drawing/2014/main" id="{2D4E5196-3DAD-4A06-9AC9-759176BFC938}"/>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4" name="TextBox 133">
          <a:extLst>
            <a:ext uri="{FF2B5EF4-FFF2-40B4-BE49-F238E27FC236}">
              <a16:creationId xmlns:a16="http://schemas.microsoft.com/office/drawing/2014/main" id="{2C602737-9DAF-4F61-B528-84E008F2EF91}"/>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61</xdr:row>
      <xdr:rowOff>0</xdr:rowOff>
    </xdr:from>
    <xdr:ext cx="184731" cy="264560"/>
    <xdr:sp macro="" textlink="">
      <xdr:nvSpPr>
        <xdr:cNvPr id="135" name="TextBox 134">
          <a:extLst>
            <a:ext uri="{FF2B5EF4-FFF2-40B4-BE49-F238E27FC236}">
              <a16:creationId xmlns:a16="http://schemas.microsoft.com/office/drawing/2014/main" id="{07E23953-8949-494F-9FD7-87FA34CF7BF6}"/>
            </a:ext>
          </a:extLst>
        </xdr:cNvPr>
        <xdr:cNvSpPr txBox="1"/>
      </xdr:nvSpPr>
      <xdr:spPr>
        <a:xfrm>
          <a:off x="20193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6" name="TextBox 135">
          <a:extLst>
            <a:ext uri="{FF2B5EF4-FFF2-40B4-BE49-F238E27FC236}">
              <a16:creationId xmlns:a16="http://schemas.microsoft.com/office/drawing/2014/main" id="{0C503B19-CD6C-49D2-BDCD-7F8C505DC257}"/>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7" name="TextBox 136">
          <a:extLst>
            <a:ext uri="{FF2B5EF4-FFF2-40B4-BE49-F238E27FC236}">
              <a16:creationId xmlns:a16="http://schemas.microsoft.com/office/drawing/2014/main" id="{1487B10D-DD81-4CC7-8AEB-B73E7401F50A}"/>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8" name="TextBox 137">
          <a:extLst>
            <a:ext uri="{FF2B5EF4-FFF2-40B4-BE49-F238E27FC236}">
              <a16:creationId xmlns:a16="http://schemas.microsoft.com/office/drawing/2014/main" id="{DB30FF9A-42AD-4575-A0E3-8947475C7C44}"/>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61</xdr:row>
      <xdr:rowOff>0</xdr:rowOff>
    </xdr:from>
    <xdr:ext cx="184731" cy="264560"/>
    <xdr:sp macro="" textlink="">
      <xdr:nvSpPr>
        <xdr:cNvPr id="139" name="TextBox 138">
          <a:extLst>
            <a:ext uri="{FF2B5EF4-FFF2-40B4-BE49-F238E27FC236}">
              <a16:creationId xmlns:a16="http://schemas.microsoft.com/office/drawing/2014/main" id="{C2FD7B8E-0F62-4C1B-88AB-C453FE452ACE}"/>
            </a:ext>
          </a:extLst>
        </xdr:cNvPr>
        <xdr:cNvSpPr txBox="1"/>
      </xdr:nvSpPr>
      <xdr:spPr>
        <a:xfrm>
          <a:off x="265938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0" name="TextBox 139">
          <a:extLst>
            <a:ext uri="{FF2B5EF4-FFF2-40B4-BE49-F238E27FC236}">
              <a16:creationId xmlns:a16="http://schemas.microsoft.com/office/drawing/2014/main" id="{F2313D20-5C31-4623-9780-89B9C80679B3}"/>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1" name="TextBox 140">
          <a:extLst>
            <a:ext uri="{FF2B5EF4-FFF2-40B4-BE49-F238E27FC236}">
              <a16:creationId xmlns:a16="http://schemas.microsoft.com/office/drawing/2014/main" id="{43DA96EE-B196-46B6-8CB5-B227689B3CEE}"/>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2" name="TextBox 141">
          <a:extLst>
            <a:ext uri="{FF2B5EF4-FFF2-40B4-BE49-F238E27FC236}">
              <a16:creationId xmlns:a16="http://schemas.microsoft.com/office/drawing/2014/main" id="{D3D85BEE-B507-44EA-A5DD-AEC45C6F14C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61</xdr:row>
      <xdr:rowOff>0</xdr:rowOff>
    </xdr:from>
    <xdr:ext cx="184731" cy="264560"/>
    <xdr:sp macro="" textlink="">
      <xdr:nvSpPr>
        <xdr:cNvPr id="143" name="TextBox 142">
          <a:extLst>
            <a:ext uri="{FF2B5EF4-FFF2-40B4-BE49-F238E27FC236}">
              <a16:creationId xmlns:a16="http://schemas.microsoft.com/office/drawing/2014/main" id="{9D7E90E2-8497-4B84-BE2A-0DA4EDCB50EF}"/>
            </a:ext>
          </a:extLst>
        </xdr:cNvPr>
        <xdr:cNvSpPr txBox="1"/>
      </xdr:nvSpPr>
      <xdr:spPr>
        <a:xfrm>
          <a:off x="3147060"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4" name="TextBox 143">
          <a:extLst>
            <a:ext uri="{FF2B5EF4-FFF2-40B4-BE49-F238E27FC236}">
              <a16:creationId xmlns:a16="http://schemas.microsoft.com/office/drawing/2014/main" id="{4A9446BA-CDF9-4254-9D44-BE1C704D857E}"/>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5" name="TextBox 144">
          <a:extLst>
            <a:ext uri="{FF2B5EF4-FFF2-40B4-BE49-F238E27FC236}">
              <a16:creationId xmlns:a16="http://schemas.microsoft.com/office/drawing/2014/main" id="{9CEC08FF-4270-4703-938C-3DA167CD30FD}"/>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6" name="TextBox 145">
          <a:extLst>
            <a:ext uri="{FF2B5EF4-FFF2-40B4-BE49-F238E27FC236}">
              <a16:creationId xmlns:a16="http://schemas.microsoft.com/office/drawing/2014/main" id="{166C2C56-0331-4B65-8298-16DF60416A36}"/>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61</xdr:row>
      <xdr:rowOff>0</xdr:rowOff>
    </xdr:from>
    <xdr:ext cx="184731" cy="264560"/>
    <xdr:sp macro="" textlink="">
      <xdr:nvSpPr>
        <xdr:cNvPr id="147" name="TextBox 146">
          <a:extLst>
            <a:ext uri="{FF2B5EF4-FFF2-40B4-BE49-F238E27FC236}">
              <a16:creationId xmlns:a16="http://schemas.microsoft.com/office/drawing/2014/main" id="{953DB074-9FEE-4BA2-A6A1-48ADA6FBBBF0}"/>
            </a:ext>
          </a:extLst>
        </xdr:cNvPr>
        <xdr:cNvSpPr txBox="1"/>
      </xdr:nvSpPr>
      <xdr:spPr>
        <a:xfrm>
          <a:off x="4238625" y="1306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48" name="TextBox 147">
          <a:extLst>
            <a:ext uri="{FF2B5EF4-FFF2-40B4-BE49-F238E27FC236}">
              <a16:creationId xmlns:a16="http://schemas.microsoft.com/office/drawing/2014/main" id="{1E915CE1-93E3-4CDD-8465-10D922548ABC}"/>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49" name="TextBox 148">
          <a:extLst>
            <a:ext uri="{FF2B5EF4-FFF2-40B4-BE49-F238E27FC236}">
              <a16:creationId xmlns:a16="http://schemas.microsoft.com/office/drawing/2014/main" id="{18E48D73-9EDD-465F-8052-1CD5096726F2}"/>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0" name="TextBox 149">
          <a:extLst>
            <a:ext uri="{FF2B5EF4-FFF2-40B4-BE49-F238E27FC236}">
              <a16:creationId xmlns:a16="http://schemas.microsoft.com/office/drawing/2014/main" id="{320EC90B-4B2D-4EA4-8800-AD21C8E83DF0}"/>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1" name="TextBox 150">
          <a:extLst>
            <a:ext uri="{FF2B5EF4-FFF2-40B4-BE49-F238E27FC236}">
              <a16:creationId xmlns:a16="http://schemas.microsoft.com/office/drawing/2014/main" id="{BF862DAE-F503-4DAB-893E-BE5681F266EE}"/>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62</xdr:row>
      <xdr:rowOff>0</xdr:rowOff>
    </xdr:from>
    <xdr:ext cx="184731" cy="264560"/>
    <xdr:sp macro="" textlink="">
      <xdr:nvSpPr>
        <xdr:cNvPr id="152" name="TextBox 151">
          <a:extLst>
            <a:ext uri="{FF2B5EF4-FFF2-40B4-BE49-F238E27FC236}">
              <a16:creationId xmlns:a16="http://schemas.microsoft.com/office/drawing/2014/main" id="{AAF865B9-B484-404E-BB90-60CB26028BCA}"/>
            </a:ext>
          </a:extLst>
        </xdr:cNvPr>
        <xdr:cNvSpPr txBox="1"/>
      </xdr:nvSpPr>
      <xdr:spPr>
        <a:xfrm>
          <a:off x="20193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3" name="TextBox 152">
          <a:extLst>
            <a:ext uri="{FF2B5EF4-FFF2-40B4-BE49-F238E27FC236}">
              <a16:creationId xmlns:a16="http://schemas.microsoft.com/office/drawing/2014/main" id="{330BEC50-5784-458C-9A99-604D368CD6CC}"/>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4" name="TextBox 153">
          <a:extLst>
            <a:ext uri="{FF2B5EF4-FFF2-40B4-BE49-F238E27FC236}">
              <a16:creationId xmlns:a16="http://schemas.microsoft.com/office/drawing/2014/main" id="{88D32DF6-0EC9-4B59-A1C4-8686B199D498}"/>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5" name="TextBox 154">
          <a:extLst>
            <a:ext uri="{FF2B5EF4-FFF2-40B4-BE49-F238E27FC236}">
              <a16:creationId xmlns:a16="http://schemas.microsoft.com/office/drawing/2014/main" id="{EE050793-61BE-4728-8474-FA4304B6FB7E}"/>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62</xdr:row>
      <xdr:rowOff>0</xdr:rowOff>
    </xdr:from>
    <xdr:ext cx="184731" cy="264560"/>
    <xdr:sp macro="" textlink="">
      <xdr:nvSpPr>
        <xdr:cNvPr id="156" name="TextBox 155">
          <a:extLst>
            <a:ext uri="{FF2B5EF4-FFF2-40B4-BE49-F238E27FC236}">
              <a16:creationId xmlns:a16="http://schemas.microsoft.com/office/drawing/2014/main" id="{D25A2257-505E-4B06-9C79-75F21C622D35}"/>
            </a:ext>
          </a:extLst>
        </xdr:cNvPr>
        <xdr:cNvSpPr txBox="1"/>
      </xdr:nvSpPr>
      <xdr:spPr>
        <a:xfrm>
          <a:off x="265938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7" name="TextBox 156">
          <a:extLst>
            <a:ext uri="{FF2B5EF4-FFF2-40B4-BE49-F238E27FC236}">
              <a16:creationId xmlns:a16="http://schemas.microsoft.com/office/drawing/2014/main" id="{03F353B0-133C-4F6A-BC6C-7AEA0B654E27}"/>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8" name="TextBox 157">
          <a:extLst>
            <a:ext uri="{FF2B5EF4-FFF2-40B4-BE49-F238E27FC236}">
              <a16:creationId xmlns:a16="http://schemas.microsoft.com/office/drawing/2014/main" id="{7403D348-9AC9-4101-9A79-F7CE469998D1}"/>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59" name="TextBox 158">
          <a:extLst>
            <a:ext uri="{FF2B5EF4-FFF2-40B4-BE49-F238E27FC236}">
              <a16:creationId xmlns:a16="http://schemas.microsoft.com/office/drawing/2014/main" id="{6F5CFD9E-CFC7-4144-B390-2E20E87FBA03}"/>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62</xdr:row>
      <xdr:rowOff>0</xdr:rowOff>
    </xdr:from>
    <xdr:ext cx="184731" cy="264560"/>
    <xdr:sp macro="" textlink="">
      <xdr:nvSpPr>
        <xdr:cNvPr id="160" name="TextBox 159">
          <a:extLst>
            <a:ext uri="{FF2B5EF4-FFF2-40B4-BE49-F238E27FC236}">
              <a16:creationId xmlns:a16="http://schemas.microsoft.com/office/drawing/2014/main" id="{BA86D117-9F0B-47E9-A9B0-48BC93579845}"/>
            </a:ext>
          </a:extLst>
        </xdr:cNvPr>
        <xdr:cNvSpPr txBox="1"/>
      </xdr:nvSpPr>
      <xdr:spPr>
        <a:xfrm>
          <a:off x="3147060"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1" name="TextBox 160">
          <a:extLst>
            <a:ext uri="{FF2B5EF4-FFF2-40B4-BE49-F238E27FC236}">
              <a16:creationId xmlns:a16="http://schemas.microsoft.com/office/drawing/2014/main" id="{20C54807-9EBD-474E-8B48-C1311169D938}"/>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2" name="TextBox 161">
          <a:extLst>
            <a:ext uri="{FF2B5EF4-FFF2-40B4-BE49-F238E27FC236}">
              <a16:creationId xmlns:a16="http://schemas.microsoft.com/office/drawing/2014/main" id="{5CA8B372-3E3B-4315-AAE1-D4BE4AF265B9}"/>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3" name="TextBox 162">
          <a:extLst>
            <a:ext uri="{FF2B5EF4-FFF2-40B4-BE49-F238E27FC236}">
              <a16:creationId xmlns:a16="http://schemas.microsoft.com/office/drawing/2014/main" id="{7F356B93-19CF-40F5-904E-9F5DE7F6D964}"/>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62</xdr:row>
      <xdr:rowOff>0</xdr:rowOff>
    </xdr:from>
    <xdr:ext cx="184731" cy="264560"/>
    <xdr:sp macro="" textlink="">
      <xdr:nvSpPr>
        <xdr:cNvPr id="164" name="TextBox 163">
          <a:extLst>
            <a:ext uri="{FF2B5EF4-FFF2-40B4-BE49-F238E27FC236}">
              <a16:creationId xmlns:a16="http://schemas.microsoft.com/office/drawing/2014/main" id="{B59EECF1-994C-4E63-8CAB-CC24C6FF9532}"/>
            </a:ext>
          </a:extLst>
        </xdr:cNvPr>
        <xdr:cNvSpPr txBox="1"/>
      </xdr:nvSpPr>
      <xdr:spPr>
        <a:xfrm>
          <a:off x="4238625"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5" name="TextBox 164">
          <a:extLst>
            <a:ext uri="{FF2B5EF4-FFF2-40B4-BE49-F238E27FC236}">
              <a16:creationId xmlns:a16="http://schemas.microsoft.com/office/drawing/2014/main" id="{852502A6-B135-433C-BED9-FB41BBDA0399}"/>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66" name="TextBox 165">
          <a:extLst>
            <a:ext uri="{FF2B5EF4-FFF2-40B4-BE49-F238E27FC236}">
              <a16:creationId xmlns:a16="http://schemas.microsoft.com/office/drawing/2014/main" id="{BB84CAC7-E65F-40A9-B020-883F43140178}"/>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7" name="TextBox 166">
          <a:extLst>
            <a:ext uri="{FF2B5EF4-FFF2-40B4-BE49-F238E27FC236}">
              <a16:creationId xmlns:a16="http://schemas.microsoft.com/office/drawing/2014/main" id="{88B7FFB2-E58D-42AF-AD09-661ABF7888AE}"/>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8" name="TextBox 167">
          <a:extLst>
            <a:ext uri="{FF2B5EF4-FFF2-40B4-BE49-F238E27FC236}">
              <a16:creationId xmlns:a16="http://schemas.microsoft.com/office/drawing/2014/main" id="{A3EEC251-BC9E-4333-B42D-1080205058E0}"/>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63</xdr:row>
      <xdr:rowOff>0</xdr:rowOff>
    </xdr:from>
    <xdr:ext cx="184731" cy="264560"/>
    <xdr:sp macro="" textlink="">
      <xdr:nvSpPr>
        <xdr:cNvPr id="169" name="TextBox 168">
          <a:extLst>
            <a:ext uri="{FF2B5EF4-FFF2-40B4-BE49-F238E27FC236}">
              <a16:creationId xmlns:a16="http://schemas.microsoft.com/office/drawing/2014/main" id="{7AE288C3-A141-4871-9F16-441E5345C0F2}"/>
            </a:ext>
          </a:extLst>
        </xdr:cNvPr>
        <xdr:cNvSpPr txBox="1"/>
      </xdr:nvSpPr>
      <xdr:spPr>
        <a:xfrm>
          <a:off x="20193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0" name="TextBox 169">
          <a:extLst>
            <a:ext uri="{FF2B5EF4-FFF2-40B4-BE49-F238E27FC236}">
              <a16:creationId xmlns:a16="http://schemas.microsoft.com/office/drawing/2014/main" id="{54A3296E-4CF5-47AE-98C6-AEE02D832525}"/>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1" name="TextBox 170">
          <a:extLst>
            <a:ext uri="{FF2B5EF4-FFF2-40B4-BE49-F238E27FC236}">
              <a16:creationId xmlns:a16="http://schemas.microsoft.com/office/drawing/2014/main" id="{250DEC01-BE1C-4857-A2BC-870BCB76D97E}"/>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2" name="TextBox 171">
          <a:extLst>
            <a:ext uri="{FF2B5EF4-FFF2-40B4-BE49-F238E27FC236}">
              <a16:creationId xmlns:a16="http://schemas.microsoft.com/office/drawing/2014/main" id="{3D474484-9992-430C-80BB-0FA222274A44}"/>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63</xdr:row>
      <xdr:rowOff>0</xdr:rowOff>
    </xdr:from>
    <xdr:ext cx="184731" cy="264560"/>
    <xdr:sp macro="" textlink="">
      <xdr:nvSpPr>
        <xdr:cNvPr id="173" name="TextBox 172">
          <a:extLst>
            <a:ext uri="{FF2B5EF4-FFF2-40B4-BE49-F238E27FC236}">
              <a16:creationId xmlns:a16="http://schemas.microsoft.com/office/drawing/2014/main" id="{A41AE2A3-DA9E-49D2-91A9-FE3E510BA3D1}"/>
            </a:ext>
          </a:extLst>
        </xdr:cNvPr>
        <xdr:cNvSpPr txBox="1"/>
      </xdr:nvSpPr>
      <xdr:spPr>
        <a:xfrm>
          <a:off x="265938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4" name="TextBox 173">
          <a:extLst>
            <a:ext uri="{FF2B5EF4-FFF2-40B4-BE49-F238E27FC236}">
              <a16:creationId xmlns:a16="http://schemas.microsoft.com/office/drawing/2014/main" id="{468EC6F8-EA37-4F4F-9DE5-2C73537B86DE}"/>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5" name="TextBox 174">
          <a:extLst>
            <a:ext uri="{FF2B5EF4-FFF2-40B4-BE49-F238E27FC236}">
              <a16:creationId xmlns:a16="http://schemas.microsoft.com/office/drawing/2014/main" id="{C7E6B7D9-1EF2-4838-87F8-A9BEE2ABA148}"/>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6" name="TextBox 175">
          <a:extLst>
            <a:ext uri="{FF2B5EF4-FFF2-40B4-BE49-F238E27FC236}">
              <a16:creationId xmlns:a16="http://schemas.microsoft.com/office/drawing/2014/main" id="{0DD85CBB-E405-4807-B9C8-28BDFE0AC20C}"/>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63</xdr:row>
      <xdr:rowOff>0</xdr:rowOff>
    </xdr:from>
    <xdr:ext cx="184731" cy="264560"/>
    <xdr:sp macro="" textlink="">
      <xdr:nvSpPr>
        <xdr:cNvPr id="177" name="TextBox 176">
          <a:extLst>
            <a:ext uri="{FF2B5EF4-FFF2-40B4-BE49-F238E27FC236}">
              <a16:creationId xmlns:a16="http://schemas.microsoft.com/office/drawing/2014/main" id="{954080A2-ECDF-4DCB-9B10-6B11E8CF0F51}"/>
            </a:ext>
          </a:extLst>
        </xdr:cNvPr>
        <xdr:cNvSpPr txBox="1"/>
      </xdr:nvSpPr>
      <xdr:spPr>
        <a:xfrm>
          <a:off x="3147060"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8" name="TextBox 177">
          <a:extLst>
            <a:ext uri="{FF2B5EF4-FFF2-40B4-BE49-F238E27FC236}">
              <a16:creationId xmlns:a16="http://schemas.microsoft.com/office/drawing/2014/main" id="{72FCA09D-ED8D-48C8-81AE-600F64CF91C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79" name="TextBox 178">
          <a:extLst>
            <a:ext uri="{FF2B5EF4-FFF2-40B4-BE49-F238E27FC236}">
              <a16:creationId xmlns:a16="http://schemas.microsoft.com/office/drawing/2014/main" id="{2B8F73B6-B5EC-4E5C-B131-02CC18DF3E84}"/>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0" name="TextBox 179">
          <a:extLst>
            <a:ext uri="{FF2B5EF4-FFF2-40B4-BE49-F238E27FC236}">
              <a16:creationId xmlns:a16="http://schemas.microsoft.com/office/drawing/2014/main" id="{0455BCD0-E6AF-4AAE-8781-D205BF2F1542}"/>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63</xdr:row>
      <xdr:rowOff>0</xdr:rowOff>
    </xdr:from>
    <xdr:ext cx="184731" cy="264560"/>
    <xdr:sp macro="" textlink="">
      <xdr:nvSpPr>
        <xdr:cNvPr id="181" name="TextBox 180">
          <a:extLst>
            <a:ext uri="{FF2B5EF4-FFF2-40B4-BE49-F238E27FC236}">
              <a16:creationId xmlns:a16="http://schemas.microsoft.com/office/drawing/2014/main" id="{B37FBAD3-1A73-422E-9BF7-00FB40470D66}"/>
            </a:ext>
          </a:extLst>
        </xdr:cNvPr>
        <xdr:cNvSpPr txBox="1"/>
      </xdr:nvSpPr>
      <xdr:spPr>
        <a:xfrm>
          <a:off x="4238625" y="1344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2" name="TextBox 181">
          <a:extLst>
            <a:ext uri="{FF2B5EF4-FFF2-40B4-BE49-F238E27FC236}">
              <a16:creationId xmlns:a16="http://schemas.microsoft.com/office/drawing/2014/main" id="{4F919258-1AC0-4838-B1A4-29F3777A482C}"/>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3" name="TextBox 182">
          <a:extLst>
            <a:ext uri="{FF2B5EF4-FFF2-40B4-BE49-F238E27FC236}">
              <a16:creationId xmlns:a16="http://schemas.microsoft.com/office/drawing/2014/main" id="{0CFD8FE3-1AF4-44FA-A006-D82C19F71CFB}"/>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4" name="TextBox 183">
          <a:extLst>
            <a:ext uri="{FF2B5EF4-FFF2-40B4-BE49-F238E27FC236}">
              <a16:creationId xmlns:a16="http://schemas.microsoft.com/office/drawing/2014/main" id="{0D394A74-15A8-4A3B-83CD-5DB5AB567CC2}"/>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5" name="TextBox 184">
          <a:extLst>
            <a:ext uri="{FF2B5EF4-FFF2-40B4-BE49-F238E27FC236}">
              <a16:creationId xmlns:a16="http://schemas.microsoft.com/office/drawing/2014/main" id="{C6CF3021-33B4-4EBD-BA78-53ABE40C3D25}"/>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64</xdr:row>
      <xdr:rowOff>0</xdr:rowOff>
    </xdr:from>
    <xdr:ext cx="184731" cy="264560"/>
    <xdr:sp macro="" textlink="">
      <xdr:nvSpPr>
        <xdr:cNvPr id="186" name="TextBox 185">
          <a:extLst>
            <a:ext uri="{FF2B5EF4-FFF2-40B4-BE49-F238E27FC236}">
              <a16:creationId xmlns:a16="http://schemas.microsoft.com/office/drawing/2014/main" id="{A762D999-7045-4C04-A796-78E8FEE8BCC1}"/>
            </a:ext>
          </a:extLst>
        </xdr:cNvPr>
        <xdr:cNvSpPr txBox="1"/>
      </xdr:nvSpPr>
      <xdr:spPr>
        <a:xfrm>
          <a:off x="20193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7" name="TextBox 186">
          <a:extLst>
            <a:ext uri="{FF2B5EF4-FFF2-40B4-BE49-F238E27FC236}">
              <a16:creationId xmlns:a16="http://schemas.microsoft.com/office/drawing/2014/main" id="{8B8BBF7F-3978-47E5-9362-7A8C9CEE7AF7}"/>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8" name="TextBox 187">
          <a:extLst>
            <a:ext uri="{FF2B5EF4-FFF2-40B4-BE49-F238E27FC236}">
              <a16:creationId xmlns:a16="http://schemas.microsoft.com/office/drawing/2014/main" id="{5B840250-2D1F-40D2-9BDC-14A067F48FF2}"/>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89" name="TextBox 188">
          <a:extLst>
            <a:ext uri="{FF2B5EF4-FFF2-40B4-BE49-F238E27FC236}">
              <a16:creationId xmlns:a16="http://schemas.microsoft.com/office/drawing/2014/main" id="{2E56D559-CF0F-4167-AA46-19875E17CA2C}"/>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64</xdr:row>
      <xdr:rowOff>0</xdr:rowOff>
    </xdr:from>
    <xdr:ext cx="184731" cy="264560"/>
    <xdr:sp macro="" textlink="">
      <xdr:nvSpPr>
        <xdr:cNvPr id="190" name="TextBox 189">
          <a:extLst>
            <a:ext uri="{FF2B5EF4-FFF2-40B4-BE49-F238E27FC236}">
              <a16:creationId xmlns:a16="http://schemas.microsoft.com/office/drawing/2014/main" id="{239CC649-EE0B-49EF-B0AD-0D2081A65710}"/>
            </a:ext>
          </a:extLst>
        </xdr:cNvPr>
        <xdr:cNvSpPr txBox="1"/>
      </xdr:nvSpPr>
      <xdr:spPr>
        <a:xfrm>
          <a:off x="265938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1" name="TextBox 190">
          <a:extLst>
            <a:ext uri="{FF2B5EF4-FFF2-40B4-BE49-F238E27FC236}">
              <a16:creationId xmlns:a16="http://schemas.microsoft.com/office/drawing/2014/main" id="{3E8622B5-0F61-4DDF-A2F8-7FE0CAE20E55}"/>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2" name="TextBox 191">
          <a:extLst>
            <a:ext uri="{FF2B5EF4-FFF2-40B4-BE49-F238E27FC236}">
              <a16:creationId xmlns:a16="http://schemas.microsoft.com/office/drawing/2014/main" id="{0D7A634B-8125-4908-8B9A-278BA7EE21F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3" name="TextBox 192">
          <a:extLst>
            <a:ext uri="{FF2B5EF4-FFF2-40B4-BE49-F238E27FC236}">
              <a16:creationId xmlns:a16="http://schemas.microsoft.com/office/drawing/2014/main" id="{777015CF-2949-4E37-A2D3-83E72B861197}"/>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64</xdr:row>
      <xdr:rowOff>0</xdr:rowOff>
    </xdr:from>
    <xdr:ext cx="184731" cy="264560"/>
    <xdr:sp macro="" textlink="">
      <xdr:nvSpPr>
        <xdr:cNvPr id="194" name="TextBox 193">
          <a:extLst>
            <a:ext uri="{FF2B5EF4-FFF2-40B4-BE49-F238E27FC236}">
              <a16:creationId xmlns:a16="http://schemas.microsoft.com/office/drawing/2014/main" id="{7212DBE5-217E-4361-9885-18A4E1C14A52}"/>
            </a:ext>
          </a:extLst>
        </xdr:cNvPr>
        <xdr:cNvSpPr txBox="1"/>
      </xdr:nvSpPr>
      <xdr:spPr>
        <a:xfrm>
          <a:off x="3147060"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5" name="TextBox 194">
          <a:extLst>
            <a:ext uri="{FF2B5EF4-FFF2-40B4-BE49-F238E27FC236}">
              <a16:creationId xmlns:a16="http://schemas.microsoft.com/office/drawing/2014/main" id="{2809DE37-803D-4F81-BCCC-C9BC9A2B0762}"/>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6" name="TextBox 195">
          <a:extLst>
            <a:ext uri="{FF2B5EF4-FFF2-40B4-BE49-F238E27FC236}">
              <a16:creationId xmlns:a16="http://schemas.microsoft.com/office/drawing/2014/main" id="{764F8257-D219-45C6-A7E7-1B6629687D08}"/>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7" name="TextBox 196">
          <a:extLst>
            <a:ext uri="{FF2B5EF4-FFF2-40B4-BE49-F238E27FC236}">
              <a16:creationId xmlns:a16="http://schemas.microsoft.com/office/drawing/2014/main" id="{360F25EB-3F83-4714-9050-18768A450DCE}"/>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64</xdr:row>
      <xdr:rowOff>0</xdr:rowOff>
    </xdr:from>
    <xdr:ext cx="184731" cy="264560"/>
    <xdr:sp macro="" textlink="">
      <xdr:nvSpPr>
        <xdr:cNvPr id="198" name="TextBox 197">
          <a:extLst>
            <a:ext uri="{FF2B5EF4-FFF2-40B4-BE49-F238E27FC236}">
              <a16:creationId xmlns:a16="http://schemas.microsoft.com/office/drawing/2014/main" id="{125B127A-B1CA-4156-BB79-5A62E95B1E54}"/>
            </a:ext>
          </a:extLst>
        </xdr:cNvPr>
        <xdr:cNvSpPr txBox="1"/>
      </xdr:nvSpPr>
      <xdr:spPr>
        <a:xfrm>
          <a:off x="4238625" y="13639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199" name="TextBox 198">
          <a:extLst>
            <a:ext uri="{FF2B5EF4-FFF2-40B4-BE49-F238E27FC236}">
              <a16:creationId xmlns:a16="http://schemas.microsoft.com/office/drawing/2014/main" id="{0FEDED6F-24E3-4782-8A26-93D2FBD926A5}"/>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0" name="TextBox 199">
          <a:extLst>
            <a:ext uri="{FF2B5EF4-FFF2-40B4-BE49-F238E27FC236}">
              <a16:creationId xmlns:a16="http://schemas.microsoft.com/office/drawing/2014/main" id="{B3F3011B-1C99-4888-B8A1-884EC6E8AA71}"/>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1" name="TextBox 200">
          <a:extLst>
            <a:ext uri="{FF2B5EF4-FFF2-40B4-BE49-F238E27FC236}">
              <a16:creationId xmlns:a16="http://schemas.microsoft.com/office/drawing/2014/main" id="{1CD69551-3603-4B8C-8E4C-EF1299CA1720}"/>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2" name="TextBox 201">
          <a:extLst>
            <a:ext uri="{FF2B5EF4-FFF2-40B4-BE49-F238E27FC236}">
              <a16:creationId xmlns:a16="http://schemas.microsoft.com/office/drawing/2014/main" id="{61025D63-6027-427D-8BA5-CF6A3AF3231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65</xdr:row>
      <xdr:rowOff>0</xdr:rowOff>
    </xdr:from>
    <xdr:ext cx="184731" cy="264560"/>
    <xdr:sp macro="" textlink="">
      <xdr:nvSpPr>
        <xdr:cNvPr id="203" name="TextBox 202">
          <a:extLst>
            <a:ext uri="{FF2B5EF4-FFF2-40B4-BE49-F238E27FC236}">
              <a16:creationId xmlns:a16="http://schemas.microsoft.com/office/drawing/2014/main" id="{7F01EF88-BF72-43D1-A290-C37046DC9E81}"/>
            </a:ext>
          </a:extLst>
        </xdr:cNvPr>
        <xdr:cNvSpPr txBox="1"/>
      </xdr:nvSpPr>
      <xdr:spPr>
        <a:xfrm>
          <a:off x="20193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4" name="TextBox 203">
          <a:extLst>
            <a:ext uri="{FF2B5EF4-FFF2-40B4-BE49-F238E27FC236}">
              <a16:creationId xmlns:a16="http://schemas.microsoft.com/office/drawing/2014/main" id="{825A9384-B46A-41F5-9C08-9F707FDF8FA5}"/>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5" name="TextBox 204">
          <a:extLst>
            <a:ext uri="{FF2B5EF4-FFF2-40B4-BE49-F238E27FC236}">
              <a16:creationId xmlns:a16="http://schemas.microsoft.com/office/drawing/2014/main" id="{F7475B66-37A6-4713-BEC4-361476A393B8}"/>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6" name="TextBox 205">
          <a:extLst>
            <a:ext uri="{FF2B5EF4-FFF2-40B4-BE49-F238E27FC236}">
              <a16:creationId xmlns:a16="http://schemas.microsoft.com/office/drawing/2014/main" id="{13B4CC6C-353B-4CF7-87A2-6C52423A6A39}"/>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65</xdr:row>
      <xdr:rowOff>0</xdr:rowOff>
    </xdr:from>
    <xdr:ext cx="184731" cy="264560"/>
    <xdr:sp macro="" textlink="">
      <xdr:nvSpPr>
        <xdr:cNvPr id="207" name="TextBox 206">
          <a:extLst>
            <a:ext uri="{FF2B5EF4-FFF2-40B4-BE49-F238E27FC236}">
              <a16:creationId xmlns:a16="http://schemas.microsoft.com/office/drawing/2014/main" id="{3FDB1F72-2D07-4A3F-A2B4-D31C103B8923}"/>
            </a:ext>
          </a:extLst>
        </xdr:cNvPr>
        <xdr:cNvSpPr txBox="1"/>
      </xdr:nvSpPr>
      <xdr:spPr>
        <a:xfrm>
          <a:off x="265938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8" name="TextBox 207">
          <a:extLst>
            <a:ext uri="{FF2B5EF4-FFF2-40B4-BE49-F238E27FC236}">
              <a16:creationId xmlns:a16="http://schemas.microsoft.com/office/drawing/2014/main" id="{FC4F6E03-B564-4AB9-9E81-53BF3C6920D7}"/>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09" name="TextBox 208">
          <a:extLst>
            <a:ext uri="{FF2B5EF4-FFF2-40B4-BE49-F238E27FC236}">
              <a16:creationId xmlns:a16="http://schemas.microsoft.com/office/drawing/2014/main" id="{6FA0A738-70C7-4A0A-8ADE-C6CF6FCA984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0" name="TextBox 209">
          <a:extLst>
            <a:ext uri="{FF2B5EF4-FFF2-40B4-BE49-F238E27FC236}">
              <a16:creationId xmlns:a16="http://schemas.microsoft.com/office/drawing/2014/main" id="{CAA18B7B-FA2A-4263-AF33-F4A7C64FC4A5}"/>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65</xdr:row>
      <xdr:rowOff>0</xdr:rowOff>
    </xdr:from>
    <xdr:ext cx="184731" cy="264560"/>
    <xdr:sp macro="" textlink="">
      <xdr:nvSpPr>
        <xdr:cNvPr id="211" name="TextBox 210">
          <a:extLst>
            <a:ext uri="{FF2B5EF4-FFF2-40B4-BE49-F238E27FC236}">
              <a16:creationId xmlns:a16="http://schemas.microsoft.com/office/drawing/2014/main" id="{C1BE67AA-BCA6-40B5-AADB-553857FE1DD4}"/>
            </a:ext>
          </a:extLst>
        </xdr:cNvPr>
        <xdr:cNvSpPr txBox="1"/>
      </xdr:nvSpPr>
      <xdr:spPr>
        <a:xfrm>
          <a:off x="3147060"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2" name="TextBox 211">
          <a:extLst>
            <a:ext uri="{FF2B5EF4-FFF2-40B4-BE49-F238E27FC236}">
              <a16:creationId xmlns:a16="http://schemas.microsoft.com/office/drawing/2014/main" id="{5AF16FC8-8737-4C6C-9956-1D1D72599B57}"/>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3" name="TextBox 212">
          <a:extLst>
            <a:ext uri="{FF2B5EF4-FFF2-40B4-BE49-F238E27FC236}">
              <a16:creationId xmlns:a16="http://schemas.microsoft.com/office/drawing/2014/main" id="{B37B987F-BDFB-457C-B96D-67C1FEC70E34}"/>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4" name="TextBox 213">
          <a:extLst>
            <a:ext uri="{FF2B5EF4-FFF2-40B4-BE49-F238E27FC236}">
              <a16:creationId xmlns:a16="http://schemas.microsoft.com/office/drawing/2014/main" id="{2F9D8350-DF38-4F5E-B3CB-92A16421BDB5}"/>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65</xdr:row>
      <xdr:rowOff>0</xdr:rowOff>
    </xdr:from>
    <xdr:ext cx="184731" cy="264560"/>
    <xdr:sp macro="" textlink="">
      <xdr:nvSpPr>
        <xdr:cNvPr id="215" name="TextBox 214">
          <a:extLst>
            <a:ext uri="{FF2B5EF4-FFF2-40B4-BE49-F238E27FC236}">
              <a16:creationId xmlns:a16="http://schemas.microsoft.com/office/drawing/2014/main" id="{B22E7920-A260-4B5D-B7CB-1DB1C547BEFD}"/>
            </a:ext>
          </a:extLst>
        </xdr:cNvPr>
        <xdr:cNvSpPr txBox="1"/>
      </xdr:nvSpPr>
      <xdr:spPr>
        <a:xfrm>
          <a:off x="4238625" y="1383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6" name="TextBox 215">
          <a:extLst>
            <a:ext uri="{FF2B5EF4-FFF2-40B4-BE49-F238E27FC236}">
              <a16:creationId xmlns:a16="http://schemas.microsoft.com/office/drawing/2014/main" id="{512ADA04-EDF0-4EFD-B794-AFD18D8E76A0}"/>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17" name="TextBox 216">
          <a:extLst>
            <a:ext uri="{FF2B5EF4-FFF2-40B4-BE49-F238E27FC236}">
              <a16:creationId xmlns:a16="http://schemas.microsoft.com/office/drawing/2014/main" id="{0BCC409D-8577-4749-AAA1-048D4CF4EEE4}"/>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8" name="TextBox 217">
          <a:extLst>
            <a:ext uri="{FF2B5EF4-FFF2-40B4-BE49-F238E27FC236}">
              <a16:creationId xmlns:a16="http://schemas.microsoft.com/office/drawing/2014/main" id="{2536767F-4CEB-4489-8B05-0257C67477D3}"/>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19" name="TextBox 218">
          <a:extLst>
            <a:ext uri="{FF2B5EF4-FFF2-40B4-BE49-F238E27FC236}">
              <a16:creationId xmlns:a16="http://schemas.microsoft.com/office/drawing/2014/main" id="{02B74E9F-EE06-4350-920D-2513B3357087}"/>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201930</xdr:colOff>
      <xdr:row>66</xdr:row>
      <xdr:rowOff>0</xdr:rowOff>
    </xdr:from>
    <xdr:ext cx="184731" cy="264560"/>
    <xdr:sp macro="" textlink="">
      <xdr:nvSpPr>
        <xdr:cNvPr id="220" name="TextBox 219">
          <a:extLst>
            <a:ext uri="{FF2B5EF4-FFF2-40B4-BE49-F238E27FC236}">
              <a16:creationId xmlns:a16="http://schemas.microsoft.com/office/drawing/2014/main" id="{A2C74BC2-045C-4D97-A104-132E4AE31EE2}"/>
            </a:ext>
          </a:extLst>
        </xdr:cNvPr>
        <xdr:cNvSpPr txBox="1"/>
      </xdr:nvSpPr>
      <xdr:spPr>
        <a:xfrm>
          <a:off x="20193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1" name="TextBox 220">
          <a:extLst>
            <a:ext uri="{FF2B5EF4-FFF2-40B4-BE49-F238E27FC236}">
              <a16:creationId xmlns:a16="http://schemas.microsoft.com/office/drawing/2014/main" id="{E9ED67FA-3232-40C2-94C0-C97C6166E16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2" name="TextBox 221">
          <a:extLst>
            <a:ext uri="{FF2B5EF4-FFF2-40B4-BE49-F238E27FC236}">
              <a16:creationId xmlns:a16="http://schemas.microsoft.com/office/drawing/2014/main" id="{0E6E1F53-1629-4EE9-95D3-32711160C24C}"/>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3" name="TextBox 222">
          <a:extLst>
            <a:ext uri="{FF2B5EF4-FFF2-40B4-BE49-F238E27FC236}">
              <a16:creationId xmlns:a16="http://schemas.microsoft.com/office/drawing/2014/main" id="{1A5E79DD-0CA5-408C-B23E-8C5252654A3D}"/>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2526030</xdr:colOff>
      <xdr:row>66</xdr:row>
      <xdr:rowOff>0</xdr:rowOff>
    </xdr:from>
    <xdr:ext cx="184731" cy="264560"/>
    <xdr:sp macro="" textlink="">
      <xdr:nvSpPr>
        <xdr:cNvPr id="224" name="TextBox 223">
          <a:extLst>
            <a:ext uri="{FF2B5EF4-FFF2-40B4-BE49-F238E27FC236}">
              <a16:creationId xmlns:a16="http://schemas.microsoft.com/office/drawing/2014/main" id="{0E34C651-8DBD-479C-9489-75EBD5B397CE}"/>
            </a:ext>
          </a:extLst>
        </xdr:cNvPr>
        <xdr:cNvSpPr txBox="1"/>
      </xdr:nvSpPr>
      <xdr:spPr>
        <a:xfrm>
          <a:off x="265938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5" name="TextBox 224">
          <a:extLst>
            <a:ext uri="{FF2B5EF4-FFF2-40B4-BE49-F238E27FC236}">
              <a16:creationId xmlns:a16="http://schemas.microsoft.com/office/drawing/2014/main" id="{C317741A-1F14-4D55-AD18-AE59BD7F97E5}"/>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6" name="TextBox 225">
          <a:extLst>
            <a:ext uri="{FF2B5EF4-FFF2-40B4-BE49-F238E27FC236}">
              <a16:creationId xmlns:a16="http://schemas.microsoft.com/office/drawing/2014/main" id="{692AFABC-C449-44E0-B198-42B0BA38F7E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7" name="TextBox 226">
          <a:extLst>
            <a:ext uri="{FF2B5EF4-FFF2-40B4-BE49-F238E27FC236}">
              <a16:creationId xmlns:a16="http://schemas.microsoft.com/office/drawing/2014/main" id="{87AC7AB4-CE2E-48C8-8445-8DA834A1438A}"/>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499110</xdr:colOff>
      <xdr:row>66</xdr:row>
      <xdr:rowOff>0</xdr:rowOff>
    </xdr:from>
    <xdr:ext cx="184731" cy="264560"/>
    <xdr:sp macro="" textlink="">
      <xdr:nvSpPr>
        <xdr:cNvPr id="228" name="TextBox 227">
          <a:extLst>
            <a:ext uri="{FF2B5EF4-FFF2-40B4-BE49-F238E27FC236}">
              <a16:creationId xmlns:a16="http://schemas.microsoft.com/office/drawing/2014/main" id="{016615BC-91D4-4FFF-AC9D-2F24F9C42897}"/>
            </a:ext>
          </a:extLst>
        </xdr:cNvPr>
        <xdr:cNvSpPr txBox="1"/>
      </xdr:nvSpPr>
      <xdr:spPr>
        <a:xfrm>
          <a:off x="3147060"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29" name="TextBox 228">
          <a:extLst>
            <a:ext uri="{FF2B5EF4-FFF2-40B4-BE49-F238E27FC236}">
              <a16:creationId xmlns:a16="http://schemas.microsoft.com/office/drawing/2014/main" id="{0441201C-E98B-486A-B004-28EC99E6FBFB}"/>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0" name="TextBox 229">
          <a:extLst>
            <a:ext uri="{FF2B5EF4-FFF2-40B4-BE49-F238E27FC236}">
              <a16:creationId xmlns:a16="http://schemas.microsoft.com/office/drawing/2014/main" id="{64502D9D-4EC8-4891-B7FD-6965DD1249A4}"/>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1" name="TextBox 230">
          <a:extLst>
            <a:ext uri="{FF2B5EF4-FFF2-40B4-BE49-F238E27FC236}">
              <a16:creationId xmlns:a16="http://schemas.microsoft.com/office/drawing/2014/main" id="{BF20415D-8B91-452F-9988-A0A9393D7B6F}"/>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1123950</xdr:colOff>
      <xdr:row>66</xdr:row>
      <xdr:rowOff>0</xdr:rowOff>
    </xdr:from>
    <xdr:ext cx="184731" cy="264560"/>
    <xdr:sp macro="" textlink="">
      <xdr:nvSpPr>
        <xdr:cNvPr id="232" name="TextBox 231">
          <a:extLst>
            <a:ext uri="{FF2B5EF4-FFF2-40B4-BE49-F238E27FC236}">
              <a16:creationId xmlns:a16="http://schemas.microsoft.com/office/drawing/2014/main" id="{231887E1-25E8-4650-B35C-A7806FD951BE}"/>
            </a:ext>
          </a:extLst>
        </xdr:cNvPr>
        <xdr:cNvSpPr txBox="1"/>
      </xdr:nvSpPr>
      <xdr:spPr>
        <a:xfrm>
          <a:off x="42386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3143250</xdr:colOff>
      <xdr:row>64</xdr:row>
      <xdr:rowOff>95250</xdr:rowOff>
    </xdr:from>
    <xdr:ext cx="184731" cy="264560"/>
    <xdr:sp macro="" textlink="">
      <xdr:nvSpPr>
        <xdr:cNvPr id="284" name="TextBox 283">
          <a:extLst>
            <a:ext uri="{FF2B5EF4-FFF2-40B4-BE49-F238E27FC236}">
              <a16:creationId xmlns:a16="http://schemas.microsoft.com/office/drawing/2014/main" id="{01C4EADC-CED8-432F-91E0-E1F880F7229A}"/>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95250</xdr:rowOff>
    </xdr:from>
    <xdr:ext cx="184731" cy="264560"/>
    <xdr:sp macro="" textlink="">
      <xdr:nvSpPr>
        <xdr:cNvPr id="285" name="TextBox 284">
          <a:extLst>
            <a:ext uri="{FF2B5EF4-FFF2-40B4-BE49-F238E27FC236}">
              <a16:creationId xmlns:a16="http://schemas.microsoft.com/office/drawing/2014/main" id="{E7A2953D-F1D3-4A32-938E-EEC222FEE944}"/>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64</xdr:row>
      <xdr:rowOff>95250</xdr:rowOff>
    </xdr:from>
    <xdr:ext cx="184731" cy="264560"/>
    <xdr:sp macro="" textlink="">
      <xdr:nvSpPr>
        <xdr:cNvPr id="286" name="TextBox 285">
          <a:extLst>
            <a:ext uri="{FF2B5EF4-FFF2-40B4-BE49-F238E27FC236}">
              <a16:creationId xmlns:a16="http://schemas.microsoft.com/office/drawing/2014/main" id="{A95F5015-8795-4185-AB51-8FF65EFFDFB2}"/>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57</xdr:row>
      <xdr:rowOff>0</xdr:rowOff>
    </xdr:from>
    <xdr:ext cx="192763" cy="264560"/>
    <xdr:sp macro="" textlink="">
      <xdr:nvSpPr>
        <xdr:cNvPr id="287" name="TextBox 286">
          <a:extLst>
            <a:ext uri="{FF2B5EF4-FFF2-40B4-BE49-F238E27FC236}">
              <a16:creationId xmlns:a16="http://schemas.microsoft.com/office/drawing/2014/main" id="{E0339667-2861-4775-BC1C-61992ECE6555}"/>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58</xdr:row>
      <xdr:rowOff>0</xdr:rowOff>
    </xdr:from>
    <xdr:ext cx="192763" cy="264560"/>
    <xdr:sp macro="" textlink="">
      <xdr:nvSpPr>
        <xdr:cNvPr id="288" name="TextBox 287">
          <a:extLst>
            <a:ext uri="{FF2B5EF4-FFF2-40B4-BE49-F238E27FC236}">
              <a16:creationId xmlns:a16="http://schemas.microsoft.com/office/drawing/2014/main" id="{0BA1A6D0-65A4-48CE-B3BF-FE5691F90620}"/>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59</xdr:row>
      <xdr:rowOff>0</xdr:rowOff>
    </xdr:from>
    <xdr:ext cx="192763" cy="303466"/>
    <xdr:sp macro="" textlink="">
      <xdr:nvSpPr>
        <xdr:cNvPr id="289" name="TextBox 288">
          <a:extLst>
            <a:ext uri="{FF2B5EF4-FFF2-40B4-BE49-F238E27FC236}">
              <a16:creationId xmlns:a16="http://schemas.microsoft.com/office/drawing/2014/main" id="{00D35988-6CBA-4C2B-903B-BBD7EB2542FB}"/>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0" name="TextBox 289">
          <a:extLst>
            <a:ext uri="{FF2B5EF4-FFF2-40B4-BE49-F238E27FC236}">
              <a16:creationId xmlns:a16="http://schemas.microsoft.com/office/drawing/2014/main" id="{1C35FFC0-B120-4FF9-B23A-8001CE0A0123}"/>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60</xdr:row>
      <xdr:rowOff>0</xdr:rowOff>
    </xdr:from>
    <xdr:ext cx="192763" cy="264560"/>
    <xdr:sp macro="" textlink="">
      <xdr:nvSpPr>
        <xdr:cNvPr id="291" name="TextBox 290">
          <a:extLst>
            <a:ext uri="{FF2B5EF4-FFF2-40B4-BE49-F238E27FC236}">
              <a16:creationId xmlns:a16="http://schemas.microsoft.com/office/drawing/2014/main" id="{A563DE99-9615-453F-A9E9-648640C81E47}"/>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2" name="TextBox 291">
          <a:extLst>
            <a:ext uri="{FF2B5EF4-FFF2-40B4-BE49-F238E27FC236}">
              <a16:creationId xmlns:a16="http://schemas.microsoft.com/office/drawing/2014/main" id="{84E2DEFF-1293-4251-9E1C-245475E4EA1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61</xdr:row>
      <xdr:rowOff>0</xdr:rowOff>
    </xdr:from>
    <xdr:ext cx="192763" cy="264560"/>
    <xdr:sp macro="" textlink="">
      <xdr:nvSpPr>
        <xdr:cNvPr id="293" name="TextBox 292">
          <a:extLst>
            <a:ext uri="{FF2B5EF4-FFF2-40B4-BE49-F238E27FC236}">
              <a16:creationId xmlns:a16="http://schemas.microsoft.com/office/drawing/2014/main" id="{18342E68-0F7E-4335-A400-D9D055651EB2}"/>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4" name="TextBox 293">
          <a:extLst>
            <a:ext uri="{FF2B5EF4-FFF2-40B4-BE49-F238E27FC236}">
              <a16:creationId xmlns:a16="http://schemas.microsoft.com/office/drawing/2014/main" id="{03A0E9D2-7BA6-4A4B-9A8E-55B4510A7F81}"/>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295" name="TextBox 294">
          <a:extLst>
            <a:ext uri="{FF2B5EF4-FFF2-40B4-BE49-F238E27FC236}">
              <a16:creationId xmlns:a16="http://schemas.microsoft.com/office/drawing/2014/main" id="{F9A57342-1DAD-4174-AAD2-BD5C7B58EDBD}"/>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6" name="TextBox 295">
          <a:extLst>
            <a:ext uri="{FF2B5EF4-FFF2-40B4-BE49-F238E27FC236}">
              <a16:creationId xmlns:a16="http://schemas.microsoft.com/office/drawing/2014/main" id="{94B7F515-96DF-4835-90A8-2574851BCDBB}"/>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264560"/>
    <xdr:sp macro="" textlink="">
      <xdr:nvSpPr>
        <xdr:cNvPr id="297" name="TextBox 296">
          <a:extLst>
            <a:ext uri="{FF2B5EF4-FFF2-40B4-BE49-F238E27FC236}">
              <a16:creationId xmlns:a16="http://schemas.microsoft.com/office/drawing/2014/main" id="{403CC557-5F08-4A59-A327-842A328A934D}"/>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8" name="TextBox 297">
          <a:extLst>
            <a:ext uri="{FF2B5EF4-FFF2-40B4-BE49-F238E27FC236}">
              <a16:creationId xmlns:a16="http://schemas.microsoft.com/office/drawing/2014/main" id="{BD378BB9-0442-4E01-B289-8BF0FB609037}"/>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299" name="TextBox 298">
          <a:extLst>
            <a:ext uri="{FF2B5EF4-FFF2-40B4-BE49-F238E27FC236}">
              <a16:creationId xmlns:a16="http://schemas.microsoft.com/office/drawing/2014/main" id="{C1F0C587-2270-4EDB-9F27-5563BB97F70C}"/>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57</xdr:row>
      <xdr:rowOff>0</xdr:rowOff>
    </xdr:from>
    <xdr:ext cx="184731" cy="264560"/>
    <xdr:sp macro="" textlink="">
      <xdr:nvSpPr>
        <xdr:cNvPr id="300" name="TextBox 299">
          <a:extLst>
            <a:ext uri="{FF2B5EF4-FFF2-40B4-BE49-F238E27FC236}">
              <a16:creationId xmlns:a16="http://schemas.microsoft.com/office/drawing/2014/main" id="{EFE19422-DFCC-4597-B4AC-EA49A31D881D}"/>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58</xdr:row>
      <xdr:rowOff>0</xdr:rowOff>
    </xdr:from>
    <xdr:ext cx="184731" cy="264560"/>
    <xdr:sp macro="" textlink="">
      <xdr:nvSpPr>
        <xdr:cNvPr id="301" name="TextBox 300">
          <a:extLst>
            <a:ext uri="{FF2B5EF4-FFF2-40B4-BE49-F238E27FC236}">
              <a16:creationId xmlns:a16="http://schemas.microsoft.com/office/drawing/2014/main" id="{A3454A88-8BA9-42D9-8505-0FCCE89A30F7}"/>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59</xdr:row>
      <xdr:rowOff>0</xdr:rowOff>
    </xdr:from>
    <xdr:ext cx="184731" cy="303466"/>
    <xdr:sp macro="" textlink="">
      <xdr:nvSpPr>
        <xdr:cNvPr id="302" name="TextBox 301">
          <a:extLst>
            <a:ext uri="{FF2B5EF4-FFF2-40B4-BE49-F238E27FC236}">
              <a16:creationId xmlns:a16="http://schemas.microsoft.com/office/drawing/2014/main" id="{CAC4C18C-CFCF-4841-99B4-48B0CED55377}"/>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3" name="TextBox 302">
          <a:extLst>
            <a:ext uri="{FF2B5EF4-FFF2-40B4-BE49-F238E27FC236}">
              <a16:creationId xmlns:a16="http://schemas.microsoft.com/office/drawing/2014/main" id="{98CC5965-8474-4A80-8B54-7E9A14F0C1C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60</xdr:row>
      <xdr:rowOff>0</xdr:rowOff>
    </xdr:from>
    <xdr:ext cx="184731" cy="264560"/>
    <xdr:sp macro="" textlink="">
      <xdr:nvSpPr>
        <xdr:cNvPr id="304" name="TextBox 303">
          <a:extLst>
            <a:ext uri="{FF2B5EF4-FFF2-40B4-BE49-F238E27FC236}">
              <a16:creationId xmlns:a16="http://schemas.microsoft.com/office/drawing/2014/main" id="{BABAB10A-0063-4D41-A303-75B6452F3EE3}"/>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5" name="TextBox 304">
          <a:extLst>
            <a:ext uri="{FF2B5EF4-FFF2-40B4-BE49-F238E27FC236}">
              <a16:creationId xmlns:a16="http://schemas.microsoft.com/office/drawing/2014/main" id="{B5563801-AF57-4469-95FE-8997C664AC87}"/>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306" name="TextBox 305">
          <a:extLst>
            <a:ext uri="{FF2B5EF4-FFF2-40B4-BE49-F238E27FC236}">
              <a16:creationId xmlns:a16="http://schemas.microsoft.com/office/drawing/2014/main" id="{3A3A4B8C-B9E1-4058-B4A4-CEF7E638CAD5}"/>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7" name="TextBox 306">
          <a:extLst>
            <a:ext uri="{FF2B5EF4-FFF2-40B4-BE49-F238E27FC236}">
              <a16:creationId xmlns:a16="http://schemas.microsoft.com/office/drawing/2014/main" id="{3C5491D7-40F6-4B0D-AFC5-08C9A23380A2}"/>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308" name="TextBox 307">
          <a:extLst>
            <a:ext uri="{FF2B5EF4-FFF2-40B4-BE49-F238E27FC236}">
              <a16:creationId xmlns:a16="http://schemas.microsoft.com/office/drawing/2014/main" id="{220DE8A2-CA81-4217-A080-62B3C2AEF1DB}"/>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09" name="TextBox 308">
          <a:extLst>
            <a:ext uri="{FF2B5EF4-FFF2-40B4-BE49-F238E27FC236}">
              <a16:creationId xmlns:a16="http://schemas.microsoft.com/office/drawing/2014/main" id="{D4108EFD-B62B-49A8-A4E7-29DAB54225C6}"/>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310" name="TextBox 309">
          <a:extLst>
            <a:ext uri="{FF2B5EF4-FFF2-40B4-BE49-F238E27FC236}">
              <a16:creationId xmlns:a16="http://schemas.microsoft.com/office/drawing/2014/main" id="{1FD3FB23-C0D9-4D36-A581-218E9451D10D}"/>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1" name="TextBox 310">
          <a:extLst>
            <a:ext uri="{FF2B5EF4-FFF2-40B4-BE49-F238E27FC236}">
              <a16:creationId xmlns:a16="http://schemas.microsoft.com/office/drawing/2014/main" id="{C666D252-4144-4F0E-AB53-80CDB1E4241B}"/>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312" name="TextBox 311">
          <a:extLst>
            <a:ext uri="{FF2B5EF4-FFF2-40B4-BE49-F238E27FC236}">
              <a16:creationId xmlns:a16="http://schemas.microsoft.com/office/drawing/2014/main" id="{E754DD00-1439-44A4-81C7-0F80D82780A8}"/>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57</xdr:row>
      <xdr:rowOff>0</xdr:rowOff>
    </xdr:from>
    <xdr:ext cx="184731" cy="264560"/>
    <xdr:sp macro="" textlink="">
      <xdr:nvSpPr>
        <xdr:cNvPr id="313" name="TextBox 312">
          <a:extLst>
            <a:ext uri="{FF2B5EF4-FFF2-40B4-BE49-F238E27FC236}">
              <a16:creationId xmlns:a16="http://schemas.microsoft.com/office/drawing/2014/main" id="{3A6E893E-AD1C-4652-8FFB-2474F739EF39}"/>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58</xdr:row>
      <xdr:rowOff>0</xdr:rowOff>
    </xdr:from>
    <xdr:ext cx="184731" cy="264560"/>
    <xdr:sp macro="" textlink="">
      <xdr:nvSpPr>
        <xdr:cNvPr id="314" name="TextBox 313">
          <a:extLst>
            <a:ext uri="{FF2B5EF4-FFF2-40B4-BE49-F238E27FC236}">
              <a16:creationId xmlns:a16="http://schemas.microsoft.com/office/drawing/2014/main" id="{6691F887-8946-4326-A706-A3BBEE4B04F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59</xdr:row>
      <xdr:rowOff>0</xdr:rowOff>
    </xdr:from>
    <xdr:ext cx="184731" cy="303466"/>
    <xdr:sp macro="" textlink="">
      <xdr:nvSpPr>
        <xdr:cNvPr id="315" name="TextBox 314">
          <a:extLst>
            <a:ext uri="{FF2B5EF4-FFF2-40B4-BE49-F238E27FC236}">
              <a16:creationId xmlns:a16="http://schemas.microsoft.com/office/drawing/2014/main" id="{44E10E59-7CD0-4FC0-964C-2ECF3FBC25EC}"/>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6" name="TextBox 315">
          <a:extLst>
            <a:ext uri="{FF2B5EF4-FFF2-40B4-BE49-F238E27FC236}">
              <a16:creationId xmlns:a16="http://schemas.microsoft.com/office/drawing/2014/main" id="{52713CC3-7FF3-4339-A126-1F1D546547D3}"/>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60</xdr:row>
      <xdr:rowOff>0</xdr:rowOff>
    </xdr:from>
    <xdr:ext cx="184731" cy="264560"/>
    <xdr:sp macro="" textlink="">
      <xdr:nvSpPr>
        <xdr:cNvPr id="317" name="TextBox 316">
          <a:extLst>
            <a:ext uri="{FF2B5EF4-FFF2-40B4-BE49-F238E27FC236}">
              <a16:creationId xmlns:a16="http://schemas.microsoft.com/office/drawing/2014/main" id="{C13D25B3-91C8-4D61-B741-8187A1AB5F96}"/>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8" name="TextBox 317">
          <a:extLst>
            <a:ext uri="{FF2B5EF4-FFF2-40B4-BE49-F238E27FC236}">
              <a16:creationId xmlns:a16="http://schemas.microsoft.com/office/drawing/2014/main" id="{3C2E2F5A-635F-4770-B8A8-79166F402ACB}"/>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319" name="TextBox 318">
          <a:extLst>
            <a:ext uri="{FF2B5EF4-FFF2-40B4-BE49-F238E27FC236}">
              <a16:creationId xmlns:a16="http://schemas.microsoft.com/office/drawing/2014/main" id="{B88A69D3-C241-48F5-9812-4C58CBE51CF8}"/>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0" name="TextBox 319">
          <a:extLst>
            <a:ext uri="{FF2B5EF4-FFF2-40B4-BE49-F238E27FC236}">
              <a16:creationId xmlns:a16="http://schemas.microsoft.com/office/drawing/2014/main" id="{ECD4223E-F3FA-4D4A-A391-7DF9A9E9623A}"/>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321" name="TextBox 320">
          <a:extLst>
            <a:ext uri="{FF2B5EF4-FFF2-40B4-BE49-F238E27FC236}">
              <a16:creationId xmlns:a16="http://schemas.microsoft.com/office/drawing/2014/main" id="{2B34216C-4AE7-41F6-B372-062BBBB22C66}"/>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2" name="TextBox 321">
          <a:extLst>
            <a:ext uri="{FF2B5EF4-FFF2-40B4-BE49-F238E27FC236}">
              <a16:creationId xmlns:a16="http://schemas.microsoft.com/office/drawing/2014/main" id="{8CA0A4C8-D9AC-483B-9AAE-96DC605E773A}"/>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323" name="TextBox 322">
          <a:extLst>
            <a:ext uri="{FF2B5EF4-FFF2-40B4-BE49-F238E27FC236}">
              <a16:creationId xmlns:a16="http://schemas.microsoft.com/office/drawing/2014/main" id="{D3BE4F7D-5AC4-491D-9386-07E9D9A5AE06}"/>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4" name="TextBox 323">
          <a:extLst>
            <a:ext uri="{FF2B5EF4-FFF2-40B4-BE49-F238E27FC236}">
              <a16:creationId xmlns:a16="http://schemas.microsoft.com/office/drawing/2014/main" id="{785C0562-7C2C-4921-942C-37CADA08244D}"/>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325" name="TextBox 324">
          <a:extLst>
            <a:ext uri="{FF2B5EF4-FFF2-40B4-BE49-F238E27FC236}">
              <a16:creationId xmlns:a16="http://schemas.microsoft.com/office/drawing/2014/main" id="{F1659376-FFCD-4150-BA39-D4609B0B1385}"/>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57</xdr:row>
      <xdr:rowOff>0</xdr:rowOff>
    </xdr:from>
    <xdr:ext cx="192763" cy="264560"/>
    <xdr:sp macro="" textlink="">
      <xdr:nvSpPr>
        <xdr:cNvPr id="326" name="TextBox 325">
          <a:extLst>
            <a:ext uri="{FF2B5EF4-FFF2-40B4-BE49-F238E27FC236}">
              <a16:creationId xmlns:a16="http://schemas.microsoft.com/office/drawing/2014/main" id="{4A6F8581-8A76-4ED6-9330-2B818242CCCC}"/>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57</xdr:row>
      <xdr:rowOff>0</xdr:rowOff>
    </xdr:from>
    <xdr:ext cx="192763" cy="264560"/>
    <xdr:sp macro="" textlink="">
      <xdr:nvSpPr>
        <xdr:cNvPr id="327" name="TextBox 326">
          <a:extLst>
            <a:ext uri="{FF2B5EF4-FFF2-40B4-BE49-F238E27FC236}">
              <a16:creationId xmlns:a16="http://schemas.microsoft.com/office/drawing/2014/main" id="{455C847C-1CB7-4FE2-89B4-D1DC47F5570B}"/>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57</xdr:row>
      <xdr:rowOff>0</xdr:rowOff>
    </xdr:from>
    <xdr:ext cx="192763" cy="264560"/>
    <xdr:sp macro="" textlink="">
      <xdr:nvSpPr>
        <xdr:cNvPr id="328" name="TextBox 327">
          <a:extLst>
            <a:ext uri="{FF2B5EF4-FFF2-40B4-BE49-F238E27FC236}">
              <a16:creationId xmlns:a16="http://schemas.microsoft.com/office/drawing/2014/main" id="{2A43078C-4E08-456B-9BE1-90FEF7A83792}"/>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58</xdr:row>
      <xdr:rowOff>0</xdr:rowOff>
    </xdr:from>
    <xdr:ext cx="183125" cy="264560"/>
    <xdr:sp macro="" textlink="">
      <xdr:nvSpPr>
        <xdr:cNvPr id="329" name="TextBox 328">
          <a:extLst>
            <a:ext uri="{FF2B5EF4-FFF2-40B4-BE49-F238E27FC236}">
              <a16:creationId xmlns:a16="http://schemas.microsoft.com/office/drawing/2014/main" id="{F67A1F3C-135B-42AE-B8DA-86D8A9290F5D}"/>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58</xdr:row>
      <xdr:rowOff>0</xdr:rowOff>
    </xdr:from>
    <xdr:ext cx="184731" cy="271710"/>
    <xdr:sp macro="" textlink="">
      <xdr:nvSpPr>
        <xdr:cNvPr id="330" name="TextBox 329">
          <a:extLst>
            <a:ext uri="{FF2B5EF4-FFF2-40B4-BE49-F238E27FC236}">
              <a16:creationId xmlns:a16="http://schemas.microsoft.com/office/drawing/2014/main" id="{D070FF30-8499-41D9-A12D-B0074FF9A37B}"/>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3143250</xdr:colOff>
      <xdr:row>29</xdr:row>
      <xdr:rowOff>95250</xdr:rowOff>
    </xdr:from>
    <xdr:ext cx="184731" cy="264560"/>
    <xdr:sp macro="" textlink="">
      <xdr:nvSpPr>
        <xdr:cNvPr id="2" name="TextBox 1">
          <a:extLst>
            <a:ext uri="{FF2B5EF4-FFF2-40B4-BE49-F238E27FC236}">
              <a16:creationId xmlns:a16="http://schemas.microsoft.com/office/drawing/2014/main" id="{D3EC90FA-2976-4FA7-A933-66FC550FC5F8}"/>
            </a:ext>
          </a:extLst>
        </xdr:cNvPr>
        <xdr:cNvSpPr txBox="1"/>
      </xdr:nvSpPr>
      <xdr:spPr>
        <a:xfrm>
          <a:off x="32385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95250</xdr:rowOff>
    </xdr:from>
    <xdr:ext cx="184731" cy="264560"/>
    <xdr:sp macro="" textlink="">
      <xdr:nvSpPr>
        <xdr:cNvPr id="3" name="TextBox 2">
          <a:extLst>
            <a:ext uri="{FF2B5EF4-FFF2-40B4-BE49-F238E27FC236}">
              <a16:creationId xmlns:a16="http://schemas.microsoft.com/office/drawing/2014/main" id="{7FF46E0C-5C6E-4AA2-9061-E3EE75EEBB00}"/>
            </a:ext>
          </a:extLst>
        </xdr:cNvPr>
        <xdr:cNvSpPr txBox="1"/>
      </xdr:nvSpPr>
      <xdr:spPr>
        <a:xfrm>
          <a:off x="3114675"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1102995</xdr:colOff>
      <xdr:row>29</xdr:row>
      <xdr:rowOff>95250</xdr:rowOff>
    </xdr:from>
    <xdr:ext cx="184731" cy="264560"/>
    <xdr:sp macro="" textlink="">
      <xdr:nvSpPr>
        <xdr:cNvPr id="4" name="TextBox 3">
          <a:extLst>
            <a:ext uri="{FF2B5EF4-FFF2-40B4-BE49-F238E27FC236}">
              <a16:creationId xmlns:a16="http://schemas.microsoft.com/office/drawing/2014/main" id="{95BE71EF-9861-467E-B506-056644168171}"/>
            </a:ext>
          </a:extLst>
        </xdr:cNvPr>
        <xdr:cNvSpPr txBox="1"/>
      </xdr:nvSpPr>
      <xdr:spPr>
        <a:xfrm>
          <a:off x="4217670" y="1714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22</xdr:row>
      <xdr:rowOff>0</xdr:rowOff>
    </xdr:from>
    <xdr:ext cx="192763" cy="264560"/>
    <xdr:sp macro="" textlink="">
      <xdr:nvSpPr>
        <xdr:cNvPr id="5" name="TextBox 4">
          <a:extLst>
            <a:ext uri="{FF2B5EF4-FFF2-40B4-BE49-F238E27FC236}">
              <a16:creationId xmlns:a16="http://schemas.microsoft.com/office/drawing/2014/main" id="{EEFD101F-08A9-48EC-A421-9D7C9DBC5ED2}"/>
            </a:ext>
          </a:extLst>
        </xdr:cNvPr>
        <xdr:cNvSpPr txBox="1"/>
      </xdr:nvSpPr>
      <xdr:spPr>
        <a:xfrm>
          <a:off x="2691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23</xdr:row>
      <xdr:rowOff>0</xdr:rowOff>
    </xdr:from>
    <xdr:ext cx="192763" cy="264560"/>
    <xdr:sp macro="" textlink="">
      <xdr:nvSpPr>
        <xdr:cNvPr id="6" name="TextBox 5">
          <a:extLst>
            <a:ext uri="{FF2B5EF4-FFF2-40B4-BE49-F238E27FC236}">
              <a16:creationId xmlns:a16="http://schemas.microsoft.com/office/drawing/2014/main" id="{2A50217C-676F-424A-AF10-FFB977BD7CB8}"/>
            </a:ext>
          </a:extLst>
        </xdr:cNvPr>
        <xdr:cNvSpPr txBox="1"/>
      </xdr:nvSpPr>
      <xdr:spPr>
        <a:xfrm>
          <a:off x="2691765" y="160782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24</xdr:row>
      <xdr:rowOff>0</xdr:rowOff>
    </xdr:from>
    <xdr:ext cx="192763" cy="303466"/>
    <xdr:sp macro="" textlink="">
      <xdr:nvSpPr>
        <xdr:cNvPr id="7" name="TextBox 6">
          <a:extLst>
            <a:ext uri="{FF2B5EF4-FFF2-40B4-BE49-F238E27FC236}">
              <a16:creationId xmlns:a16="http://schemas.microsoft.com/office/drawing/2014/main" id="{9872A633-85BC-4A06-847A-1A031634D774}"/>
            </a:ext>
          </a:extLst>
        </xdr:cNvPr>
        <xdr:cNvSpPr txBox="1"/>
      </xdr:nvSpPr>
      <xdr:spPr>
        <a:xfrm>
          <a:off x="2691765" y="162401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8" name="TextBox 7">
          <a:extLst>
            <a:ext uri="{FF2B5EF4-FFF2-40B4-BE49-F238E27FC236}">
              <a16:creationId xmlns:a16="http://schemas.microsoft.com/office/drawing/2014/main" id="{FD580276-30F0-4996-9661-9CD988BF9A4B}"/>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25</xdr:row>
      <xdr:rowOff>0</xdr:rowOff>
    </xdr:from>
    <xdr:ext cx="192763" cy="264560"/>
    <xdr:sp macro="" textlink="">
      <xdr:nvSpPr>
        <xdr:cNvPr id="9" name="TextBox 8">
          <a:extLst>
            <a:ext uri="{FF2B5EF4-FFF2-40B4-BE49-F238E27FC236}">
              <a16:creationId xmlns:a16="http://schemas.microsoft.com/office/drawing/2014/main" id="{C01974EE-74B1-43A7-8566-40282866DE61}"/>
            </a:ext>
          </a:extLst>
        </xdr:cNvPr>
        <xdr:cNvSpPr txBox="1"/>
      </xdr:nvSpPr>
      <xdr:spPr>
        <a:xfrm>
          <a:off x="2691765" y="16402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0" name="TextBox 9">
          <a:extLst>
            <a:ext uri="{FF2B5EF4-FFF2-40B4-BE49-F238E27FC236}">
              <a16:creationId xmlns:a16="http://schemas.microsoft.com/office/drawing/2014/main" id="{FD26F3AE-16A8-432F-87DF-58A8A4BEF797}"/>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26</xdr:row>
      <xdr:rowOff>0</xdr:rowOff>
    </xdr:from>
    <xdr:ext cx="192763" cy="264560"/>
    <xdr:sp macro="" textlink="">
      <xdr:nvSpPr>
        <xdr:cNvPr id="11" name="TextBox 10">
          <a:extLst>
            <a:ext uri="{FF2B5EF4-FFF2-40B4-BE49-F238E27FC236}">
              <a16:creationId xmlns:a16="http://schemas.microsoft.com/office/drawing/2014/main" id="{2B5917A5-13BE-416F-84C5-1F4D67EA1713}"/>
            </a:ext>
          </a:extLst>
        </xdr:cNvPr>
        <xdr:cNvSpPr txBox="1"/>
      </xdr:nvSpPr>
      <xdr:spPr>
        <a:xfrm>
          <a:off x="2691765" y="165639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2" name="TextBox 11">
          <a:extLst>
            <a:ext uri="{FF2B5EF4-FFF2-40B4-BE49-F238E27FC236}">
              <a16:creationId xmlns:a16="http://schemas.microsoft.com/office/drawing/2014/main" id="{EDE3AE4A-F331-43CA-B046-ECC8086FE098}"/>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27</xdr:row>
      <xdr:rowOff>0</xdr:rowOff>
    </xdr:from>
    <xdr:ext cx="192763" cy="264560"/>
    <xdr:sp macro="" textlink="">
      <xdr:nvSpPr>
        <xdr:cNvPr id="13" name="TextBox 12">
          <a:extLst>
            <a:ext uri="{FF2B5EF4-FFF2-40B4-BE49-F238E27FC236}">
              <a16:creationId xmlns:a16="http://schemas.microsoft.com/office/drawing/2014/main" id="{48DA62DF-FEAA-4A70-B93C-CF096FC1A766}"/>
            </a:ext>
          </a:extLst>
        </xdr:cNvPr>
        <xdr:cNvSpPr txBox="1"/>
      </xdr:nvSpPr>
      <xdr:spPr>
        <a:xfrm>
          <a:off x="2691765" y="167259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4" name="TextBox 13">
          <a:extLst>
            <a:ext uri="{FF2B5EF4-FFF2-40B4-BE49-F238E27FC236}">
              <a16:creationId xmlns:a16="http://schemas.microsoft.com/office/drawing/2014/main" id="{4FF6A299-7E8B-47C1-AFAC-6BFD3A948046}"/>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28</xdr:row>
      <xdr:rowOff>0</xdr:rowOff>
    </xdr:from>
    <xdr:ext cx="192763" cy="264560"/>
    <xdr:sp macro="" textlink="">
      <xdr:nvSpPr>
        <xdr:cNvPr id="15" name="TextBox 14">
          <a:extLst>
            <a:ext uri="{FF2B5EF4-FFF2-40B4-BE49-F238E27FC236}">
              <a16:creationId xmlns:a16="http://schemas.microsoft.com/office/drawing/2014/main" id="{D6AB2F83-9D9D-45DA-A581-3FCD2AF62B92}"/>
            </a:ext>
          </a:extLst>
        </xdr:cNvPr>
        <xdr:cNvSpPr txBox="1"/>
      </xdr:nvSpPr>
      <xdr:spPr>
        <a:xfrm>
          <a:off x="2691765" y="16887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6" name="TextBox 15">
          <a:extLst>
            <a:ext uri="{FF2B5EF4-FFF2-40B4-BE49-F238E27FC236}">
              <a16:creationId xmlns:a16="http://schemas.microsoft.com/office/drawing/2014/main" id="{5D332B54-0FB2-4C91-A4E2-A6CC70FCADB1}"/>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29</xdr:row>
      <xdr:rowOff>0</xdr:rowOff>
    </xdr:from>
    <xdr:ext cx="192763" cy="264560"/>
    <xdr:sp macro="" textlink="">
      <xdr:nvSpPr>
        <xdr:cNvPr id="17" name="TextBox 16">
          <a:extLst>
            <a:ext uri="{FF2B5EF4-FFF2-40B4-BE49-F238E27FC236}">
              <a16:creationId xmlns:a16="http://schemas.microsoft.com/office/drawing/2014/main" id="{2BEDF8CE-9C09-49FD-965F-21A37CF46F72}"/>
            </a:ext>
          </a:extLst>
        </xdr:cNvPr>
        <xdr:cNvSpPr txBox="1"/>
      </xdr:nvSpPr>
      <xdr:spPr>
        <a:xfrm>
          <a:off x="2691765" y="170497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22</xdr:row>
      <xdr:rowOff>0</xdr:rowOff>
    </xdr:from>
    <xdr:ext cx="184731" cy="264560"/>
    <xdr:sp macro="" textlink="">
      <xdr:nvSpPr>
        <xdr:cNvPr id="18" name="TextBox 17">
          <a:extLst>
            <a:ext uri="{FF2B5EF4-FFF2-40B4-BE49-F238E27FC236}">
              <a16:creationId xmlns:a16="http://schemas.microsoft.com/office/drawing/2014/main" id="{5671CF84-311A-4605-B0D2-51D9E5F9A958}"/>
            </a:ext>
          </a:extLst>
        </xdr:cNvPr>
        <xdr:cNvSpPr txBox="1"/>
      </xdr:nvSpPr>
      <xdr:spPr>
        <a:xfrm>
          <a:off x="31146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23</xdr:row>
      <xdr:rowOff>0</xdr:rowOff>
    </xdr:from>
    <xdr:ext cx="184731" cy="264560"/>
    <xdr:sp macro="" textlink="">
      <xdr:nvSpPr>
        <xdr:cNvPr id="19" name="TextBox 18">
          <a:extLst>
            <a:ext uri="{FF2B5EF4-FFF2-40B4-BE49-F238E27FC236}">
              <a16:creationId xmlns:a16="http://schemas.microsoft.com/office/drawing/2014/main" id="{65669653-6754-4CC2-9F25-E116558DBD1D}"/>
            </a:ext>
          </a:extLst>
        </xdr:cNvPr>
        <xdr:cNvSpPr txBox="1"/>
      </xdr:nvSpPr>
      <xdr:spPr>
        <a:xfrm>
          <a:off x="31146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24</xdr:row>
      <xdr:rowOff>0</xdr:rowOff>
    </xdr:from>
    <xdr:ext cx="184731" cy="303466"/>
    <xdr:sp macro="" textlink="">
      <xdr:nvSpPr>
        <xdr:cNvPr id="20" name="TextBox 19">
          <a:extLst>
            <a:ext uri="{FF2B5EF4-FFF2-40B4-BE49-F238E27FC236}">
              <a16:creationId xmlns:a16="http://schemas.microsoft.com/office/drawing/2014/main" id="{87F7E60D-A223-4A5A-A358-04D61820EBAE}"/>
            </a:ext>
          </a:extLst>
        </xdr:cNvPr>
        <xdr:cNvSpPr txBox="1"/>
      </xdr:nvSpPr>
      <xdr:spPr>
        <a:xfrm>
          <a:off x="31146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1" name="TextBox 20">
          <a:extLst>
            <a:ext uri="{FF2B5EF4-FFF2-40B4-BE49-F238E27FC236}">
              <a16:creationId xmlns:a16="http://schemas.microsoft.com/office/drawing/2014/main" id="{46C62211-5085-4F7D-8D4B-41041849749C}"/>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25</xdr:row>
      <xdr:rowOff>0</xdr:rowOff>
    </xdr:from>
    <xdr:ext cx="184731" cy="264560"/>
    <xdr:sp macro="" textlink="">
      <xdr:nvSpPr>
        <xdr:cNvPr id="22" name="TextBox 21">
          <a:extLst>
            <a:ext uri="{FF2B5EF4-FFF2-40B4-BE49-F238E27FC236}">
              <a16:creationId xmlns:a16="http://schemas.microsoft.com/office/drawing/2014/main" id="{3B46156B-07D4-4019-8745-186174E9A480}"/>
            </a:ext>
          </a:extLst>
        </xdr:cNvPr>
        <xdr:cNvSpPr txBox="1"/>
      </xdr:nvSpPr>
      <xdr:spPr>
        <a:xfrm>
          <a:off x="31146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3" name="TextBox 22">
          <a:extLst>
            <a:ext uri="{FF2B5EF4-FFF2-40B4-BE49-F238E27FC236}">
              <a16:creationId xmlns:a16="http://schemas.microsoft.com/office/drawing/2014/main" id="{0E916716-4C94-4833-8EA0-9FFE7630EC52}"/>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26</xdr:row>
      <xdr:rowOff>0</xdr:rowOff>
    </xdr:from>
    <xdr:ext cx="184731" cy="264560"/>
    <xdr:sp macro="" textlink="">
      <xdr:nvSpPr>
        <xdr:cNvPr id="24" name="TextBox 23">
          <a:extLst>
            <a:ext uri="{FF2B5EF4-FFF2-40B4-BE49-F238E27FC236}">
              <a16:creationId xmlns:a16="http://schemas.microsoft.com/office/drawing/2014/main" id="{2A8DCBFE-A33A-4557-A4D7-DC0F4EC4181D}"/>
            </a:ext>
          </a:extLst>
        </xdr:cNvPr>
        <xdr:cNvSpPr txBox="1"/>
      </xdr:nvSpPr>
      <xdr:spPr>
        <a:xfrm>
          <a:off x="31146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5" name="TextBox 24">
          <a:extLst>
            <a:ext uri="{FF2B5EF4-FFF2-40B4-BE49-F238E27FC236}">
              <a16:creationId xmlns:a16="http://schemas.microsoft.com/office/drawing/2014/main" id="{88B0E9CB-9927-430F-BA25-EB906ADC847F}"/>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27</xdr:row>
      <xdr:rowOff>0</xdr:rowOff>
    </xdr:from>
    <xdr:ext cx="184731" cy="264560"/>
    <xdr:sp macro="" textlink="">
      <xdr:nvSpPr>
        <xdr:cNvPr id="26" name="TextBox 25">
          <a:extLst>
            <a:ext uri="{FF2B5EF4-FFF2-40B4-BE49-F238E27FC236}">
              <a16:creationId xmlns:a16="http://schemas.microsoft.com/office/drawing/2014/main" id="{799BD8B9-80FC-46B2-B171-379E04126464}"/>
            </a:ext>
          </a:extLst>
        </xdr:cNvPr>
        <xdr:cNvSpPr txBox="1"/>
      </xdr:nvSpPr>
      <xdr:spPr>
        <a:xfrm>
          <a:off x="31146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7" name="TextBox 26">
          <a:extLst>
            <a:ext uri="{FF2B5EF4-FFF2-40B4-BE49-F238E27FC236}">
              <a16:creationId xmlns:a16="http://schemas.microsoft.com/office/drawing/2014/main" id="{0DA11F4C-A36C-4F69-9FF6-1F60F5CD275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28</xdr:row>
      <xdr:rowOff>0</xdr:rowOff>
    </xdr:from>
    <xdr:ext cx="184731" cy="264560"/>
    <xdr:sp macro="" textlink="">
      <xdr:nvSpPr>
        <xdr:cNvPr id="28" name="TextBox 27">
          <a:extLst>
            <a:ext uri="{FF2B5EF4-FFF2-40B4-BE49-F238E27FC236}">
              <a16:creationId xmlns:a16="http://schemas.microsoft.com/office/drawing/2014/main" id="{DF0A1B2A-45B3-4993-B506-FFB043F98963}"/>
            </a:ext>
          </a:extLst>
        </xdr:cNvPr>
        <xdr:cNvSpPr txBox="1"/>
      </xdr:nvSpPr>
      <xdr:spPr>
        <a:xfrm>
          <a:off x="31146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29" name="TextBox 28">
          <a:extLst>
            <a:ext uri="{FF2B5EF4-FFF2-40B4-BE49-F238E27FC236}">
              <a16:creationId xmlns:a16="http://schemas.microsoft.com/office/drawing/2014/main" id="{70A5729E-3A30-4589-8C01-007CD989B7B9}"/>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29</xdr:row>
      <xdr:rowOff>0</xdr:rowOff>
    </xdr:from>
    <xdr:ext cx="184731" cy="264560"/>
    <xdr:sp macro="" textlink="">
      <xdr:nvSpPr>
        <xdr:cNvPr id="30" name="TextBox 29">
          <a:extLst>
            <a:ext uri="{FF2B5EF4-FFF2-40B4-BE49-F238E27FC236}">
              <a16:creationId xmlns:a16="http://schemas.microsoft.com/office/drawing/2014/main" id="{5D96B1FF-465B-4A51-BA4E-60E615DC09B2}"/>
            </a:ext>
          </a:extLst>
        </xdr:cNvPr>
        <xdr:cNvSpPr txBox="1"/>
      </xdr:nvSpPr>
      <xdr:spPr>
        <a:xfrm>
          <a:off x="31146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22</xdr:row>
      <xdr:rowOff>0</xdr:rowOff>
    </xdr:from>
    <xdr:ext cx="184731" cy="264560"/>
    <xdr:sp macro="" textlink="">
      <xdr:nvSpPr>
        <xdr:cNvPr id="31" name="TextBox 30">
          <a:extLst>
            <a:ext uri="{FF2B5EF4-FFF2-40B4-BE49-F238E27FC236}">
              <a16:creationId xmlns:a16="http://schemas.microsoft.com/office/drawing/2014/main" id="{2E0FF240-3AE6-46EE-85F4-441F86CBEB81}"/>
            </a:ext>
          </a:extLst>
        </xdr:cNvPr>
        <xdr:cNvSpPr txBox="1"/>
      </xdr:nvSpPr>
      <xdr:spPr>
        <a:xfrm>
          <a:off x="4219575" y="1591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23</xdr:row>
      <xdr:rowOff>0</xdr:rowOff>
    </xdr:from>
    <xdr:ext cx="184731" cy="264560"/>
    <xdr:sp macro="" textlink="">
      <xdr:nvSpPr>
        <xdr:cNvPr id="32" name="TextBox 31">
          <a:extLst>
            <a:ext uri="{FF2B5EF4-FFF2-40B4-BE49-F238E27FC236}">
              <a16:creationId xmlns:a16="http://schemas.microsoft.com/office/drawing/2014/main" id="{051F9354-3E32-45CD-B291-DD6A3A9B7E3F}"/>
            </a:ext>
          </a:extLst>
        </xdr:cNvPr>
        <xdr:cNvSpPr txBox="1"/>
      </xdr:nvSpPr>
      <xdr:spPr>
        <a:xfrm>
          <a:off x="4219575" y="1607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24</xdr:row>
      <xdr:rowOff>0</xdr:rowOff>
    </xdr:from>
    <xdr:ext cx="184731" cy="303466"/>
    <xdr:sp macro="" textlink="">
      <xdr:nvSpPr>
        <xdr:cNvPr id="33" name="TextBox 32">
          <a:extLst>
            <a:ext uri="{FF2B5EF4-FFF2-40B4-BE49-F238E27FC236}">
              <a16:creationId xmlns:a16="http://schemas.microsoft.com/office/drawing/2014/main" id="{A564EC22-A9FB-4F7B-A5A4-E61A3B53CA28}"/>
            </a:ext>
          </a:extLst>
        </xdr:cNvPr>
        <xdr:cNvSpPr txBox="1"/>
      </xdr:nvSpPr>
      <xdr:spPr>
        <a:xfrm>
          <a:off x="4219575" y="162401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4" name="TextBox 33">
          <a:extLst>
            <a:ext uri="{FF2B5EF4-FFF2-40B4-BE49-F238E27FC236}">
              <a16:creationId xmlns:a16="http://schemas.microsoft.com/office/drawing/2014/main" id="{F833F359-1F8D-439E-8C3F-1C1450015A1D}"/>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25</xdr:row>
      <xdr:rowOff>0</xdr:rowOff>
    </xdr:from>
    <xdr:ext cx="184731" cy="264560"/>
    <xdr:sp macro="" textlink="">
      <xdr:nvSpPr>
        <xdr:cNvPr id="35" name="TextBox 34">
          <a:extLst>
            <a:ext uri="{FF2B5EF4-FFF2-40B4-BE49-F238E27FC236}">
              <a16:creationId xmlns:a16="http://schemas.microsoft.com/office/drawing/2014/main" id="{11245CB4-97BD-45F4-A99D-74C37F3B30B5}"/>
            </a:ext>
          </a:extLst>
        </xdr:cNvPr>
        <xdr:cNvSpPr txBox="1"/>
      </xdr:nvSpPr>
      <xdr:spPr>
        <a:xfrm>
          <a:off x="4219575" y="1640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6" name="TextBox 35">
          <a:extLst>
            <a:ext uri="{FF2B5EF4-FFF2-40B4-BE49-F238E27FC236}">
              <a16:creationId xmlns:a16="http://schemas.microsoft.com/office/drawing/2014/main" id="{DF7E3BEA-41BD-4784-A443-7BE6405D6AED}"/>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26</xdr:row>
      <xdr:rowOff>0</xdr:rowOff>
    </xdr:from>
    <xdr:ext cx="184731" cy="264560"/>
    <xdr:sp macro="" textlink="">
      <xdr:nvSpPr>
        <xdr:cNvPr id="37" name="TextBox 36">
          <a:extLst>
            <a:ext uri="{FF2B5EF4-FFF2-40B4-BE49-F238E27FC236}">
              <a16:creationId xmlns:a16="http://schemas.microsoft.com/office/drawing/2014/main" id="{276FED72-5F0B-4FC6-A87E-A8A431D24E15}"/>
            </a:ext>
          </a:extLst>
        </xdr:cNvPr>
        <xdr:cNvSpPr txBox="1"/>
      </xdr:nvSpPr>
      <xdr:spPr>
        <a:xfrm>
          <a:off x="4219575" y="1656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8" name="TextBox 37">
          <a:extLst>
            <a:ext uri="{FF2B5EF4-FFF2-40B4-BE49-F238E27FC236}">
              <a16:creationId xmlns:a16="http://schemas.microsoft.com/office/drawing/2014/main" id="{016037F6-B51D-44B9-A03C-323111C8B450}"/>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27</xdr:row>
      <xdr:rowOff>0</xdr:rowOff>
    </xdr:from>
    <xdr:ext cx="184731" cy="264560"/>
    <xdr:sp macro="" textlink="">
      <xdr:nvSpPr>
        <xdr:cNvPr id="39" name="TextBox 38">
          <a:extLst>
            <a:ext uri="{FF2B5EF4-FFF2-40B4-BE49-F238E27FC236}">
              <a16:creationId xmlns:a16="http://schemas.microsoft.com/office/drawing/2014/main" id="{F516CECD-8D32-47F3-83FE-13ED129B48B5}"/>
            </a:ext>
          </a:extLst>
        </xdr:cNvPr>
        <xdr:cNvSpPr txBox="1"/>
      </xdr:nvSpPr>
      <xdr:spPr>
        <a:xfrm>
          <a:off x="4219575" y="1672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0" name="TextBox 39">
          <a:extLst>
            <a:ext uri="{FF2B5EF4-FFF2-40B4-BE49-F238E27FC236}">
              <a16:creationId xmlns:a16="http://schemas.microsoft.com/office/drawing/2014/main" id="{4A29C97B-F1B4-4AE1-B2FD-0FF064A76099}"/>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28</xdr:row>
      <xdr:rowOff>0</xdr:rowOff>
    </xdr:from>
    <xdr:ext cx="184731" cy="264560"/>
    <xdr:sp macro="" textlink="">
      <xdr:nvSpPr>
        <xdr:cNvPr id="41" name="TextBox 40">
          <a:extLst>
            <a:ext uri="{FF2B5EF4-FFF2-40B4-BE49-F238E27FC236}">
              <a16:creationId xmlns:a16="http://schemas.microsoft.com/office/drawing/2014/main" id="{0AB1432A-7AB6-4416-9458-9C1EC68C538C}"/>
            </a:ext>
          </a:extLst>
        </xdr:cNvPr>
        <xdr:cNvSpPr txBox="1"/>
      </xdr:nvSpPr>
      <xdr:spPr>
        <a:xfrm>
          <a:off x="4219575" y="1688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2" name="TextBox 41">
          <a:extLst>
            <a:ext uri="{FF2B5EF4-FFF2-40B4-BE49-F238E27FC236}">
              <a16:creationId xmlns:a16="http://schemas.microsoft.com/office/drawing/2014/main" id="{61665FD6-E3F7-4573-A70D-DC416B34FB60}"/>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29</xdr:row>
      <xdr:rowOff>0</xdr:rowOff>
    </xdr:from>
    <xdr:ext cx="184731" cy="264560"/>
    <xdr:sp macro="" textlink="">
      <xdr:nvSpPr>
        <xdr:cNvPr id="43" name="TextBox 42">
          <a:extLst>
            <a:ext uri="{FF2B5EF4-FFF2-40B4-BE49-F238E27FC236}">
              <a16:creationId xmlns:a16="http://schemas.microsoft.com/office/drawing/2014/main" id="{A8B5BF9A-0150-4D62-9BA8-87EA678DB6A1}"/>
            </a:ext>
          </a:extLst>
        </xdr:cNvPr>
        <xdr:cNvSpPr txBox="1"/>
      </xdr:nvSpPr>
      <xdr:spPr>
        <a:xfrm>
          <a:off x="4219575" y="1704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22</xdr:row>
      <xdr:rowOff>0</xdr:rowOff>
    </xdr:from>
    <xdr:ext cx="192763" cy="264560"/>
    <xdr:sp macro="" textlink="">
      <xdr:nvSpPr>
        <xdr:cNvPr id="44" name="TextBox 43">
          <a:extLst>
            <a:ext uri="{FF2B5EF4-FFF2-40B4-BE49-F238E27FC236}">
              <a16:creationId xmlns:a16="http://schemas.microsoft.com/office/drawing/2014/main" id="{38218DBE-54F4-4402-8A5F-6633E2B2C4C5}"/>
            </a:ext>
          </a:extLst>
        </xdr:cNvPr>
        <xdr:cNvSpPr txBox="1"/>
      </xdr:nvSpPr>
      <xdr:spPr>
        <a:xfrm>
          <a:off x="31108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22</xdr:row>
      <xdr:rowOff>0</xdr:rowOff>
    </xdr:from>
    <xdr:ext cx="192763" cy="264560"/>
    <xdr:sp macro="" textlink="">
      <xdr:nvSpPr>
        <xdr:cNvPr id="45" name="TextBox 44">
          <a:extLst>
            <a:ext uri="{FF2B5EF4-FFF2-40B4-BE49-F238E27FC236}">
              <a16:creationId xmlns:a16="http://schemas.microsoft.com/office/drawing/2014/main" id="{F99D657B-996A-4583-9DEF-A5B62CC2C775}"/>
            </a:ext>
          </a:extLst>
        </xdr:cNvPr>
        <xdr:cNvSpPr txBox="1"/>
      </xdr:nvSpPr>
      <xdr:spPr>
        <a:xfrm>
          <a:off x="421576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22</xdr:row>
      <xdr:rowOff>0</xdr:rowOff>
    </xdr:from>
    <xdr:ext cx="192763" cy="264560"/>
    <xdr:sp macro="" textlink="">
      <xdr:nvSpPr>
        <xdr:cNvPr id="46" name="TextBox 45">
          <a:extLst>
            <a:ext uri="{FF2B5EF4-FFF2-40B4-BE49-F238E27FC236}">
              <a16:creationId xmlns:a16="http://schemas.microsoft.com/office/drawing/2014/main" id="{55CAEAF9-50A8-4BFB-8EDB-FB74541D48E4}"/>
            </a:ext>
          </a:extLst>
        </xdr:cNvPr>
        <xdr:cNvSpPr txBox="1"/>
      </xdr:nvSpPr>
      <xdr:spPr>
        <a:xfrm>
          <a:off x="5301615" y="159162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23</xdr:row>
      <xdr:rowOff>0</xdr:rowOff>
    </xdr:from>
    <xdr:ext cx="183125" cy="264560"/>
    <xdr:sp macro="" textlink="">
      <xdr:nvSpPr>
        <xdr:cNvPr id="47" name="TextBox 46">
          <a:extLst>
            <a:ext uri="{FF2B5EF4-FFF2-40B4-BE49-F238E27FC236}">
              <a16:creationId xmlns:a16="http://schemas.microsoft.com/office/drawing/2014/main" id="{C026B54C-8DE1-4B76-A6F4-01C8AE0EF78A}"/>
            </a:ext>
          </a:extLst>
        </xdr:cNvPr>
        <xdr:cNvSpPr txBox="1"/>
      </xdr:nvSpPr>
      <xdr:spPr>
        <a:xfrm>
          <a:off x="2691765" y="160782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23</xdr:row>
      <xdr:rowOff>0</xdr:rowOff>
    </xdr:from>
    <xdr:ext cx="184731" cy="271710"/>
    <xdr:sp macro="" textlink="">
      <xdr:nvSpPr>
        <xdr:cNvPr id="48" name="TextBox 47">
          <a:extLst>
            <a:ext uri="{FF2B5EF4-FFF2-40B4-BE49-F238E27FC236}">
              <a16:creationId xmlns:a16="http://schemas.microsoft.com/office/drawing/2014/main" id="{4D4A9803-6CC2-4678-B140-99B19E6BE20F}"/>
            </a:ext>
          </a:extLst>
        </xdr:cNvPr>
        <xdr:cNvSpPr txBox="1"/>
      </xdr:nvSpPr>
      <xdr:spPr>
        <a:xfrm>
          <a:off x="655320" y="160782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3139440</xdr:colOff>
      <xdr:row>96</xdr:row>
      <xdr:rowOff>0</xdr:rowOff>
    </xdr:from>
    <xdr:ext cx="192763" cy="264560"/>
    <xdr:sp macro="" textlink="">
      <xdr:nvSpPr>
        <xdr:cNvPr id="2" name="TextBox 1">
          <a:extLst>
            <a:ext uri="{FF2B5EF4-FFF2-40B4-BE49-F238E27FC236}">
              <a16:creationId xmlns:a16="http://schemas.microsoft.com/office/drawing/2014/main" id="{D23A4EC7-46D0-40F1-AE76-50D8FB91C98C}"/>
            </a:ext>
          </a:extLst>
        </xdr:cNvPr>
        <xdr:cNvSpPr txBox="1"/>
      </xdr:nvSpPr>
      <xdr:spPr>
        <a:xfrm>
          <a:off x="35013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97</xdr:row>
      <xdr:rowOff>0</xdr:rowOff>
    </xdr:from>
    <xdr:ext cx="192763" cy="264560"/>
    <xdr:sp macro="" textlink="">
      <xdr:nvSpPr>
        <xdr:cNvPr id="3" name="TextBox 2">
          <a:extLst>
            <a:ext uri="{FF2B5EF4-FFF2-40B4-BE49-F238E27FC236}">
              <a16:creationId xmlns:a16="http://schemas.microsoft.com/office/drawing/2014/main" id="{A26B6EFB-1AF6-47FB-B323-4945519E6D87}"/>
            </a:ext>
          </a:extLst>
        </xdr:cNvPr>
        <xdr:cNvSpPr txBox="1"/>
      </xdr:nvSpPr>
      <xdr:spPr>
        <a:xfrm>
          <a:off x="3501390" y="15059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98</xdr:row>
      <xdr:rowOff>0</xdr:rowOff>
    </xdr:from>
    <xdr:ext cx="192763" cy="303466"/>
    <xdr:sp macro="" textlink="">
      <xdr:nvSpPr>
        <xdr:cNvPr id="4" name="TextBox 3">
          <a:extLst>
            <a:ext uri="{FF2B5EF4-FFF2-40B4-BE49-F238E27FC236}">
              <a16:creationId xmlns:a16="http://schemas.microsoft.com/office/drawing/2014/main" id="{542499A2-5091-4534-BA30-FBBA20D6347B}"/>
            </a:ext>
          </a:extLst>
        </xdr:cNvPr>
        <xdr:cNvSpPr txBox="1"/>
      </xdr:nvSpPr>
      <xdr:spPr>
        <a:xfrm>
          <a:off x="3501390" y="152209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5" name="TextBox 4">
          <a:extLst>
            <a:ext uri="{FF2B5EF4-FFF2-40B4-BE49-F238E27FC236}">
              <a16:creationId xmlns:a16="http://schemas.microsoft.com/office/drawing/2014/main" id="{546543D8-B863-4D2E-90D3-0A19A4FB5AD5}"/>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99</xdr:row>
      <xdr:rowOff>0</xdr:rowOff>
    </xdr:from>
    <xdr:ext cx="192763" cy="264560"/>
    <xdr:sp macro="" textlink="">
      <xdr:nvSpPr>
        <xdr:cNvPr id="6" name="TextBox 5">
          <a:extLst>
            <a:ext uri="{FF2B5EF4-FFF2-40B4-BE49-F238E27FC236}">
              <a16:creationId xmlns:a16="http://schemas.microsoft.com/office/drawing/2014/main" id="{D541C612-7EB0-44CC-9340-CA21E92E1D9D}"/>
            </a:ext>
          </a:extLst>
        </xdr:cNvPr>
        <xdr:cNvSpPr txBox="1"/>
      </xdr:nvSpPr>
      <xdr:spPr>
        <a:xfrm>
          <a:off x="3501390" y="15382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7" name="TextBox 6">
          <a:extLst>
            <a:ext uri="{FF2B5EF4-FFF2-40B4-BE49-F238E27FC236}">
              <a16:creationId xmlns:a16="http://schemas.microsoft.com/office/drawing/2014/main" id="{45756AE7-3B19-44D1-A93D-E1FA45FB01FF}"/>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100</xdr:row>
      <xdr:rowOff>0</xdr:rowOff>
    </xdr:from>
    <xdr:ext cx="192763" cy="264560"/>
    <xdr:sp macro="" textlink="">
      <xdr:nvSpPr>
        <xdr:cNvPr id="8" name="TextBox 7">
          <a:extLst>
            <a:ext uri="{FF2B5EF4-FFF2-40B4-BE49-F238E27FC236}">
              <a16:creationId xmlns:a16="http://schemas.microsoft.com/office/drawing/2014/main" id="{E52B152F-9213-4152-A099-63E8FE4764F2}"/>
            </a:ext>
          </a:extLst>
        </xdr:cNvPr>
        <xdr:cNvSpPr txBox="1"/>
      </xdr:nvSpPr>
      <xdr:spPr>
        <a:xfrm>
          <a:off x="3501390" y="15544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9" name="TextBox 8">
          <a:extLst>
            <a:ext uri="{FF2B5EF4-FFF2-40B4-BE49-F238E27FC236}">
              <a16:creationId xmlns:a16="http://schemas.microsoft.com/office/drawing/2014/main" id="{9E444227-6206-43A0-8134-FCB3215165A9}"/>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101</xdr:row>
      <xdr:rowOff>0</xdr:rowOff>
    </xdr:from>
    <xdr:ext cx="192763" cy="264560"/>
    <xdr:sp macro="" textlink="">
      <xdr:nvSpPr>
        <xdr:cNvPr id="10" name="TextBox 9">
          <a:extLst>
            <a:ext uri="{FF2B5EF4-FFF2-40B4-BE49-F238E27FC236}">
              <a16:creationId xmlns:a16="http://schemas.microsoft.com/office/drawing/2014/main" id="{D68ECD10-7EC0-4153-9E96-E1F8F6D3D056}"/>
            </a:ext>
          </a:extLst>
        </xdr:cNvPr>
        <xdr:cNvSpPr txBox="1"/>
      </xdr:nvSpPr>
      <xdr:spPr>
        <a:xfrm>
          <a:off x="3501390" y="157067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1" name="TextBox 10">
          <a:extLst>
            <a:ext uri="{FF2B5EF4-FFF2-40B4-BE49-F238E27FC236}">
              <a16:creationId xmlns:a16="http://schemas.microsoft.com/office/drawing/2014/main" id="{96AC4529-158A-44A8-BEBB-4A6F0CF00FF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102</xdr:row>
      <xdr:rowOff>0</xdr:rowOff>
    </xdr:from>
    <xdr:ext cx="192763" cy="264560"/>
    <xdr:sp macro="" textlink="">
      <xdr:nvSpPr>
        <xdr:cNvPr id="12" name="TextBox 11">
          <a:extLst>
            <a:ext uri="{FF2B5EF4-FFF2-40B4-BE49-F238E27FC236}">
              <a16:creationId xmlns:a16="http://schemas.microsoft.com/office/drawing/2014/main" id="{EE79179B-55FF-4957-B723-F3B725C7C301}"/>
            </a:ext>
          </a:extLst>
        </xdr:cNvPr>
        <xdr:cNvSpPr txBox="1"/>
      </xdr:nvSpPr>
      <xdr:spPr>
        <a:xfrm>
          <a:off x="3501390" y="158686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3" name="TextBox 12">
          <a:extLst>
            <a:ext uri="{FF2B5EF4-FFF2-40B4-BE49-F238E27FC236}">
              <a16:creationId xmlns:a16="http://schemas.microsoft.com/office/drawing/2014/main" id="{B794E7C0-77FF-4B2B-BA90-A5F331E70943}"/>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103</xdr:row>
      <xdr:rowOff>0</xdr:rowOff>
    </xdr:from>
    <xdr:ext cx="192763" cy="264560"/>
    <xdr:sp macro="" textlink="">
      <xdr:nvSpPr>
        <xdr:cNvPr id="14" name="TextBox 13">
          <a:extLst>
            <a:ext uri="{FF2B5EF4-FFF2-40B4-BE49-F238E27FC236}">
              <a16:creationId xmlns:a16="http://schemas.microsoft.com/office/drawing/2014/main" id="{6843BBC6-3AA5-4796-A43A-9041307195B8}"/>
            </a:ext>
          </a:extLst>
        </xdr:cNvPr>
        <xdr:cNvSpPr txBox="1"/>
      </xdr:nvSpPr>
      <xdr:spPr>
        <a:xfrm>
          <a:off x="3501390" y="160305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96</xdr:row>
      <xdr:rowOff>0</xdr:rowOff>
    </xdr:from>
    <xdr:ext cx="184731" cy="264560"/>
    <xdr:sp macro="" textlink="">
      <xdr:nvSpPr>
        <xdr:cNvPr id="15" name="TextBox 14">
          <a:extLst>
            <a:ext uri="{FF2B5EF4-FFF2-40B4-BE49-F238E27FC236}">
              <a16:creationId xmlns:a16="http://schemas.microsoft.com/office/drawing/2014/main" id="{7CE3BC0E-EBD7-435B-A4F5-7F668A83EFAB}"/>
            </a:ext>
          </a:extLst>
        </xdr:cNvPr>
        <xdr:cNvSpPr txBox="1"/>
      </xdr:nvSpPr>
      <xdr:spPr>
        <a:xfrm>
          <a:off x="4533900"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97</xdr:row>
      <xdr:rowOff>0</xdr:rowOff>
    </xdr:from>
    <xdr:ext cx="184731" cy="264560"/>
    <xdr:sp macro="" textlink="">
      <xdr:nvSpPr>
        <xdr:cNvPr id="16" name="TextBox 15">
          <a:extLst>
            <a:ext uri="{FF2B5EF4-FFF2-40B4-BE49-F238E27FC236}">
              <a16:creationId xmlns:a16="http://schemas.microsoft.com/office/drawing/2014/main" id="{B3AE2ADF-1F4E-4A47-AFC0-827768636984}"/>
            </a:ext>
          </a:extLst>
        </xdr:cNvPr>
        <xdr:cNvSpPr txBox="1"/>
      </xdr:nvSpPr>
      <xdr:spPr>
        <a:xfrm>
          <a:off x="4533900"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98</xdr:row>
      <xdr:rowOff>0</xdr:rowOff>
    </xdr:from>
    <xdr:ext cx="184731" cy="303466"/>
    <xdr:sp macro="" textlink="">
      <xdr:nvSpPr>
        <xdr:cNvPr id="17" name="TextBox 16">
          <a:extLst>
            <a:ext uri="{FF2B5EF4-FFF2-40B4-BE49-F238E27FC236}">
              <a16:creationId xmlns:a16="http://schemas.microsoft.com/office/drawing/2014/main" id="{14A34A9B-3498-491E-A03A-55896F112362}"/>
            </a:ext>
          </a:extLst>
        </xdr:cNvPr>
        <xdr:cNvSpPr txBox="1"/>
      </xdr:nvSpPr>
      <xdr:spPr>
        <a:xfrm>
          <a:off x="4533900"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8" name="TextBox 17">
          <a:extLst>
            <a:ext uri="{FF2B5EF4-FFF2-40B4-BE49-F238E27FC236}">
              <a16:creationId xmlns:a16="http://schemas.microsoft.com/office/drawing/2014/main" id="{2A6EF077-BD71-4B63-9C8B-4463055AE4B0}"/>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99</xdr:row>
      <xdr:rowOff>0</xdr:rowOff>
    </xdr:from>
    <xdr:ext cx="184731" cy="264560"/>
    <xdr:sp macro="" textlink="">
      <xdr:nvSpPr>
        <xdr:cNvPr id="19" name="TextBox 18">
          <a:extLst>
            <a:ext uri="{FF2B5EF4-FFF2-40B4-BE49-F238E27FC236}">
              <a16:creationId xmlns:a16="http://schemas.microsoft.com/office/drawing/2014/main" id="{BBAAA128-5BCD-480C-AB2A-2A8797A7BF4A}"/>
            </a:ext>
          </a:extLst>
        </xdr:cNvPr>
        <xdr:cNvSpPr txBox="1"/>
      </xdr:nvSpPr>
      <xdr:spPr>
        <a:xfrm>
          <a:off x="4533900"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0" name="TextBox 19">
          <a:extLst>
            <a:ext uri="{FF2B5EF4-FFF2-40B4-BE49-F238E27FC236}">
              <a16:creationId xmlns:a16="http://schemas.microsoft.com/office/drawing/2014/main" id="{331C00E4-D4BD-49E1-9BD3-E36BF147F7EB}"/>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100</xdr:row>
      <xdr:rowOff>0</xdr:rowOff>
    </xdr:from>
    <xdr:ext cx="184731" cy="264560"/>
    <xdr:sp macro="" textlink="">
      <xdr:nvSpPr>
        <xdr:cNvPr id="21" name="TextBox 20">
          <a:extLst>
            <a:ext uri="{FF2B5EF4-FFF2-40B4-BE49-F238E27FC236}">
              <a16:creationId xmlns:a16="http://schemas.microsoft.com/office/drawing/2014/main" id="{10174BC1-331A-4DBF-ADCA-2C7B33CA6133}"/>
            </a:ext>
          </a:extLst>
        </xdr:cNvPr>
        <xdr:cNvSpPr txBox="1"/>
      </xdr:nvSpPr>
      <xdr:spPr>
        <a:xfrm>
          <a:off x="4533900"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2" name="TextBox 21">
          <a:extLst>
            <a:ext uri="{FF2B5EF4-FFF2-40B4-BE49-F238E27FC236}">
              <a16:creationId xmlns:a16="http://schemas.microsoft.com/office/drawing/2014/main" id="{6D68D1C5-7146-4E1D-8F9D-DC9C5C2B30A4}"/>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101</xdr:row>
      <xdr:rowOff>0</xdr:rowOff>
    </xdr:from>
    <xdr:ext cx="184731" cy="264560"/>
    <xdr:sp macro="" textlink="">
      <xdr:nvSpPr>
        <xdr:cNvPr id="23" name="TextBox 22">
          <a:extLst>
            <a:ext uri="{FF2B5EF4-FFF2-40B4-BE49-F238E27FC236}">
              <a16:creationId xmlns:a16="http://schemas.microsoft.com/office/drawing/2014/main" id="{84BB7C14-A385-4D13-9819-4C03592488FD}"/>
            </a:ext>
          </a:extLst>
        </xdr:cNvPr>
        <xdr:cNvSpPr txBox="1"/>
      </xdr:nvSpPr>
      <xdr:spPr>
        <a:xfrm>
          <a:off x="4533900"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4" name="TextBox 23">
          <a:extLst>
            <a:ext uri="{FF2B5EF4-FFF2-40B4-BE49-F238E27FC236}">
              <a16:creationId xmlns:a16="http://schemas.microsoft.com/office/drawing/2014/main" id="{58B4A060-DE81-4A41-9301-EA92E5D78344}"/>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102</xdr:row>
      <xdr:rowOff>0</xdr:rowOff>
    </xdr:from>
    <xdr:ext cx="184731" cy="264560"/>
    <xdr:sp macro="" textlink="">
      <xdr:nvSpPr>
        <xdr:cNvPr id="25" name="TextBox 24">
          <a:extLst>
            <a:ext uri="{FF2B5EF4-FFF2-40B4-BE49-F238E27FC236}">
              <a16:creationId xmlns:a16="http://schemas.microsoft.com/office/drawing/2014/main" id="{C90A13DA-A29C-4E24-A75C-7143E2A315FF}"/>
            </a:ext>
          </a:extLst>
        </xdr:cNvPr>
        <xdr:cNvSpPr txBox="1"/>
      </xdr:nvSpPr>
      <xdr:spPr>
        <a:xfrm>
          <a:off x="4533900"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6" name="TextBox 25">
          <a:extLst>
            <a:ext uri="{FF2B5EF4-FFF2-40B4-BE49-F238E27FC236}">
              <a16:creationId xmlns:a16="http://schemas.microsoft.com/office/drawing/2014/main" id="{71F5CDC9-1E90-4F17-80E4-72192F2E6754}"/>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103</xdr:row>
      <xdr:rowOff>0</xdr:rowOff>
    </xdr:from>
    <xdr:ext cx="184731" cy="264560"/>
    <xdr:sp macro="" textlink="">
      <xdr:nvSpPr>
        <xdr:cNvPr id="27" name="TextBox 26">
          <a:extLst>
            <a:ext uri="{FF2B5EF4-FFF2-40B4-BE49-F238E27FC236}">
              <a16:creationId xmlns:a16="http://schemas.microsoft.com/office/drawing/2014/main" id="{251FF9FC-0FB9-496F-A29D-49DA76EEF8DA}"/>
            </a:ext>
          </a:extLst>
        </xdr:cNvPr>
        <xdr:cNvSpPr txBox="1"/>
      </xdr:nvSpPr>
      <xdr:spPr>
        <a:xfrm>
          <a:off x="4533900"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96</xdr:row>
      <xdr:rowOff>0</xdr:rowOff>
    </xdr:from>
    <xdr:ext cx="184731" cy="264560"/>
    <xdr:sp macro="" textlink="">
      <xdr:nvSpPr>
        <xdr:cNvPr id="28" name="TextBox 27">
          <a:extLst>
            <a:ext uri="{FF2B5EF4-FFF2-40B4-BE49-F238E27FC236}">
              <a16:creationId xmlns:a16="http://schemas.microsoft.com/office/drawing/2014/main" id="{A569FA07-8CE7-402F-801F-1D77A1040326}"/>
            </a:ext>
          </a:extLst>
        </xdr:cNvPr>
        <xdr:cNvSpPr txBox="1"/>
      </xdr:nvSpPr>
      <xdr:spPr>
        <a:xfrm>
          <a:off x="6505575" y="1489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97</xdr:row>
      <xdr:rowOff>0</xdr:rowOff>
    </xdr:from>
    <xdr:ext cx="184731" cy="264560"/>
    <xdr:sp macro="" textlink="">
      <xdr:nvSpPr>
        <xdr:cNvPr id="29" name="TextBox 28">
          <a:extLst>
            <a:ext uri="{FF2B5EF4-FFF2-40B4-BE49-F238E27FC236}">
              <a16:creationId xmlns:a16="http://schemas.microsoft.com/office/drawing/2014/main" id="{D60802FF-46A0-4734-B4D8-2485FDFEB11E}"/>
            </a:ext>
          </a:extLst>
        </xdr:cNvPr>
        <xdr:cNvSpPr txBox="1"/>
      </xdr:nvSpPr>
      <xdr:spPr>
        <a:xfrm>
          <a:off x="6505575" y="1505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98</xdr:row>
      <xdr:rowOff>0</xdr:rowOff>
    </xdr:from>
    <xdr:ext cx="184731" cy="303466"/>
    <xdr:sp macro="" textlink="">
      <xdr:nvSpPr>
        <xdr:cNvPr id="30" name="TextBox 29">
          <a:extLst>
            <a:ext uri="{FF2B5EF4-FFF2-40B4-BE49-F238E27FC236}">
              <a16:creationId xmlns:a16="http://schemas.microsoft.com/office/drawing/2014/main" id="{252FABAE-C709-4522-9022-C0CA18B75BFA}"/>
            </a:ext>
          </a:extLst>
        </xdr:cNvPr>
        <xdr:cNvSpPr txBox="1"/>
      </xdr:nvSpPr>
      <xdr:spPr>
        <a:xfrm>
          <a:off x="6505575" y="152209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1" name="TextBox 30">
          <a:extLst>
            <a:ext uri="{FF2B5EF4-FFF2-40B4-BE49-F238E27FC236}">
              <a16:creationId xmlns:a16="http://schemas.microsoft.com/office/drawing/2014/main" id="{0FDF99C3-660F-4685-8415-F6A8342C72A3}"/>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99</xdr:row>
      <xdr:rowOff>0</xdr:rowOff>
    </xdr:from>
    <xdr:ext cx="184731" cy="264560"/>
    <xdr:sp macro="" textlink="">
      <xdr:nvSpPr>
        <xdr:cNvPr id="32" name="TextBox 31">
          <a:extLst>
            <a:ext uri="{FF2B5EF4-FFF2-40B4-BE49-F238E27FC236}">
              <a16:creationId xmlns:a16="http://schemas.microsoft.com/office/drawing/2014/main" id="{376F9A62-65FF-461D-A6AF-E3CDF27C8314}"/>
            </a:ext>
          </a:extLst>
        </xdr:cNvPr>
        <xdr:cNvSpPr txBox="1"/>
      </xdr:nvSpPr>
      <xdr:spPr>
        <a:xfrm>
          <a:off x="6505575" y="1538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3" name="TextBox 32">
          <a:extLst>
            <a:ext uri="{FF2B5EF4-FFF2-40B4-BE49-F238E27FC236}">
              <a16:creationId xmlns:a16="http://schemas.microsoft.com/office/drawing/2014/main" id="{2F33A930-F08C-49F9-B6A0-D8064BAF9B1F}"/>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100</xdr:row>
      <xdr:rowOff>0</xdr:rowOff>
    </xdr:from>
    <xdr:ext cx="184731" cy="264560"/>
    <xdr:sp macro="" textlink="">
      <xdr:nvSpPr>
        <xdr:cNvPr id="34" name="TextBox 33">
          <a:extLst>
            <a:ext uri="{FF2B5EF4-FFF2-40B4-BE49-F238E27FC236}">
              <a16:creationId xmlns:a16="http://schemas.microsoft.com/office/drawing/2014/main" id="{C6DFC6C8-E63C-4D7F-A4CB-6B749071EE5C}"/>
            </a:ext>
          </a:extLst>
        </xdr:cNvPr>
        <xdr:cNvSpPr txBox="1"/>
      </xdr:nvSpPr>
      <xdr:spPr>
        <a:xfrm>
          <a:off x="6505575" y="1554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5" name="TextBox 34">
          <a:extLst>
            <a:ext uri="{FF2B5EF4-FFF2-40B4-BE49-F238E27FC236}">
              <a16:creationId xmlns:a16="http://schemas.microsoft.com/office/drawing/2014/main" id="{F1130D78-B90B-4EE8-BCE6-D2BA5C27BE49}"/>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101</xdr:row>
      <xdr:rowOff>0</xdr:rowOff>
    </xdr:from>
    <xdr:ext cx="184731" cy="264560"/>
    <xdr:sp macro="" textlink="">
      <xdr:nvSpPr>
        <xdr:cNvPr id="36" name="TextBox 35">
          <a:extLst>
            <a:ext uri="{FF2B5EF4-FFF2-40B4-BE49-F238E27FC236}">
              <a16:creationId xmlns:a16="http://schemas.microsoft.com/office/drawing/2014/main" id="{4353D815-4E2E-48F2-88F7-4A4F34BCB7C7}"/>
            </a:ext>
          </a:extLst>
        </xdr:cNvPr>
        <xdr:cNvSpPr txBox="1"/>
      </xdr:nvSpPr>
      <xdr:spPr>
        <a:xfrm>
          <a:off x="6505575" y="1570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7" name="TextBox 36">
          <a:extLst>
            <a:ext uri="{FF2B5EF4-FFF2-40B4-BE49-F238E27FC236}">
              <a16:creationId xmlns:a16="http://schemas.microsoft.com/office/drawing/2014/main" id="{50AFC7FA-A1F5-49C1-84D6-78FEF64BD281}"/>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102</xdr:row>
      <xdr:rowOff>0</xdr:rowOff>
    </xdr:from>
    <xdr:ext cx="184731" cy="264560"/>
    <xdr:sp macro="" textlink="">
      <xdr:nvSpPr>
        <xdr:cNvPr id="38" name="TextBox 37">
          <a:extLst>
            <a:ext uri="{FF2B5EF4-FFF2-40B4-BE49-F238E27FC236}">
              <a16:creationId xmlns:a16="http://schemas.microsoft.com/office/drawing/2014/main" id="{760BAF8D-3F48-40CD-B597-3553DD2FFE4E}"/>
            </a:ext>
          </a:extLst>
        </xdr:cNvPr>
        <xdr:cNvSpPr txBox="1"/>
      </xdr:nvSpPr>
      <xdr:spPr>
        <a:xfrm>
          <a:off x="6505575" y="1586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39" name="TextBox 38">
          <a:extLst>
            <a:ext uri="{FF2B5EF4-FFF2-40B4-BE49-F238E27FC236}">
              <a16:creationId xmlns:a16="http://schemas.microsoft.com/office/drawing/2014/main" id="{69E64C13-A8EA-4DAB-B32B-23326552C9C7}"/>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103</xdr:row>
      <xdr:rowOff>0</xdr:rowOff>
    </xdr:from>
    <xdr:ext cx="184731" cy="264560"/>
    <xdr:sp macro="" textlink="">
      <xdr:nvSpPr>
        <xdr:cNvPr id="40" name="TextBox 39">
          <a:extLst>
            <a:ext uri="{FF2B5EF4-FFF2-40B4-BE49-F238E27FC236}">
              <a16:creationId xmlns:a16="http://schemas.microsoft.com/office/drawing/2014/main" id="{CF4D990A-1D10-4D74-97B3-638BEBDF6176}"/>
            </a:ext>
          </a:extLst>
        </xdr:cNvPr>
        <xdr:cNvSpPr txBox="1"/>
      </xdr:nvSpPr>
      <xdr:spPr>
        <a:xfrm>
          <a:off x="6505575" y="1603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96</xdr:row>
      <xdr:rowOff>0</xdr:rowOff>
    </xdr:from>
    <xdr:ext cx="192763" cy="264560"/>
    <xdr:sp macro="" textlink="">
      <xdr:nvSpPr>
        <xdr:cNvPr id="41" name="TextBox 40">
          <a:extLst>
            <a:ext uri="{FF2B5EF4-FFF2-40B4-BE49-F238E27FC236}">
              <a16:creationId xmlns:a16="http://schemas.microsoft.com/office/drawing/2014/main" id="{3DE14FA8-AA56-472B-8ED4-C77FC657AE29}"/>
            </a:ext>
          </a:extLst>
        </xdr:cNvPr>
        <xdr:cNvSpPr txBox="1"/>
      </xdr:nvSpPr>
      <xdr:spPr>
        <a:xfrm>
          <a:off x="4530090"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96</xdr:row>
      <xdr:rowOff>0</xdr:rowOff>
    </xdr:from>
    <xdr:ext cx="192763" cy="264560"/>
    <xdr:sp macro="" textlink="">
      <xdr:nvSpPr>
        <xdr:cNvPr id="42" name="TextBox 41">
          <a:extLst>
            <a:ext uri="{FF2B5EF4-FFF2-40B4-BE49-F238E27FC236}">
              <a16:creationId xmlns:a16="http://schemas.microsoft.com/office/drawing/2014/main" id="{CE7A2747-0E32-45B3-B876-828606E880CF}"/>
            </a:ext>
          </a:extLst>
        </xdr:cNvPr>
        <xdr:cNvSpPr txBox="1"/>
      </xdr:nvSpPr>
      <xdr:spPr>
        <a:xfrm>
          <a:off x="65017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96</xdr:row>
      <xdr:rowOff>0</xdr:rowOff>
    </xdr:from>
    <xdr:ext cx="192763" cy="264560"/>
    <xdr:sp macro="" textlink="">
      <xdr:nvSpPr>
        <xdr:cNvPr id="43" name="TextBox 42">
          <a:extLst>
            <a:ext uri="{FF2B5EF4-FFF2-40B4-BE49-F238E27FC236}">
              <a16:creationId xmlns:a16="http://schemas.microsoft.com/office/drawing/2014/main" id="{47A5F9E1-3DB8-404E-AB57-B6477EB1EBB6}"/>
            </a:ext>
          </a:extLst>
        </xdr:cNvPr>
        <xdr:cNvSpPr txBox="1"/>
      </xdr:nvSpPr>
      <xdr:spPr>
        <a:xfrm>
          <a:off x="7682865" y="14897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97</xdr:row>
      <xdr:rowOff>0</xdr:rowOff>
    </xdr:from>
    <xdr:ext cx="183125" cy="264560"/>
    <xdr:sp macro="" textlink="">
      <xdr:nvSpPr>
        <xdr:cNvPr id="44" name="TextBox 43">
          <a:extLst>
            <a:ext uri="{FF2B5EF4-FFF2-40B4-BE49-F238E27FC236}">
              <a16:creationId xmlns:a16="http://schemas.microsoft.com/office/drawing/2014/main" id="{FD97665B-5EA4-4261-8B71-1EE3A6903925}"/>
            </a:ext>
          </a:extLst>
        </xdr:cNvPr>
        <xdr:cNvSpPr txBox="1"/>
      </xdr:nvSpPr>
      <xdr:spPr>
        <a:xfrm>
          <a:off x="3510915" y="150590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97</xdr:row>
      <xdr:rowOff>0</xdr:rowOff>
    </xdr:from>
    <xdr:ext cx="184731" cy="271710"/>
    <xdr:sp macro="" textlink="">
      <xdr:nvSpPr>
        <xdr:cNvPr id="45" name="TextBox 44">
          <a:extLst>
            <a:ext uri="{FF2B5EF4-FFF2-40B4-BE49-F238E27FC236}">
              <a16:creationId xmlns:a16="http://schemas.microsoft.com/office/drawing/2014/main" id="{DDAA62EF-9D33-4624-81CA-8B58ADE6C1BC}"/>
            </a:ext>
          </a:extLst>
        </xdr:cNvPr>
        <xdr:cNvSpPr txBox="1"/>
      </xdr:nvSpPr>
      <xdr:spPr>
        <a:xfrm>
          <a:off x="693420" y="150590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3139440</xdr:colOff>
      <xdr:row>69</xdr:row>
      <xdr:rowOff>0</xdr:rowOff>
    </xdr:from>
    <xdr:ext cx="192763" cy="264560"/>
    <xdr:sp macro="" textlink="">
      <xdr:nvSpPr>
        <xdr:cNvPr id="2" name="TextBox 1">
          <a:extLst>
            <a:ext uri="{FF2B5EF4-FFF2-40B4-BE49-F238E27FC236}">
              <a16:creationId xmlns:a16="http://schemas.microsoft.com/office/drawing/2014/main" id="{C097A5FC-E91A-4F10-8885-9C7B301A874D}"/>
            </a:ext>
          </a:extLst>
        </xdr:cNvPr>
        <xdr:cNvSpPr txBox="1"/>
      </xdr:nvSpPr>
      <xdr:spPr>
        <a:xfrm>
          <a:off x="34632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3" name="TextBox 2">
          <a:extLst>
            <a:ext uri="{FF2B5EF4-FFF2-40B4-BE49-F238E27FC236}">
              <a16:creationId xmlns:a16="http://schemas.microsoft.com/office/drawing/2014/main" id="{7E0A1F33-157C-46A3-B77F-461A0C503EDC}"/>
            </a:ext>
          </a:extLst>
        </xdr:cNvPr>
        <xdr:cNvSpPr txBox="1"/>
      </xdr:nvSpPr>
      <xdr:spPr>
        <a:xfrm>
          <a:off x="3463290" y="124682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71</xdr:row>
      <xdr:rowOff>0</xdr:rowOff>
    </xdr:from>
    <xdr:ext cx="192763" cy="303466"/>
    <xdr:sp macro="" textlink="">
      <xdr:nvSpPr>
        <xdr:cNvPr id="4" name="TextBox 3">
          <a:extLst>
            <a:ext uri="{FF2B5EF4-FFF2-40B4-BE49-F238E27FC236}">
              <a16:creationId xmlns:a16="http://schemas.microsoft.com/office/drawing/2014/main" id="{4287AA93-465B-45F6-A63E-48CF4B269C80}"/>
            </a:ext>
          </a:extLst>
        </xdr:cNvPr>
        <xdr:cNvSpPr txBox="1"/>
      </xdr:nvSpPr>
      <xdr:spPr>
        <a:xfrm>
          <a:off x="3463290" y="126301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5" name="TextBox 4">
          <a:extLst>
            <a:ext uri="{FF2B5EF4-FFF2-40B4-BE49-F238E27FC236}">
              <a16:creationId xmlns:a16="http://schemas.microsoft.com/office/drawing/2014/main" id="{42DA560B-2DD6-4793-9BAE-474866138F5C}"/>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72</xdr:row>
      <xdr:rowOff>0</xdr:rowOff>
    </xdr:from>
    <xdr:ext cx="192763" cy="264560"/>
    <xdr:sp macro="" textlink="">
      <xdr:nvSpPr>
        <xdr:cNvPr id="6" name="TextBox 5">
          <a:extLst>
            <a:ext uri="{FF2B5EF4-FFF2-40B4-BE49-F238E27FC236}">
              <a16:creationId xmlns:a16="http://schemas.microsoft.com/office/drawing/2014/main" id="{1BE60AA9-9FE8-4566-A6CF-444E1FEC43CF}"/>
            </a:ext>
          </a:extLst>
        </xdr:cNvPr>
        <xdr:cNvSpPr txBox="1"/>
      </xdr:nvSpPr>
      <xdr:spPr>
        <a:xfrm>
          <a:off x="3463290" y="127920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7" name="TextBox 6">
          <a:extLst>
            <a:ext uri="{FF2B5EF4-FFF2-40B4-BE49-F238E27FC236}">
              <a16:creationId xmlns:a16="http://schemas.microsoft.com/office/drawing/2014/main" id="{7AFB9D1F-7634-445D-8EDE-E7747649EE6A}"/>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73</xdr:row>
      <xdr:rowOff>0</xdr:rowOff>
    </xdr:from>
    <xdr:ext cx="192763" cy="264560"/>
    <xdr:sp macro="" textlink="">
      <xdr:nvSpPr>
        <xdr:cNvPr id="8" name="TextBox 7">
          <a:extLst>
            <a:ext uri="{FF2B5EF4-FFF2-40B4-BE49-F238E27FC236}">
              <a16:creationId xmlns:a16="http://schemas.microsoft.com/office/drawing/2014/main" id="{5ECDD6CE-9C85-4196-A1D8-F66932BCDA42}"/>
            </a:ext>
          </a:extLst>
        </xdr:cNvPr>
        <xdr:cNvSpPr txBox="1"/>
      </xdr:nvSpPr>
      <xdr:spPr>
        <a:xfrm>
          <a:off x="3463290" y="129540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9" name="TextBox 8">
          <a:extLst>
            <a:ext uri="{FF2B5EF4-FFF2-40B4-BE49-F238E27FC236}">
              <a16:creationId xmlns:a16="http://schemas.microsoft.com/office/drawing/2014/main" id="{3DB572B1-8725-4F08-9A2B-F6861B0FE4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74</xdr:row>
      <xdr:rowOff>0</xdr:rowOff>
    </xdr:from>
    <xdr:ext cx="192763" cy="264560"/>
    <xdr:sp macro="" textlink="">
      <xdr:nvSpPr>
        <xdr:cNvPr id="10" name="TextBox 9">
          <a:extLst>
            <a:ext uri="{FF2B5EF4-FFF2-40B4-BE49-F238E27FC236}">
              <a16:creationId xmlns:a16="http://schemas.microsoft.com/office/drawing/2014/main" id="{E0A122EC-B59B-4F6D-B424-F2069C3DC9D3}"/>
            </a:ext>
          </a:extLst>
        </xdr:cNvPr>
        <xdr:cNvSpPr txBox="1"/>
      </xdr:nvSpPr>
      <xdr:spPr>
        <a:xfrm>
          <a:off x="3463290" y="131159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1" name="TextBox 10">
          <a:extLst>
            <a:ext uri="{FF2B5EF4-FFF2-40B4-BE49-F238E27FC236}">
              <a16:creationId xmlns:a16="http://schemas.microsoft.com/office/drawing/2014/main" id="{C077AD75-20A7-4B6C-8C17-F64436A40D34}"/>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75</xdr:row>
      <xdr:rowOff>0</xdr:rowOff>
    </xdr:from>
    <xdr:ext cx="192763" cy="264560"/>
    <xdr:sp macro="" textlink="">
      <xdr:nvSpPr>
        <xdr:cNvPr id="12" name="TextBox 11">
          <a:extLst>
            <a:ext uri="{FF2B5EF4-FFF2-40B4-BE49-F238E27FC236}">
              <a16:creationId xmlns:a16="http://schemas.microsoft.com/office/drawing/2014/main" id="{9BAE97FC-EAB8-4B82-BA98-B2C3192A1712}"/>
            </a:ext>
          </a:extLst>
        </xdr:cNvPr>
        <xdr:cNvSpPr txBox="1"/>
      </xdr:nvSpPr>
      <xdr:spPr>
        <a:xfrm>
          <a:off x="3463290" y="13277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3" name="TextBox 12">
          <a:extLst>
            <a:ext uri="{FF2B5EF4-FFF2-40B4-BE49-F238E27FC236}">
              <a16:creationId xmlns:a16="http://schemas.microsoft.com/office/drawing/2014/main" id="{8028F99B-FF2C-4542-997D-2B3DCF6C3301}"/>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76</xdr:row>
      <xdr:rowOff>0</xdr:rowOff>
    </xdr:from>
    <xdr:ext cx="192763" cy="264560"/>
    <xdr:sp macro="" textlink="">
      <xdr:nvSpPr>
        <xdr:cNvPr id="14" name="TextBox 13">
          <a:extLst>
            <a:ext uri="{FF2B5EF4-FFF2-40B4-BE49-F238E27FC236}">
              <a16:creationId xmlns:a16="http://schemas.microsoft.com/office/drawing/2014/main" id="{7DA9309C-40FD-4BB7-AAD3-AD9C7C64538B}"/>
            </a:ext>
          </a:extLst>
        </xdr:cNvPr>
        <xdr:cNvSpPr txBox="1"/>
      </xdr:nvSpPr>
      <xdr:spPr>
        <a:xfrm>
          <a:off x="3463290" y="13439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15" name="TextBox 14">
          <a:extLst>
            <a:ext uri="{FF2B5EF4-FFF2-40B4-BE49-F238E27FC236}">
              <a16:creationId xmlns:a16="http://schemas.microsoft.com/office/drawing/2014/main" id="{9DC142B7-4273-4E59-A346-DC8134223A05}"/>
            </a:ext>
          </a:extLst>
        </xdr:cNvPr>
        <xdr:cNvSpPr txBox="1"/>
      </xdr:nvSpPr>
      <xdr:spPr>
        <a:xfrm>
          <a:off x="518160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16" name="TextBox 15">
          <a:extLst>
            <a:ext uri="{FF2B5EF4-FFF2-40B4-BE49-F238E27FC236}">
              <a16:creationId xmlns:a16="http://schemas.microsoft.com/office/drawing/2014/main" id="{18E33990-4B50-4B6B-8825-15FAB2E9D80D}"/>
            </a:ext>
          </a:extLst>
        </xdr:cNvPr>
        <xdr:cNvSpPr txBox="1"/>
      </xdr:nvSpPr>
      <xdr:spPr>
        <a:xfrm>
          <a:off x="518160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71</xdr:row>
      <xdr:rowOff>0</xdr:rowOff>
    </xdr:from>
    <xdr:ext cx="184731" cy="303466"/>
    <xdr:sp macro="" textlink="">
      <xdr:nvSpPr>
        <xdr:cNvPr id="17" name="TextBox 16">
          <a:extLst>
            <a:ext uri="{FF2B5EF4-FFF2-40B4-BE49-F238E27FC236}">
              <a16:creationId xmlns:a16="http://schemas.microsoft.com/office/drawing/2014/main" id="{56E0BE05-6703-4CD5-9BFC-89B79B5994F7}"/>
            </a:ext>
          </a:extLst>
        </xdr:cNvPr>
        <xdr:cNvSpPr txBox="1"/>
      </xdr:nvSpPr>
      <xdr:spPr>
        <a:xfrm>
          <a:off x="518160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8" name="TextBox 17">
          <a:extLst>
            <a:ext uri="{FF2B5EF4-FFF2-40B4-BE49-F238E27FC236}">
              <a16:creationId xmlns:a16="http://schemas.microsoft.com/office/drawing/2014/main" id="{E88259C2-CA02-4EA0-A4C3-8B18CBA48501}"/>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72</xdr:row>
      <xdr:rowOff>0</xdr:rowOff>
    </xdr:from>
    <xdr:ext cx="184731" cy="264560"/>
    <xdr:sp macro="" textlink="">
      <xdr:nvSpPr>
        <xdr:cNvPr id="19" name="TextBox 18">
          <a:extLst>
            <a:ext uri="{FF2B5EF4-FFF2-40B4-BE49-F238E27FC236}">
              <a16:creationId xmlns:a16="http://schemas.microsoft.com/office/drawing/2014/main" id="{66F6D9BE-4E36-4D1A-AC9C-CE304C040C8D}"/>
            </a:ext>
          </a:extLst>
        </xdr:cNvPr>
        <xdr:cNvSpPr txBox="1"/>
      </xdr:nvSpPr>
      <xdr:spPr>
        <a:xfrm>
          <a:off x="518160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0" name="TextBox 19">
          <a:extLst>
            <a:ext uri="{FF2B5EF4-FFF2-40B4-BE49-F238E27FC236}">
              <a16:creationId xmlns:a16="http://schemas.microsoft.com/office/drawing/2014/main" id="{BB72221F-63B4-455D-8D46-0B1DB98A375A}"/>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73</xdr:row>
      <xdr:rowOff>0</xdr:rowOff>
    </xdr:from>
    <xdr:ext cx="184731" cy="264560"/>
    <xdr:sp macro="" textlink="">
      <xdr:nvSpPr>
        <xdr:cNvPr id="21" name="TextBox 20">
          <a:extLst>
            <a:ext uri="{FF2B5EF4-FFF2-40B4-BE49-F238E27FC236}">
              <a16:creationId xmlns:a16="http://schemas.microsoft.com/office/drawing/2014/main" id="{81572F86-E073-43CF-A24C-20B6C3125CF4}"/>
            </a:ext>
          </a:extLst>
        </xdr:cNvPr>
        <xdr:cNvSpPr txBox="1"/>
      </xdr:nvSpPr>
      <xdr:spPr>
        <a:xfrm>
          <a:off x="518160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2" name="TextBox 21">
          <a:extLst>
            <a:ext uri="{FF2B5EF4-FFF2-40B4-BE49-F238E27FC236}">
              <a16:creationId xmlns:a16="http://schemas.microsoft.com/office/drawing/2014/main" id="{93D19A07-0407-4C2C-8CF7-142D51957B35}"/>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74</xdr:row>
      <xdr:rowOff>0</xdr:rowOff>
    </xdr:from>
    <xdr:ext cx="184731" cy="264560"/>
    <xdr:sp macro="" textlink="">
      <xdr:nvSpPr>
        <xdr:cNvPr id="23" name="TextBox 22">
          <a:extLst>
            <a:ext uri="{FF2B5EF4-FFF2-40B4-BE49-F238E27FC236}">
              <a16:creationId xmlns:a16="http://schemas.microsoft.com/office/drawing/2014/main" id="{8ED479DE-F8B7-41E5-AE47-FE63867BF952}"/>
            </a:ext>
          </a:extLst>
        </xdr:cNvPr>
        <xdr:cNvSpPr txBox="1"/>
      </xdr:nvSpPr>
      <xdr:spPr>
        <a:xfrm>
          <a:off x="518160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4" name="TextBox 23">
          <a:extLst>
            <a:ext uri="{FF2B5EF4-FFF2-40B4-BE49-F238E27FC236}">
              <a16:creationId xmlns:a16="http://schemas.microsoft.com/office/drawing/2014/main" id="{EA482F38-9453-4D29-A022-5BD8BC050D64}"/>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75</xdr:row>
      <xdr:rowOff>0</xdr:rowOff>
    </xdr:from>
    <xdr:ext cx="184731" cy="264560"/>
    <xdr:sp macro="" textlink="">
      <xdr:nvSpPr>
        <xdr:cNvPr id="25" name="TextBox 24">
          <a:extLst>
            <a:ext uri="{FF2B5EF4-FFF2-40B4-BE49-F238E27FC236}">
              <a16:creationId xmlns:a16="http://schemas.microsoft.com/office/drawing/2014/main" id="{1E6AECC2-F984-4364-9F20-D323090F67C5}"/>
            </a:ext>
          </a:extLst>
        </xdr:cNvPr>
        <xdr:cNvSpPr txBox="1"/>
      </xdr:nvSpPr>
      <xdr:spPr>
        <a:xfrm>
          <a:off x="518160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6" name="TextBox 25">
          <a:extLst>
            <a:ext uri="{FF2B5EF4-FFF2-40B4-BE49-F238E27FC236}">
              <a16:creationId xmlns:a16="http://schemas.microsoft.com/office/drawing/2014/main" id="{F2F387D1-5466-4A31-8827-A3064B86100A}"/>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76</xdr:row>
      <xdr:rowOff>0</xdr:rowOff>
    </xdr:from>
    <xdr:ext cx="184731" cy="264560"/>
    <xdr:sp macro="" textlink="">
      <xdr:nvSpPr>
        <xdr:cNvPr id="27" name="TextBox 26">
          <a:extLst>
            <a:ext uri="{FF2B5EF4-FFF2-40B4-BE49-F238E27FC236}">
              <a16:creationId xmlns:a16="http://schemas.microsoft.com/office/drawing/2014/main" id="{53B0CE95-1935-4DA6-928E-1963B18B131E}"/>
            </a:ext>
          </a:extLst>
        </xdr:cNvPr>
        <xdr:cNvSpPr txBox="1"/>
      </xdr:nvSpPr>
      <xdr:spPr>
        <a:xfrm>
          <a:off x="518160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28" name="TextBox 27">
          <a:extLst>
            <a:ext uri="{FF2B5EF4-FFF2-40B4-BE49-F238E27FC236}">
              <a16:creationId xmlns:a16="http://schemas.microsoft.com/office/drawing/2014/main" id="{01CE22EB-173C-4B67-8E0C-CB0CC1103EF3}"/>
            </a:ext>
          </a:extLst>
        </xdr:cNvPr>
        <xdr:cNvSpPr txBox="1"/>
      </xdr:nvSpPr>
      <xdr:spPr>
        <a:xfrm>
          <a:off x="6115050" y="1230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29" name="TextBox 28">
          <a:extLst>
            <a:ext uri="{FF2B5EF4-FFF2-40B4-BE49-F238E27FC236}">
              <a16:creationId xmlns:a16="http://schemas.microsoft.com/office/drawing/2014/main" id="{DD46BE42-2730-42AB-AD86-EBB69362D1A4}"/>
            </a:ext>
          </a:extLst>
        </xdr:cNvPr>
        <xdr:cNvSpPr txBox="1"/>
      </xdr:nvSpPr>
      <xdr:spPr>
        <a:xfrm>
          <a:off x="6115050" y="1246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71</xdr:row>
      <xdr:rowOff>0</xdr:rowOff>
    </xdr:from>
    <xdr:ext cx="184731" cy="303466"/>
    <xdr:sp macro="" textlink="">
      <xdr:nvSpPr>
        <xdr:cNvPr id="30" name="TextBox 29">
          <a:extLst>
            <a:ext uri="{FF2B5EF4-FFF2-40B4-BE49-F238E27FC236}">
              <a16:creationId xmlns:a16="http://schemas.microsoft.com/office/drawing/2014/main" id="{C55CF084-D2C4-4AA4-9C9C-41AC696E389B}"/>
            </a:ext>
          </a:extLst>
        </xdr:cNvPr>
        <xdr:cNvSpPr txBox="1"/>
      </xdr:nvSpPr>
      <xdr:spPr>
        <a:xfrm>
          <a:off x="6115050" y="126301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1" name="TextBox 30">
          <a:extLst>
            <a:ext uri="{FF2B5EF4-FFF2-40B4-BE49-F238E27FC236}">
              <a16:creationId xmlns:a16="http://schemas.microsoft.com/office/drawing/2014/main" id="{3182B312-CE4D-4A84-B978-6BA1E42E3A9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72</xdr:row>
      <xdr:rowOff>0</xdr:rowOff>
    </xdr:from>
    <xdr:ext cx="184731" cy="264560"/>
    <xdr:sp macro="" textlink="">
      <xdr:nvSpPr>
        <xdr:cNvPr id="32" name="TextBox 31">
          <a:extLst>
            <a:ext uri="{FF2B5EF4-FFF2-40B4-BE49-F238E27FC236}">
              <a16:creationId xmlns:a16="http://schemas.microsoft.com/office/drawing/2014/main" id="{3C15ACD8-B5C7-4EBC-A8BE-F0EF2B1F40EB}"/>
            </a:ext>
          </a:extLst>
        </xdr:cNvPr>
        <xdr:cNvSpPr txBox="1"/>
      </xdr:nvSpPr>
      <xdr:spPr>
        <a:xfrm>
          <a:off x="6115050" y="1279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3" name="TextBox 32">
          <a:extLst>
            <a:ext uri="{FF2B5EF4-FFF2-40B4-BE49-F238E27FC236}">
              <a16:creationId xmlns:a16="http://schemas.microsoft.com/office/drawing/2014/main" id="{3445C708-874E-4529-9A08-BA8180E08C20}"/>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73</xdr:row>
      <xdr:rowOff>0</xdr:rowOff>
    </xdr:from>
    <xdr:ext cx="184731" cy="264560"/>
    <xdr:sp macro="" textlink="">
      <xdr:nvSpPr>
        <xdr:cNvPr id="34" name="TextBox 33">
          <a:extLst>
            <a:ext uri="{FF2B5EF4-FFF2-40B4-BE49-F238E27FC236}">
              <a16:creationId xmlns:a16="http://schemas.microsoft.com/office/drawing/2014/main" id="{74AD6068-6367-44A4-BA64-DA0E92D0E332}"/>
            </a:ext>
          </a:extLst>
        </xdr:cNvPr>
        <xdr:cNvSpPr txBox="1"/>
      </xdr:nvSpPr>
      <xdr:spPr>
        <a:xfrm>
          <a:off x="6115050" y="1295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5" name="TextBox 34">
          <a:extLst>
            <a:ext uri="{FF2B5EF4-FFF2-40B4-BE49-F238E27FC236}">
              <a16:creationId xmlns:a16="http://schemas.microsoft.com/office/drawing/2014/main" id="{C095474B-1222-4D0A-8A82-7BA6D2106E8E}"/>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74</xdr:row>
      <xdr:rowOff>0</xdr:rowOff>
    </xdr:from>
    <xdr:ext cx="184731" cy="264560"/>
    <xdr:sp macro="" textlink="">
      <xdr:nvSpPr>
        <xdr:cNvPr id="36" name="TextBox 35">
          <a:extLst>
            <a:ext uri="{FF2B5EF4-FFF2-40B4-BE49-F238E27FC236}">
              <a16:creationId xmlns:a16="http://schemas.microsoft.com/office/drawing/2014/main" id="{A74D7C8B-59D1-48C5-A0D4-E4A4B150CD48}"/>
            </a:ext>
          </a:extLst>
        </xdr:cNvPr>
        <xdr:cNvSpPr txBox="1"/>
      </xdr:nvSpPr>
      <xdr:spPr>
        <a:xfrm>
          <a:off x="6115050" y="131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7" name="TextBox 36">
          <a:extLst>
            <a:ext uri="{FF2B5EF4-FFF2-40B4-BE49-F238E27FC236}">
              <a16:creationId xmlns:a16="http://schemas.microsoft.com/office/drawing/2014/main" id="{4887C93F-54C8-4BD6-8041-370C4427544B}"/>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75</xdr:row>
      <xdr:rowOff>0</xdr:rowOff>
    </xdr:from>
    <xdr:ext cx="184731" cy="264560"/>
    <xdr:sp macro="" textlink="">
      <xdr:nvSpPr>
        <xdr:cNvPr id="38" name="TextBox 37">
          <a:extLst>
            <a:ext uri="{FF2B5EF4-FFF2-40B4-BE49-F238E27FC236}">
              <a16:creationId xmlns:a16="http://schemas.microsoft.com/office/drawing/2014/main" id="{5AFE0C72-4527-44B0-8AEB-1C7617424DDD}"/>
            </a:ext>
          </a:extLst>
        </xdr:cNvPr>
        <xdr:cNvSpPr txBox="1"/>
      </xdr:nvSpPr>
      <xdr:spPr>
        <a:xfrm>
          <a:off x="6115050" y="13277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39" name="TextBox 38">
          <a:extLst>
            <a:ext uri="{FF2B5EF4-FFF2-40B4-BE49-F238E27FC236}">
              <a16:creationId xmlns:a16="http://schemas.microsoft.com/office/drawing/2014/main" id="{9DE6ACAB-356D-4B42-A505-B57E7C968B6F}"/>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76</xdr:row>
      <xdr:rowOff>0</xdr:rowOff>
    </xdr:from>
    <xdr:ext cx="184731" cy="264560"/>
    <xdr:sp macro="" textlink="">
      <xdr:nvSpPr>
        <xdr:cNvPr id="40" name="TextBox 39">
          <a:extLst>
            <a:ext uri="{FF2B5EF4-FFF2-40B4-BE49-F238E27FC236}">
              <a16:creationId xmlns:a16="http://schemas.microsoft.com/office/drawing/2014/main" id="{B7F91BF0-D242-4CBE-9A18-B7CA0C8BE02E}"/>
            </a:ext>
          </a:extLst>
        </xdr:cNvPr>
        <xdr:cNvSpPr txBox="1"/>
      </xdr:nvSpPr>
      <xdr:spPr>
        <a:xfrm>
          <a:off x="6115050" y="134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69</xdr:row>
      <xdr:rowOff>0</xdr:rowOff>
    </xdr:from>
    <xdr:ext cx="192763" cy="264560"/>
    <xdr:sp macro="" textlink="">
      <xdr:nvSpPr>
        <xdr:cNvPr id="41" name="TextBox 40">
          <a:extLst>
            <a:ext uri="{FF2B5EF4-FFF2-40B4-BE49-F238E27FC236}">
              <a16:creationId xmlns:a16="http://schemas.microsoft.com/office/drawing/2014/main" id="{755EED09-26A1-40B9-8008-2FF0762423F5}"/>
            </a:ext>
          </a:extLst>
        </xdr:cNvPr>
        <xdr:cNvSpPr txBox="1"/>
      </xdr:nvSpPr>
      <xdr:spPr>
        <a:xfrm>
          <a:off x="51777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69</xdr:row>
      <xdr:rowOff>0</xdr:rowOff>
    </xdr:from>
    <xdr:ext cx="192763" cy="264560"/>
    <xdr:sp macro="" textlink="">
      <xdr:nvSpPr>
        <xdr:cNvPr id="42" name="TextBox 41">
          <a:extLst>
            <a:ext uri="{FF2B5EF4-FFF2-40B4-BE49-F238E27FC236}">
              <a16:creationId xmlns:a16="http://schemas.microsoft.com/office/drawing/2014/main" id="{CDA869C6-CD48-4F02-865F-FC48F3BE0523}"/>
            </a:ext>
          </a:extLst>
        </xdr:cNvPr>
        <xdr:cNvSpPr txBox="1"/>
      </xdr:nvSpPr>
      <xdr:spPr>
        <a:xfrm>
          <a:off x="611124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69</xdr:row>
      <xdr:rowOff>0</xdr:rowOff>
    </xdr:from>
    <xdr:ext cx="192763" cy="264560"/>
    <xdr:sp macro="" textlink="">
      <xdr:nvSpPr>
        <xdr:cNvPr id="43" name="TextBox 42">
          <a:extLst>
            <a:ext uri="{FF2B5EF4-FFF2-40B4-BE49-F238E27FC236}">
              <a16:creationId xmlns:a16="http://schemas.microsoft.com/office/drawing/2014/main" id="{37F76C17-6548-479E-9CF4-1FAAEC10C619}"/>
            </a:ext>
          </a:extLst>
        </xdr:cNvPr>
        <xdr:cNvSpPr txBox="1"/>
      </xdr:nvSpPr>
      <xdr:spPr>
        <a:xfrm>
          <a:off x="7197090" y="12306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70</xdr:row>
      <xdr:rowOff>0</xdr:rowOff>
    </xdr:from>
    <xdr:ext cx="183125" cy="264560"/>
    <xdr:sp macro="" textlink="">
      <xdr:nvSpPr>
        <xdr:cNvPr id="44" name="TextBox 43">
          <a:extLst>
            <a:ext uri="{FF2B5EF4-FFF2-40B4-BE49-F238E27FC236}">
              <a16:creationId xmlns:a16="http://schemas.microsoft.com/office/drawing/2014/main" id="{A8CE9172-999D-448D-90F8-6725AA2A5FCE}"/>
            </a:ext>
          </a:extLst>
        </xdr:cNvPr>
        <xdr:cNvSpPr txBox="1"/>
      </xdr:nvSpPr>
      <xdr:spPr>
        <a:xfrm>
          <a:off x="3472815" y="124682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70</xdr:row>
      <xdr:rowOff>0</xdr:rowOff>
    </xdr:from>
    <xdr:ext cx="184731" cy="271710"/>
    <xdr:sp macro="" textlink="">
      <xdr:nvSpPr>
        <xdr:cNvPr id="45" name="TextBox 44">
          <a:extLst>
            <a:ext uri="{FF2B5EF4-FFF2-40B4-BE49-F238E27FC236}">
              <a16:creationId xmlns:a16="http://schemas.microsoft.com/office/drawing/2014/main" id="{2BCDCD21-E8E8-49FD-AF60-00B22A7683F0}"/>
            </a:ext>
          </a:extLst>
        </xdr:cNvPr>
        <xdr:cNvSpPr txBox="1"/>
      </xdr:nvSpPr>
      <xdr:spPr>
        <a:xfrm>
          <a:off x="655320" y="124682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3139440</xdr:colOff>
      <xdr:row>42</xdr:row>
      <xdr:rowOff>0</xdr:rowOff>
    </xdr:from>
    <xdr:ext cx="192763" cy="264560"/>
    <xdr:sp macro="" textlink="">
      <xdr:nvSpPr>
        <xdr:cNvPr id="2" name="TextBox 1">
          <a:extLst>
            <a:ext uri="{FF2B5EF4-FFF2-40B4-BE49-F238E27FC236}">
              <a16:creationId xmlns:a16="http://schemas.microsoft.com/office/drawing/2014/main" id="{9549E166-1051-429B-9EC9-E00F459B27D5}"/>
            </a:ext>
          </a:extLst>
        </xdr:cNvPr>
        <xdr:cNvSpPr txBox="1"/>
      </xdr:nvSpPr>
      <xdr:spPr>
        <a:xfrm>
          <a:off x="21297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43</xdr:row>
      <xdr:rowOff>0</xdr:rowOff>
    </xdr:from>
    <xdr:ext cx="192763" cy="264560"/>
    <xdr:sp macro="" textlink="">
      <xdr:nvSpPr>
        <xdr:cNvPr id="3" name="TextBox 2">
          <a:extLst>
            <a:ext uri="{FF2B5EF4-FFF2-40B4-BE49-F238E27FC236}">
              <a16:creationId xmlns:a16="http://schemas.microsoft.com/office/drawing/2014/main" id="{7094F7AE-1CF7-4458-B958-8E7738D19AC8}"/>
            </a:ext>
          </a:extLst>
        </xdr:cNvPr>
        <xdr:cNvSpPr txBox="1"/>
      </xdr:nvSpPr>
      <xdr:spPr>
        <a:xfrm>
          <a:off x="2129790" y="7343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44</xdr:row>
      <xdr:rowOff>0</xdr:rowOff>
    </xdr:from>
    <xdr:ext cx="192763" cy="303466"/>
    <xdr:sp macro="" textlink="">
      <xdr:nvSpPr>
        <xdr:cNvPr id="4" name="TextBox 3">
          <a:extLst>
            <a:ext uri="{FF2B5EF4-FFF2-40B4-BE49-F238E27FC236}">
              <a16:creationId xmlns:a16="http://schemas.microsoft.com/office/drawing/2014/main" id="{83EC4517-AAF7-4DF1-A39D-A0CA74629142}"/>
            </a:ext>
          </a:extLst>
        </xdr:cNvPr>
        <xdr:cNvSpPr txBox="1"/>
      </xdr:nvSpPr>
      <xdr:spPr>
        <a:xfrm>
          <a:off x="2129790" y="750570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5" name="TextBox 4">
          <a:extLst>
            <a:ext uri="{FF2B5EF4-FFF2-40B4-BE49-F238E27FC236}">
              <a16:creationId xmlns:a16="http://schemas.microsoft.com/office/drawing/2014/main" id="{3826BC8F-09BC-4733-93BD-7E525FC2A3E6}"/>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45</xdr:row>
      <xdr:rowOff>0</xdr:rowOff>
    </xdr:from>
    <xdr:ext cx="192763" cy="264560"/>
    <xdr:sp macro="" textlink="">
      <xdr:nvSpPr>
        <xdr:cNvPr id="6" name="TextBox 5">
          <a:extLst>
            <a:ext uri="{FF2B5EF4-FFF2-40B4-BE49-F238E27FC236}">
              <a16:creationId xmlns:a16="http://schemas.microsoft.com/office/drawing/2014/main" id="{E775DABB-FC74-4659-9E96-B40078849F47}"/>
            </a:ext>
          </a:extLst>
        </xdr:cNvPr>
        <xdr:cNvSpPr txBox="1"/>
      </xdr:nvSpPr>
      <xdr:spPr>
        <a:xfrm>
          <a:off x="2129790" y="7667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7" name="TextBox 6">
          <a:extLst>
            <a:ext uri="{FF2B5EF4-FFF2-40B4-BE49-F238E27FC236}">
              <a16:creationId xmlns:a16="http://schemas.microsoft.com/office/drawing/2014/main" id="{3D0534C1-C1B1-40C5-AD16-40A859D680C9}"/>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46</xdr:row>
      <xdr:rowOff>0</xdr:rowOff>
    </xdr:from>
    <xdr:ext cx="192763" cy="264560"/>
    <xdr:sp macro="" textlink="">
      <xdr:nvSpPr>
        <xdr:cNvPr id="8" name="TextBox 7">
          <a:extLst>
            <a:ext uri="{FF2B5EF4-FFF2-40B4-BE49-F238E27FC236}">
              <a16:creationId xmlns:a16="http://schemas.microsoft.com/office/drawing/2014/main" id="{9A8E3958-DB93-460C-BAE0-F5FA04A7C1FB}"/>
            </a:ext>
          </a:extLst>
        </xdr:cNvPr>
        <xdr:cNvSpPr txBox="1"/>
      </xdr:nvSpPr>
      <xdr:spPr>
        <a:xfrm>
          <a:off x="2129790" y="7829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9" name="TextBox 8">
          <a:extLst>
            <a:ext uri="{FF2B5EF4-FFF2-40B4-BE49-F238E27FC236}">
              <a16:creationId xmlns:a16="http://schemas.microsoft.com/office/drawing/2014/main" id="{73DD05FF-0D8F-4896-9D53-88067F86D337}"/>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47</xdr:row>
      <xdr:rowOff>0</xdr:rowOff>
    </xdr:from>
    <xdr:ext cx="192763" cy="264560"/>
    <xdr:sp macro="" textlink="">
      <xdr:nvSpPr>
        <xdr:cNvPr id="10" name="TextBox 9">
          <a:extLst>
            <a:ext uri="{FF2B5EF4-FFF2-40B4-BE49-F238E27FC236}">
              <a16:creationId xmlns:a16="http://schemas.microsoft.com/office/drawing/2014/main" id="{B0AC45AB-624D-47B6-8640-0F36A3FC2332}"/>
            </a:ext>
          </a:extLst>
        </xdr:cNvPr>
        <xdr:cNvSpPr txBox="1"/>
      </xdr:nvSpPr>
      <xdr:spPr>
        <a:xfrm>
          <a:off x="2129790" y="7991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1" name="TextBox 10">
          <a:extLst>
            <a:ext uri="{FF2B5EF4-FFF2-40B4-BE49-F238E27FC236}">
              <a16:creationId xmlns:a16="http://schemas.microsoft.com/office/drawing/2014/main" id="{3C64071E-8F33-41CF-B54A-8A3DF976FF33}"/>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48</xdr:row>
      <xdr:rowOff>0</xdr:rowOff>
    </xdr:from>
    <xdr:ext cx="192763" cy="264560"/>
    <xdr:sp macro="" textlink="">
      <xdr:nvSpPr>
        <xdr:cNvPr id="12" name="TextBox 11">
          <a:extLst>
            <a:ext uri="{FF2B5EF4-FFF2-40B4-BE49-F238E27FC236}">
              <a16:creationId xmlns:a16="http://schemas.microsoft.com/office/drawing/2014/main" id="{F7B272F6-C21F-4E43-92F8-C44FE8C623BB}"/>
            </a:ext>
          </a:extLst>
        </xdr:cNvPr>
        <xdr:cNvSpPr txBox="1"/>
      </xdr:nvSpPr>
      <xdr:spPr>
        <a:xfrm>
          <a:off x="2129790" y="8153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3" name="TextBox 12">
          <a:extLst>
            <a:ext uri="{FF2B5EF4-FFF2-40B4-BE49-F238E27FC236}">
              <a16:creationId xmlns:a16="http://schemas.microsoft.com/office/drawing/2014/main" id="{A3DDC5D3-1563-400B-B195-E8127506C6BD}"/>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49</xdr:row>
      <xdr:rowOff>0</xdr:rowOff>
    </xdr:from>
    <xdr:ext cx="192763" cy="264560"/>
    <xdr:sp macro="" textlink="">
      <xdr:nvSpPr>
        <xdr:cNvPr id="14" name="TextBox 13">
          <a:extLst>
            <a:ext uri="{FF2B5EF4-FFF2-40B4-BE49-F238E27FC236}">
              <a16:creationId xmlns:a16="http://schemas.microsoft.com/office/drawing/2014/main" id="{552557A1-477E-4049-83EC-C29F1607FDF0}"/>
            </a:ext>
          </a:extLst>
        </xdr:cNvPr>
        <xdr:cNvSpPr txBox="1"/>
      </xdr:nvSpPr>
      <xdr:spPr>
        <a:xfrm>
          <a:off x="2129790" y="8315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42</xdr:row>
      <xdr:rowOff>0</xdr:rowOff>
    </xdr:from>
    <xdr:ext cx="184731" cy="264560"/>
    <xdr:sp macro="" textlink="">
      <xdr:nvSpPr>
        <xdr:cNvPr id="15" name="TextBox 14">
          <a:extLst>
            <a:ext uri="{FF2B5EF4-FFF2-40B4-BE49-F238E27FC236}">
              <a16:creationId xmlns:a16="http://schemas.microsoft.com/office/drawing/2014/main" id="{D0B0B369-C879-436F-B792-39ED620DE529}"/>
            </a:ext>
          </a:extLst>
        </xdr:cNvPr>
        <xdr:cNvSpPr txBox="1"/>
      </xdr:nvSpPr>
      <xdr:spPr>
        <a:xfrm>
          <a:off x="2705100"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43</xdr:row>
      <xdr:rowOff>0</xdr:rowOff>
    </xdr:from>
    <xdr:ext cx="184731" cy="264560"/>
    <xdr:sp macro="" textlink="">
      <xdr:nvSpPr>
        <xdr:cNvPr id="16" name="TextBox 15">
          <a:extLst>
            <a:ext uri="{FF2B5EF4-FFF2-40B4-BE49-F238E27FC236}">
              <a16:creationId xmlns:a16="http://schemas.microsoft.com/office/drawing/2014/main" id="{E52A284C-FB5D-404C-BA6D-CFB3A6E99D2D}"/>
            </a:ext>
          </a:extLst>
        </xdr:cNvPr>
        <xdr:cNvSpPr txBox="1"/>
      </xdr:nvSpPr>
      <xdr:spPr>
        <a:xfrm>
          <a:off x="2705100"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44</xdr:row>
      <xdr:rowOff>0</xdr:rowOff>
    </xdr:from>
    <xdr:ext cx="184731" cy="303466"/>
    <xdr:sp macro="" textlink="">
      <xdr:nvSpPr>
        <xdr:cNvPr id="17" name="TextBox 16">
          <a:extLst>
            <a:ext uri="{FF2B5EF4-FFF2-40B4-BE49-F238E27FC236}">
              <a16:creationId xmlns:a16="http://schemas.microsoft.com/office/drawing/2014/main" id="{2AE04A5C-43A5-455B-BE30-4FF185E35CDB}"/>
            </a:ext>
          </a:extLst>
        </xdr:cNvPr>
        <xdr:cNvSpPr txBox="1"/>
      </xdr:nvSpPr>
      <xdr:spPr>
        <a:xfrm>
          <a:off x="2705100"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8" name="TextBox 17">
          <a:extLst>
            <a:ext uri="{FF2B5EF4-FFF2-40B4-BE49-F238E27FC236}">
              <a16:creationId xmlns:a16="http://schemas.microsoft.com/office/drawing/2014/main" id="{3EF962E2-45CC-4410-A399-86B06500740E}"/>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45</xdr:row>
      <xdr:rowOff>0</xdr:rowOff>
    </xdr:from>
    <xdr:ext cx="184731" cy="264560"/>
    <xdr:sp macro="" textlink="">
      <xdr:nvSpPr>
        <xdr:cNvPr id="19" name="TextBox 18">
          <a:extLst>
            <a:ext uri="{FF2B5EF4-FFF2-40B4-BE49-F238E27FC236}">
              <a16:creationId xmlns:a16="http://schemas.microsoft.com/office/drawing/2014/main" id="{CEA24832-DEDA-4B0F-921A-7983952E6E0A}"/>
            </a:ext>
          </a:extLst>
        </xdr:cNvPr>
        <xdr:cNvSpPr txBox="1"/>
      </xdr:nvSpPr>
      <xdr:spPr>
        <a:xfrm>
          <a:off x="2705100"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0" name="TextBox 19">
          <a:extLst>
            <a:ext uri="{FF2B5EF4-FFF2-40B4-BE49-F238E27FC236}">
              <a16:creationId xmlns:a16="http://schemas.microsoft.com/office/drawing/2014/main" id="{B7A32CD5-953C-4947-8575-8A27299CDCAD}"/>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46</xdr:row>
      <xdr:rowOff>0</xdr:rowOff>
    </xdr:from>
    <xdr:ext cx="184731" cy="264560"/>
    <xdr:sp macro="" textlink="">
      <xdr:nvSpPr>
        <xdr:cNvPr id="21" name="TextBox 20">
          <a:extLst>
            <a:ext uri="{FF2B5EF4-FFF2-40B4-BE49-F238E27FC236}">
              <a16:creationId xmlns:a16="http://schemas.microsoft.com/office/drawing/2014/main" id="{7DE17F2E-D102-4A0A-8EB7-1BF61A113B5C}"/>
            </a:ext>
          </a:extLst>
        </xdr:cNvPr>
        <xdr:cNvSpPr txBox="1"/>
      </xdr:nvSpPr>
      <xdr:spPr>
        <a:xfrm>
          <a:off x="2705100"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2" name="TextBox 21">
          <a:extLst>
            <a:ext uri="{FF2B5EF4-FFF2-40B4-BE49-F238E27FC236}">
              <a16:creationId xmlns:a16="http://schemas.microsoft.com/office/drawing/2014/main" id="{CF886FA4-4DA8-4D91-9C1E-7F85720A04F0}"/>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47</xdr:row>
      <xdr:rowOff>0</xdr:rowOff>
    </xdr:from>
    <xdr:ext cx="184731" cy="264560"/>
    <xdr:sp macro="" textlink="">
      <xdr:nvSpPr>
        <xdr:cNvPr id="23" name="TextBox 22">
          <a:extLst>
            <a:ext uri="{FF2B5EF4-FFF2-40B4-BE49-F238E27FC236}">
              <a16:creationId xmlns:a16="http://schemas.microsoft.com/office/drawing/2014/main" id="{A01F3BEB-CAD6-4DEC-914B-F5DC7EFBCE5E}"/>
            </a:ext>
          </a:extLst>
        </xdr:cNvPr>
        <xdr:cNvSpPr txBox="1"/>
      </xdr:nvSpPr>
      <xdr:spPr>
        <a:xfrm>
          <a:off x="2705100"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4" name="TextBox 23">
          <a:extLst>
            <a:ext uri="{FF2B5EF4-FFF2-40B4-BE49-F238E27FC236}">
              <a16:creationId xmlns:a16="http://schemas.microsoft.com/office/drawing/2014/main" id="{86098BD7-E906-4B8C-AAE1-09778AD8AC75}"/>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48</xdr:row>
      <xdr:rowOff>0</xdr:rowOff>
    </xdr:from>
    <xdr:ext cx="184731" cy="264560"/>
    <xdr:sp macro="" textlink="">
      <xdr:nvSpPr>
        <xdr:cNvPr id="25" name="TextBox 24">
          <a:extLst>
            <a:ext uri="{FF2B5EF4-FFF2-40B4-BE49-F238E27FC236}">
              <a16:creationId xmlns:a16="http://schemas.microsoft.com/office/drawing/2014/main" id="{79CA0DEC-6424-4A3D-ABFE-7C7CB32CA633}"/>
            </a:ext>
          </a:extLst>
        </xdr:cNvPr>
        <xdr:cNvSpPr txBox="1"/>
      </xdr:nvSpPr>
      <xdr:spPr>
        <a:xfrm>
          <a:off x="2705100"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6" name="TextBox 25">
          <a:extLst>
            <a:ext uri="{FF2B5EF4-FFF2-40B4-BE49-F238E27FC236}">
              <a16:creationId xmlns:a16="http://schemas.microsoft.com/office/drawing/2014/main" id="{4BA4F6AA-51C0-49FD-89E3-6B6F45EE4A69}"/>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49</xdr:row>
      <xdr:rowOff>0</xdr:rowOff>
    </xdr:from>
    <xdr:ext cx="184731" cy="264560"/>
    <xdr:sp macro="" textlink="">
      <xdr:nvSpPr>
        <xdr:cNvPr id="27" name="TextBox 26">
          <a:extLst>
            <a:ext uri="{FF2B5EF4-FFF2-40B4-BE49-F238E27FC236}">
              <a16:creationId xmlns:a16="http://schemas.microsoft.com/office/drawing/2014/main" id="{4690B46C-F3D3-4BE0-AF05-678EB1C39FE3}"/>
            </a:ext>
          </a:extLst>
        </xdr:cNvPr>
        <xdr:cNvSpPr txBox="1"/>
      </xdr:nvSpPr>
      <xdr:spPr>
        <a:xfrm>
          <a:off x="2705100"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42</xdr:row>
      <xdr:rowOff>0</xdr:rowOff>
    </xdr:from>
    <xdr:ext cx="184731" cy="264560"/>
    <xdr:sp macro="" textlink="">
      <xdr:nvSpPr>
        <xdr:cNvPr id="28" name="TextBox 27">
          <a:extLst>
            <a:ext uri="{FF2B5EF4-FFF2-40B4-BE49-F238E27FC236}">
              <a16:creationId xmlns:a16="http://schemas.microsoft.com/office/drawing/2014/main" id="{29844CA8-259A-445B-BC5A-5E9AECB478B9}"/>
            </a:ext>
          </a:extLst>
        </xdr:cNvPr>
        <xdr:cNvSpPr txBox="1"/>
      </xdr:nvSpPr>
      <xdr:spPr>
        <a:xfrm>
          <a:off x="3686175" y="718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43</xdr:row>
      <xdr:rowOff>0</xdr:rowOff>
    </xdr:from>
    <xdr:ext cx="184731" cy="264560"/>
    <xdr:sp macro="" textlink="">
      <xdr:nvSpPr>
        <xdr:cNvPr id="29" name="TextBox 28">
          <a:extLst>
            <a:ext uri="{FF2B5EF4-FFF2-40B4-BE49-F238E27FC236}">
              <a16:creationId xmlns:a16="http://schemas.microsoft.com/office/drawing/2014/main" id="{D5DD067A-89BD-49E5-9512-51A9D58DE192}"/>
            </a:ext>
          </a:extLst>
        </xdr:cNvPr>
        <xdr:cNvSpPr txBox="1"/>
      </xdr:nvSpPr>
      <xdr:spPr>
        <a:xfrm>
          <a:off x="3686175" y="734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44</xdr:row>
      <xdr:rowOff>0</xdr:rowOff>
    </xdr:from>
    <xdr:ext cx="184731" cy="303466"/>
    <xdr:sp macro="" textlink="">
      <xdr:nvSpPr>
        <xdr:cNvPr id="30" name="TextBox 29">
          <a:extLst>
            <a:ext uri="{FF2B5EF4-FFF2-40B4-BE49-F238E27FC236}">
              <a16:creationId xmlns:a16="http://schemas.microsoft.com/office/drawing/2014/main" id="{15C7653C-948E-4F4C-BD09-3B2B77046BDE}"/>
            </a:ext>
          </a:extLst>
        </xdr:cNvPr>
        <xdr:cNvSpPr txBox="1"/>
      </xdr:nvSpPr>
      <xdr:spPr>
        <a:xfrm>
          <a:off x="3686175" y="750570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1" name="TextBox 30">
          <a:extLst>
            <a:ext uri="{FF2B5EF4-FFF2-40B4-BE49-F238E27FC236}">
              <a16:creationId xmlns:a16="http://schemas.microsoft.com/office/drawing/2014/main" id="{FCC053D0-75F6-480D-8273-752EF71F612B}"/>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45</xdr:row>
      <xdr:rowOff>0</xdr:rowOff>
    </xdr:from>
    <xdr:ext cx="184731" cy="264560"/>
    <xdr:sp macro="" textlink="">
      <xdr:nvSpPr>
        <xdr:cNvPr id="32" name="TextBox 31">
          <a:extLst>
            <a:ext uri="{FF2B5EF4-FFF2-40B4-BE49-F238E27FC236}">
              <a16:creationId xmlns:a16="http://schemas.microsoft.com/office/drawing/2014/main" id="{C3DA1020-9FE1-4CE2-85F1-BA671E6B3026}"/>
            </a:ext>
          </a:extLst>
        </xdr:cNvPr>
        <xdr:cNvSpPr txBox="1"/>
      </xdr:nvSpPr>
      <xdr:spPr>
        <a:xfrm>
          <a:off x="3686175" y="766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3" name="TextBox 32">
          <a:extLst>
            <a:ext uri="{FF2B5EF4-FFF2-40B4-BE49-F238E27FC236}">
              <a16:creationId xmlns:a16="http://schemas.microsoft.com/office/drawing/2014/main" id="{DB88F0E3-38DA-429B-8FAC-780C50F19055}"/>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46</xdr:row>
      <xdr:rowOff>0</xdr:rowOff>
    </xdr:from>
    <xdr:ext cx="184731" cy="264560"/>
    <xdr:sp macro="" textlink="">
      <xdr:nvSpPr>
        <xdr:cNvPr id="34" name="TextBox 33">
          <a:extLst>
            <a:ext uri="{FF2B5EF4-FFF2-40B4-BE49-F238E27FC236}">
              <a16:creationId xmlns:a16="http://schemas.microsoft.com/office/drawing/2014/main" id="{039DA9E5-7410-43D7-8614-6B8A54AFB87E}"/>
            </a:ext>
          </a:extLst>
        </xdr:cNvPr>
        <xdr:cNvSpPr txBox="1"/>
      </xdr:nvSpPr>
      <xdr:spPr>
        <a:xfrm>
          <a:off x="3686175" y="782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5" name="TextBox 34">
          <a:extLst>
            <a:ext uri="{FF2B5EF4-FFF2-40B4-BE49-F238E27FC236}">
              <a16:creationId xmlns:a16="http://schemas.microsoft.com/office/drawing/2014/main" id="{B063A537-F3BC-49B0-9E78-22413534BABA}"/>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47</xdr:row>
      <xdr:rowOff>0</xdr:rowOff>
    </xdr:from>
    <xdr:ext cx="184731" cy="264560"/>
    <xdr:sp macro="" textlink="">
      <xdr:nvSpPr>
        <xdr:cNvPr id="36" name="TextBox 35">
          <a:extLst>
            <a:ext uri="{FF2B5EF4-FFF2-40B4-BE49-F238E27FC236}">
              <a16:creationId xmlns:a16="http://schemas.microsoft.com/office/drawing/2014/main" id="{69ADB44E-2C85-4530-846C-8BCFD517D417}"/>
            </a:ext>
          </a:extLst>
        </xdr:cNvPr>
        <xdr:cNvSpPr txBox="1"/>
      </xdr:nvSpPr>
      <xdr:spPr>
        <a:xfrm>
          <a:off x="3686175" y="799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7" name="TextBox 36">
          <a:extLst>
            <a:ext uri="{FF2B5EF4-FFF2-40B4-BE49-F238E27FC236}">
              <a16:creationId xmlns:a16="http://schemas.microsoft.com/office/drawing/2014/main" id="{EEF2D340-ADEA-4371-80B6-F1F53570EF39}"/>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48</xdr:row>
      <xdr:rowOff>0</xdr:rowOff>
    </xdr:from>
    <xdr:ext cx="184731" cy="264560"/>
    <xdr:sp macro="" textlink="">
      <xdr:nvSpPr>
        <xdr:cNvPr id="38" name="TextBox 37">
          <a:extLst>
            <a:ext uri="{FF2B5EF4-FFF2-40B4-BE49-F238E27FC236}">
              <a16:creationId xmlns:a16="http://schemas.microsoft.com/office/drawing/2014/main" id="{3045359C-009B-45D9-BA1B-80F74BB8FF6B}"/>
            </a:ext>
          </a:extLst>
        </xdr:cNvPr>
        <xdr:cNvSpPr txBox="1"/>
      </xdr:nvSpPr>
      <xdr:spPr>
        <a:xfrm>
          <a:off x="3686175" y="815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39" name="TextBox 38">
          <a:extLst>
            <a:ext uri="{FF2B5EF4-FFF2-40B4-BE49-F238E27FC236}">
              <a16:creationId xmlns:a16="http://schemas.microsoft.com/office/drawing/2014/main" id="{593C4E93-328F-4186-8D90-9AED3CF9AB57}"/>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49</xdr:row>
      <xdr:rowOff>0</xdr:rowOff>
    </xdr:from>
    <xdr:ext cx="184731" cy="264560"/>
    <xdr:sp macro="" textlink="">
      <xdr:nvSpPr>
        <xdr:cNvPr id="40" name="TextBox 39">
          <a:extLst>
            <a:ext uri="{FF2B5EF4-FFF2-40B4-BE49-F238E27FC236}">
              <a16:creationId xmlns:a16="http://schemas.microsoft.com/office/drawing/2014/main" id="{A9FA28D4-3A8E-421B-A828-9708AF4B1FA5}"/>
            </a:ext>
          </a:extLst>
        </xdr:cNvPr>
        <xdr:cNvSpPr txBox="1"/>
      </xdr:nvSpPr>
      <xdr:spPr>
        <a:xfrm>
          <a:off x="3686175" y="831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42</xdr:row>
      <xdr:rowOff>0</xdr:rowOff>
    </xdr:from>
    <xdr:ext cx="192763" cy="264560"/>
    <xdr:sp macro="" textlink="">
      <xdr:nvSpPr>
        <xdr:cNvPr id="41" name="TextBox 40">
          <a:extLst>
            <a:ext uri="{FF2B5EF4-FFF2-40B4-BE49-F238E27FC236}">
              <a16:creationId xmlns:a16="http://schemas.microsoft.com/office/drawing/2014/main" id="{E85E96EB-C269-4E02-B4A1-A9121F9171F0}"/>
            </a:ext>
          </a:extLst>
        </xdr:cNvPr>
        <xdr:cNvSpPr txBox="1"/>
      </xdr:nvSpPr>
      <xdr:spPr>
        <a:xfrm>
          <a:off x="27012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42</xdr:row>
      <xdr:rowOff>0</xdr:rowOff>
    </xdr:from>
    <xdr:ext cx="192763" cy="264560"/>
    <xdr:sp macro="" textlink="">
      <xdr:nvSpPr>
        <xdr:cNvPr id="42" name="TextBox 41">
          <a:extLst>
            <a:ext uri="{FF2B5EF4-FFF2-40B4-BE49-F238E27FC236}">
              <a16:creationId xmlns:a16="http://schemas.microsoft.com/office/drawing/2014/main" id="{34652E9B-3527-4DB8-99E9-4AD7DCAF10FC}"/>
            </a:ext>
          </a:extLst>
        </xdr:cNvPr>
        <xdr:cNvSpPr txBox="1"/>
      </xdr:nvSpPr>
      <xdr:spPr>
        <a:xfrm>
          <a:off x="3682365"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42</xdr:row>
      <xdr:rowOff>0</xdr:rowOff>
    </xdr:from>
    <xdr:ext cx="192763" cy="264560"/>
    <xdr:sp macro="" textlink="">
      <xdr:nvSpPr>
        <xdr:cNvPr id="43" name="TextBox 42">
          <a:extLst>
            <a:ext uri="{FF2B5EF4-FFF2-40B4-BE49-F238E27FC236}">
              <a16:creationId xmlns:a16="http://schemas.microsoft.com/office/drawing/2014/main" id="{7BAC5884-5809-43CD-913E-C18C2B43598B}"/>
            </a:ext>
          </a:extLst>
        </xdr:cNvPr>
        <xdr:cNvSpPr txBox="1"/>
      </xdr:nvSpPr>
      <xdr:spPr>
        <a:xfrm>
          <a:off x="4834890" y="71818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43</xdr:row>
      <xdr:rowOff>0</xdr:rowOff>
    </xdr:from>
    <xdr:ext cx="183125" cy="264560"/>
    <xdr:sp macro="" textlink="">
      <xdr:nvSpPr>
        <xdr:cNvPr id="44" name="TextBox 43">
          <a:extLst>
            <a:ext uri="{FF2B5EF4-FFF2-40B4-BE49-F238E27FC236}">
              <a16:creationId xmlns:a16="http://schemas.microsoft.com/office/drawing/2014/main" id="{5968035A-4730-46DF-B28F-CE6126549DAF}"/>
            </a:ext>
          </a:extLst>
        </xdr:cNvPr>
        <xdr:cNvSpPr txBox="1"/>
      </xdr:nvSpPr>
      <xdr:spPr>
        <a:xfrm>
          <a:off x="2129790" y="73437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43</xdr:row>
      <xdr:rowOff>0</xdr:rowOff>
    </xdr:from>
    <xdr:ext cx="184731" cy="271710"/>
    <xdr:sp macro="" textlink="">
      <xdr:nvSpPr>
        <xdr:cNvPr id="45" name="TextBox 44">
          <a:extLst>
            <a:ext uri="{FF2B5EF4-FFF2-40B4-BE49-F238E27FC236}">
              <a16:creationId xmlns:a16="http://schemas.microsoft.com/office/drawing/2014/main" id="{931B2370-8D90-4AE8-815D-EC6BD3D7C255}"/>
            </a:ext>
          </a:extLst>
        </xdr:cNvPr>
        <xdr:cNvSpPr txBox="1"/>
      </xdr:nvSpPr>
      <xdr:spPr>
        <a:xfrm>
          <a:off x="1102995" y="73437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3139440</xdr:colOff>
      <xdr:row>61</xdr:row>
      <xdr:rowOff>0</xdr:rowOff>
    </xdr:from>
    <xdr:ext cx="192763" cy="264560"/>
    <xdr:sp macro="" textlink="">
      <xdr:nvSpPr>
        <xdr:cNvPr id="2" name="TextBox 1">
          <a:extLst>
            <a:ext uri="{FF2B5EF4-FFF2-40B4-BE49-F238E27FC236}">
              <a16:creationId xmlns:a16="http://schemas.microsoft.com/office/drawing/2014/main" id="{355E57D0-A405-478D-B966-09F021B654B6}"/>
            </a:ext>
          </a:extLst>
        </xdr:cNvPr>
        <xdr:cNvSpPr txBox="1"/>
      </xdr:nvSpPr>
      <xdr:spPr>
        <a:xfrm>
          <a:off x="290131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62</xdr:row>
      <xdr:rowOff>0</xdr:rowOff>
    </xdr:from>
    <xdr:ext cx="192763" cy="264560"/>
    <xdr:sp macro="" textlink="">
      <xdr:nvSpPr>
        <xdr:cNvPr id="3" name="TextBox 2">
          <a:extLst>
            <a:ext uri="{FF2B5EF4-FFF2-40B4-BE49-F238E27FC236}">
              <a16:creationId xmlns:a16="http://schemas.microsoft.com/office/drawing/2014/main" id="{DB14CF86-EB99-4039-A31A-6C3548789012}"/>
            </a:ext>
          </a:extLst>
        </xdr:cNvPr>
        <xdr:cNvSpPr txBox="1"/>
      </xdr:nvSpPr>
      <xdr:spPr>
        <a:xfrm>
          <a:off x="2901315" y="10382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63</xdr:row>
      <xdr:rowOff>0</xdr:rowOff>
    </xdr:from>
    <xdr:ext cx="192763" cy="303466"/>
    <xdr:sp macro="" textlink="">
      <xdr:nvSpPr>
        <xdr:cNvPr id="4" name="TextBox 3">
          <a:extLst>
            <a:ext uri="{FF2B5EF4-FFF2-40B4-BE49-F238E27FC236}">
              <a16:creationId xmlns:a16="http://schemas.microsoft.com/office/drawing/2014/main" id="{C6ED9B58-4B7B-4268-AE3B-7526338949A8}"/>
            </a:ext>
          </a:extLst>
        </xdr:cNvPr>
        <xdr:cNvSpPr txBox="1"/>
      </xdr:nvSpPr>
      <xdr:spPr>
        <a:xfrm>
          <a:off x="2901315" y="1054417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5" name="TextBox 4">
          <a:extLst>
            <a:ext uri="{FF2B5EF4-FFF2-40B4-BE49-F238E27FC236}">
              <a16:creationId xmlns:a16="http://schemas.microsoft.com/office/drawing/2014/main" id="{7A93CE60-6F85-4EE4-8E6E-2DDA9EAD725A}"/>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6" name="TextBox 5">
          <a:extLst>
            <a:ext uri="{FF2B5EF4-FFF2-40B4-BE49-F238E27FC236}">
              <a16:creationId xmlns:a16="http://schemas.microsoft.com/office/drawing/2014/main" id="{3E244D29-024E-4F32-B093-FEFB5C4260E5}"/>
            </a:ext>
          </a:extLst>
        </xdr:cNvPr>
        <xdr:cNvSpPr txBox="1"/>
      </xdr:nvSpPr>
      <xdr:spPr>
        <a:xfrm>
          <a:off x="2901315" y="107061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7" name="TextBox 6">
          <a:extLst>
            <a:ext uri="{FF2B5EF4-FFF2-40B4-BE49-F238E27FC236}">
              <a16:creationId xmlns:a16="http://schemas.microsoft.com/office/drawing/2014/main" id="{C809A420-B351-4AFE-8FF0-9F5849063478}"/>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264560"/>
    <xdr:sp macro="" textlink="">
      <xdr:nvSpPr>
        <xdr:cNvPr id="8" name="TextBox 7">
          <a:extLst>
            <a:ext uri="{FF2B5EF4-FFF2-40B4-BE49-F238E27FC236}">
              <a16:creationId xmlns:a16="http://schemas.microsoft.com/office/drawing/2014/main" id="{50EE83BC-D325-4CB2-9E64-CB5165498F1B}"/>
            </a:ext>
          </a:extLst>
        </xdr:cNvPr>
        <xdr:cNvSpPr txBox="1"/>
      </xdr:nvSpPr>
      <xdr:spPr>
        <a:xfrm>
          <a:off x="2901315" y="10868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9" name="TextBox 8">
          <a:extLst>
            <a:ext uri="{FF2B5EF4-FFF2-40B4-BE49-F238E27FC236}">
              <a16:creationId xmlns:a16="http://schemas.microsoft.com/office/drawing/2014/main" id="{32480553-B829-460D-BD9C-E42A76F6174F}"/>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10" name="TextBox 9">
          <a:extLst>
            <a:ext uri="{FF2B5EF4-FFF2-40B4-BE49-F238E27FC236}">
              <a16:creationId xmlns:a16="http://schemas.microsoft.com/office/drawing/2014/main" id="{36879B3C-ECB3-4F7B-841A-0DB68595CBBA}"/>
            </a:ext>
          </a:extLst>
        </xdr:cNvPr>
        <xdr:cNvSpPr txBox="1"/>
      </xdr:nvSpPr>
      <xdr:spPr>
        <a:xfrm>
          <a:off x="2901315" y="110299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1" name="TextBox 10">
          <a:extLst>
            <a:ext uri="{FF2B5EF4-FFF2-40B4-BE49-F238E27FC236}">
              <a16:creationId xmlns:a16="http://schemas.microsoft.com/office/drawing/2014/main" id="{0D4F2B2A-B075-4675-907E-8B3FED952077}"/>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12" name="TextBox 11">
          <a:extLst>
            <a:ext uri="{FF2B5EF4-FFF2-40B4-BE49-F238E27FC236}">
              <a16:creationId xmlns:a16="http://schemas.microsoft.com/office/drawing/2014/main" id="{15AC030D-2E2D-4979-BCF5-9941FAFB1EB4}"/>
            </a:ext>
          </a:extLst>
        </xdr:cNvPr>
        <xdr:cNvSpPr txBox="1"/>
      </xdr:nvSpPr>
      <xdr:spPr>
        <a:xfrm>
          <a:off x="2901315" y="111918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3" name="TextBox 12">
          <a:extLst>
            <a:ext uri="{FF2B5EF4-FFF2-40B4-BE49-F238E27FC236}">
              <a16:creationId xmlns:a16="http://schemas.microsoft.com/office/drawing/2014/main" id="{CE54E63A-44DC-491A-B133-68F115E4B7E7}"/>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4" name="TextBox 13">
          <a:extLst>
            <a:ext uri="{FF2B5EF4-FFF2-40B4-BE49-F238E27FC236}">
              <a16:creationId xmlns:a16="http://schemas.microsoft.com/office/drawing/2014/main" id="{5F741EFD-C110-41D5-A819-91E8723A5553}"/>
            </a:ext>
          </a:extLst>
        </xdr:cNvPr>
        <xdr:cNvSpPr txBox="1"/>
      </xdr:nvSpPr>
      <xdr:spPr>
        <a:xfrm>
          <a:off x="2901315" y="11353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61</xdr:row>
      <xdr:rowOff>0</xdr:rowOff>
    </xdr:from>
    <xdr:ext cx="184731" cy="264560"/>
    <xdr:sp macro="" textlink="">
      <xdr:nvSpPr>
        <xdr:cNvPr id="15" name="TextBox 14">
          <a:extLst>
            <a:ext uri="{FF2B5EF4-FFF2-40B4-BE49-F238E27FC236}">
              <a16:creationId xmlns:a16="http://schemas.microsoft.com/office/drawing/2014/main" id="{0A023B0E-49D8-43E8-9B01-81AFE0415218}"/>
            </a:ext>
          </a:extLst>
        </xdr:cNvPr>
        <xdr:cNvSpPr txBox="1"/>
      </xdr:nvSpPr>
      <xdr:spPr>
        <a:xfrm>
          <a:off x="3390900"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62</xdr:row>
      <xdr:rowOff>0</xdr:rowOff>
    </xdr:from>
    <xdr:ext cx="184731" cy="264560"/>
    <xdr:sp macro="" textlink="">
      <xdr:nvSpPr>
        <xdr:cNvPr id="16" name="TextBox 15">
          <a:extLst>
            <a:ext uri="{FF2B5EF4-FFF2-40B4-BE49-F238E27FC236}">
              <a16:creationId xmlns:a16="http://schemas.microsoft.com/office/drawing/2014/main" id="{C6398756-8C05-41BE-B7EC-F0B78ACB7513}"/>
            </a:ext>
          </a:extLst>
        </xdr:cNvPr>
        <xdr:cNvSpPr txBox="1"/>
      </xdr:nvSpPr>
      <xdr:spPr>
        <a:xfrm>
          <a:off x="3390900"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63</xdr:row>
      <xdr:rowOff>0</xdr:rowOff>
    </xdr:from>
    <xdr:ext cx="184731" cy="303466"/>
    <xdr:sp macro="" textlink="">
      <xdr:nvSpPr>
        <xdr:cNvPr id="17" name="TextBox 16">
          <a:extLst>
            <a:ext uri="{FF2B5EF4-FFF2-40B4-BE49-F238E27FC236}">
              <a16:creationId xmlns:a16="http://schemas.microsoft.com/office/drawing/2014/main" id="{FF79C156-A69D-4859-A150-A7DA309B5DDE}"/>
            </a:ext>
          </a:extLst>
        </xdr:cNvPr>
        <xdr:cNvSpPr txBox="1"/>
      </xdr:nvSpPr>
      <xdr:spPr>
        <a:xfrm>
          <a:off x="3390900"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8" name="TextBox 17">
          <a:extLst>
            <a:ext uri="{FF2B5EF4-FFF2-40B4-BE49-F238E27FC236}">
              <a16:creationId xmlns:a16="http://schemas.microsoft.com/office/drawing/2014/main" id="{04E56CEA-4E73-4B62-A165-426AEDC724D2}"/>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64</xdr:row>
      <xdr:rowOff>0</xdr:rowOff>
    </xdr:from>
    <xdr:ext cx="184731" cy="264560"/>
    <xdr:sp macro="" textlink="">
      <xdr:nvSpPr>
        <xdr:cNvPr id="19" name="TextBox 18">
          <a:extLst>
            <a:ext uri="{FF2B5EF4-FFF2-40B4-BE49-F238E27FC236}">
              <a16:creationId xmlns:a16="http://schemas.microsoft.com/office/drawing/2014/main" id="{81BE9BEB-9CA1-4AB0-83F7-C8091F130015}"/>
            </a:ext>
          </a:extLst>
        </xdr:cNvPr>
        <xdr:cNvSpPr txBox="1"/>
      </xdr:nvSpPr>
      <xdr:spPr>
        <a:xfrm>
          <a:off x="3390900"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0" name="TextBox 19">
          <a:extLst>
            <a:ext uri="{FF2B5EF4-FFF2-40B4-BE49-F238E27FC236}">
              <a16:creationId xmlns:a16="http://schemas.microsoft.com/office/drawing/2014/main" id="{5F48EAD8-27CB-4C7F-8E59-C21009886FFB}"/>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65</xdr:row>
      <xdr:rowOff>0</xdr:rowOff>
    </xdr:from>
    <xdr:ext cx="184731" cy="264560"/>
    <xdr:sp macro="" textlink="">
      <xdr:nvSpPr>
        <xdr:cNvPr id="21" name="TextBox 20">
          <a:extLst>
            <a:ext uri="{FF2B5EF4-FFF2-40B4-BE49-F238E27FC236}">
              <a16:creationId xmlns:a16="http://schemas.microsoft.com/office/drawing/2014/main" id="{5E7D7EE7-9436-4280-8815-58BC8A41DB6E}"/>
            </a:ext>
          </a:extLst>
        </xdr:cNvPr>
        <xdr:cNvSpPr txBox="1"/>
      </xdr:nvSpPr>
      <xdr:spPr>
        <a:xfrm>
          <a:off x="3390900"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2" name="TextBox 21">
          <a:extLst>
            <a:ext uri="{FF2B5EF4-FFF2-40B4-BE49-F238E27FC236}">
              <a16:creationId xmlns:a16="http://schemas.microsoft.com/office/drawing/2014/main" id="{61C82625-1A61-4AB8-99E9-61535E75A8BB}"/>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66</xdr:row>
      <xdr:rowOff>0</xdr:rowOff>
    </xdr:from>
    <xdr:ext cx="184731" cy="264560"/>
    <xdr:sp macro="" textlink="">
      <xdr:nvSpPr>
        <xdr:cNvPr id="23" name="TextBox 22">
          <a:extLst>
            <a:ext uri="{FF2B5EF4-FFF2-40B4-BE49-F238E27FC236}">
              <a16:creationId xmlns:a16="http://schemas.microsoft.com/office/drawing/2014/main" id="{4045D60B-986E-46A4-A855-B21B0A1FF04A}"/>
            </a:ext>
          </a:extLst>
        </xdr:cNvPr>
        <xdr:cNvSpPr txBox="1"/>
      </xdr:nvSpPr>
      <xdr:spPr>
        <a:xfrm>
          <a:off x="3390900"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4" name="TextBox 23">
          <a:extLst>
            <a:ext uri="{FF2B5EF4-FFF2-40B4-BE49-F238E27FC236}">
              <a16:creationId xmlns:a16="http://schemas.microsoft.com/office/drawing/2014/main" id="{2031571D-E5AF-4EEE-BBEB-13B02E5A07DD}"/>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5" name="TextBox 24">
          <a:extLst>
            <a:ext uri="{FF2B5EF4-FFF2-40B4-BE49-F238E27FC236}">
              <a16:creationId xmlns:a16="http://schemas.microsoft.com/office/drawing/2014/main" id="{9D47BA89-C787-4D29-B55A-B4D5263835F8}"/>
            </a:ext>
          </a:extLst>
        </xdr:cNvPr>
        <xdr:cNvSpPr txBox="1"/>
      </xdr:nvSpPr>
      <xdr:spPr>
        <a:xfrm>
          <a:off x="3390900"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6" name="TextBox 25">
          <a:extLst>
            <a:ext uri="{FF2B5EF4-FFF2-40B4-BE49-F238E27FC236}">
              <a16:creationId xmlns:a16="http://schemas.microsoft.com/office/drawing/2014/main" id="{851B8743-F1D6-415A-9DC8-CF183F8518FD}"/>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7" name="TextBox 26">
          <a:extLst>
            <a:ext uri="{FF2B5EF4-FFF2-40B4-BE49-F238E27FC236}">
              <a16:creationId xmlns:a16="http://schemas.microsoft.com/office/drawing/2014/main" id="{C5A163CA-853F-408C-852E-7C896398DDF3}"/>
            </a:ext>
          </a:extLst>
        </xdr:cNvPr>
        <xdr:cNvSpPr txBox="1"/>
      </xdr:nvSpPr>
      <xdr:spPr>
        <a:xfrm>
          <a:off x="3390900"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61</xdr:row>
      <xdr:rowOff>0</xdr:rowOff>
    </xdr:from>
    <xdr:ext cx="184731" cy="264560"/>
    <xdr:sp macro="" textlink="">
      <xdr:nvSpPr>
        <xdr:cNvPr id="28" name="TextBox 27">
          <a:extLst>
            <a:ext uri="{FF2B5EF4-FFF2-40B4-BE49-F238E27FC236}">
              <a16:creationId xmlns:a16="http://schemas.microsoft.com/office/drawing/2014/main" id="{80A33D3F-0D2E-4CFA-AD67-94FA7BBAF63D}"/>
            </a:ext>
          </a:extLst>
        </xdr:cNvPr>
        <xdr:cNvSpPr txBox="1"/>
      </xdr:nvSpPr>
      <xdr:spPr>
        <a:xfrm>
          <a:off x="5972175" y="102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62</xdr:row>
      <xdr:rowOff>0</xdr:rowOff>
    </xdr:from>
    <xdr:ext cx="184731" cy="264560"/>
    <xdr:sp macro="" textlink="">
      <xdr:nvSpPr>
        <xdr:cNvPr id="29" name="TextBox 28">
          <a:extLst>
            <a:ext uri="{FF2B5EF4-FFF2-40B4-BE49-F238E27FC236}">
              <a16:creationId xmlns:a16="http://schemas.microsoft.com/office/drawing/2014/main" id="{40DCB291-3D04-49ED-A5B7-F86631860390}"/>
            </a:ext>
          </a:extLst>
        </xdr:cNvPr>
        <xdr:cNvSpPr txBox="1"/>
      </xdr:nvSpPr>
      <xdr:spPr>
        <a:xfrm>
          <a:off x="5972175" y="1038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63</xdr:row>
      <xdr:rowOff>0</xdr:rowOff>
    </xdr:from>
    <xdr:ext cx="184731" cy="303466"/>
    <xdr:sp macro="" textlink="">
      <xdr:nvSpPr>
        <xdr:cNvPr id="30" name="TextBox 29">
          <a:extLst>
            <a:ext uri="{FF2B5EF4-FFF2-40B4-BE49-F238E27FC236}">
              <a16:creationId xmlns:a16="http://schemas.microsoft.com/office/drawing/2014/main" id="{B8D35818-2038-49E9-B738-192CCD7F357D}"/>
            </a:ext>
          </a:extLst>
        </xdr:cNvPr>
        <xdr:cNvSpPr txBox="1"/>
      </xdr:nvSpPr>
      <xdr:spPr>
        <a:xfrm>
          <a:off x="5972175" y="1054417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1" name="TextBox 30">
          <a:extLst>
            <a:ext uri="{FF2B5EF4-FFF2-40B4-BE49-F238E27FC236}">
              <a16:creationId xmlns:a16="http://schemas.microsoft.com/office/drawing/2014/main" id="{B9707333-DA0D-4AB4-B602-A9E9200C8055}"/>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64</xdr:row>
      <xdr:rowOff>0</xdr:rowOff>
    </xdr:from>
    <xdr:ext cx="184731" cy="264560"/>
    <xdr:sp macro="" textlink="">
      <xdr:nvSpPr>
        <xdr:cNvPr id="32" name="TextBox 31">
          <a:extLst>
            <a:ext uri="{FF2B5EF4-FFF2-40B4-BE49-F238E27FC236}">
              <a16:creationId xmlns:a16="http://schemas.microsoft.com/office/drawing/2014/main" id="{E2B54718-5459-4DF8-985B-3078E89EB59F}"/>
            </a:ext>
          </a:extLst>
        </xdr:cNvPr>
        <xdr:cNvSpPr txBox="1"/>
      </xdr:nvSpPr>
      <xdr:spPr>
        <a:xfrm>
          <a:off x="5972175" y="1070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3" name="TextBox 32">
          <a:extLst>
            <a:ext uri="{FF2B5EF4-FFF2-40B4-BE49-F238E27FC236}">
              <a16:creationId xmlns:a16="http://schemas.microsoft.com/office/drawing/2014/main" id="{6DED586E-A0A1-49F9-BD5C-090AC3F79F94}"/>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65</xdr:row>
      <xdr:rowOff>0</xdr:rowOff>
    </xdr:from>
    <xdr:ext cx="184731" cy="264560"/>
    <xdr:sp macro="" textlink="">
      <xdr:nvSpPr>
        <xdr:cNvPr id="34" name="TextBox 33">
          <a:extLst>
            <a:ext uri="{FF2B5EF4-FFF2-40B4-BE49-F238E27FC236}">
              <a16:creationId xmlns:a16="http://schemas.microsoft.com/office/drawing/2014/main" id="{6EF6CF7C-673A-46F3-B806-EB2F669ACE82}"/>
            </a:ext>
          </a:extLst>
        </xdr:cNvPr>
        <xdr:cNvSpPr txBox="1"/>
      </xdr:nvSpPr>
      <xdr:spPr>
        <a:xfrm>
          <a:off x="5972175" y="1086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5" name="TextBox 34">
          <a:extLst>
            <a:ext uri="{FF2B5EF4-FFF2-40B4-BE49-F238E27FC236}">
              <a16:creationId xmlns:a16="http://schemas.microsoft.com/office/drawing/2014/main" id="{E4E64BD1-597E-4E73-BFFF-7EA19467851A}"/>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66</xdr:row>
      <xdr:rowOff>0</xdr:rowOff>
    </xdr:from>
    <xdr:ext cx="184731" cy="264560"/>
    <xdr:sp macro="" textlink="">
      <xdr:nvSpPr>
        <xdr:cNvPr id="36" name="TextBox 35">
          <a:extLst>
            <a:ext uri="{FF2B5EF4-FFF2-40B4-BE49-F238E27FC236}">
              <a16:creationId xmlns:a16="http://schemas.microsoft.com/office/drawing/2014/main" id="{29A11C28-F433-423F-A0C7-95CBF13A22E4}"/>
            </a:ext>
          </a:extLst>
        </xdr:cNvPr>
        <xdr:cNvSpPr txBox="1"/>
      </xdr:nvSpPr>
      <xdr:spPr>
        <a:xfrm>
          <a:off x="5972175" y="1102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7" name="TextBox 36">
          <a:extLst>
            <a:ext uri="{FF2B5EF4-FFF2-40B4-BE49-F238E27FC236}">
              <a16:creationId xmlns:a16="http://schemas.microsoft.com/office/drawing/2014/main" id="{02E285C8-4DC4-41B7-A252-C7AC5B7C2DE7}"/>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8" name="TextBox 37">
          <a:extLst>
            <a:ext uri="{FF2B5EF4-FFF2-40B4-BE49-F238E27FC236}">
              <a16:creationId xmlns:a16="http://schemas.microsoft.com/office/drawing/2014/main" id="{BF60EE44-177B-4A3E-8B7F-5A7C382F6A8A}"/>
            </a:ext>
          </a:extLst>
        </xdr:cNvPr>
        <xdr:cNvSpPr txBox="1"/>
      </xdr:nvSpPr>
      <xdr:spPr>
        <a:xfrm>
          <a:off x="59721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9" name="TextBox 38">
          <a:extLst>
            <a:ext uri="{FF2B5EF4-FFF2-40B4-BE49-F238E27FC236}">
              <a16:creationId xmlns:a16="http://schemas.microsoft.com/office/drawing/2014/main" id="{4D1AB7F5-CD62-4042-B969-8447E3ED5668}"/>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40" name="TextBox 39">
          <a:extLst>
            <a:ext uri="{FF2B5EF4-FFF2-40B4-BE49-F238E27FC236}">
              <a16:creationId xmlns:a16="http://schemas.microsoft.com/office/drawing/2014/main" id="{C7AEF0D3-0558-4763-8E98-0613B2444DD2}"/>
            </a:ext>
          </a:extLst>
        </xdr:cNvPr>
        <xdr:cNvSpPr txBox="1"/>
      </xdr:nvSpPr>
      <xdr:spPr>
        <a:xfrm>
          <a:off x="5972175"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61</xdr:row>
      <xdr:rowOff>0</xdr:rowOff>
    </xdr:from>
    <xdr:ext cx="192763" cy="264560"/>
    <xdr:sp macro="" textlink="">
      <xdr:nvSpPr>
        <xdr:cNvPr id="41" name="TextBox 40">
          <a:extLst>
            <a:ext uri="{FF2B5EF4-FFF2-40B4-BE49-F238E27FC236}">
              <a16:creationId xmlns:a16="http://schemas.microsoft.com/office/drawing/2014/main" id="{CFF647A0-AA74-44DE-877E-5A9C8F1385E8}"/>
            </a:ext>
          </a:extLst>
        </xdr:cNvPr>
        <xdr:cNvSpPr txBox="1"/>
      </xdr:nvSpPr>
      <xdr:spPr>
        <a:xfrm>
          <a:off x="33870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61</xdr:row>
      <xdr:rowOff>0</xdr:rowOff>
    </xdr:from>
    <xdr:ext cx="192763" cy="264560"/>
    <xdr:sp macro="" textlink="">
      <xdr:nvSpPr>
        <xdr:cNvPr id="42" name="TextBox 41">
          <a:extLst>
            <a:ext uri="{FF2B5EF4-FFF2-40B4-BE49-F238E27FC236}">
              <a16:creationId xmlns:a16="http://schemas.microsoft.com/office/drawing/2014/main" id="{859FE01D-9250-4963-814E-80A6CBAF7422}"/>
            </a:ext>
          </a:extLst>
        </xdr:cNvPr>
        <xdr:cNvSpPr txBox="1"/>
      </xdr:nvSpPr>
      <xdr:spPr>
        <a:xfrm>
          <a:off x="5968365"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61</xdr:row>
      <xdr:rowOff>0</xdr:rowOff>
    </xdr:from>
    <xdr:ext cx="192763" cy="264560"/>
    <xdr:sp macro="" textlink="">
      <xdr:nvSpPr>
        <xdr:cNvPr id="43" name="TextBox 42">
          <a:extLst>
            <a:ext uri="{FF2B5EF4-FFF2-40B4-BE49-F238E27FC236}">
              <a16:creationId xmlns:a16="http://schemas.microsoft.com/office/drawing/2014/main" id="{A3673758-741D-4490-A92A-CD590AD99A25}"/>
            </a:ext>
          </a:extLst>
        </xdr:cNvPr>
        <xdr:cNvSpPr txBox="1"/>
      </xdr:nvSpPr>
      <xdr:spPr>
        <a:xfrm>
          <a:off x="7235190" y="10220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62</xdr:row>
      <xdr:rowOff>0</xdr:rowOff>
    </xdr:from>
    <xdr:ext cx="183125" cy="264560"/>
    <xdr:sp macro="" textlink="">
      <xdr:nvSpPr>
        <xdr:cNvPr id="44" name="TextBox 43">
          <a:extLst>
            <a:ext uri="{FF2B5EF4-FFF2-40B4-BE49-F238E27FC236}">
              <a16:creationId xmlns:a16="http://schemas.microsoft.com/office/drawing/2014/main" id="{F00658B7-0E2E-435D-AECC-3C23C9A5ABE3}"/>
            </a:ext>
          </a:extLst>
        </xdr:cNvPr>
        <xdr:cNvSpPr txBox="1"/>
      </xdr:nvSpPr>
      <xdr:spPr>
        <a:xfrm>
          <a:off x="2901315" y="1038225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62</xdr:row>
      <xdr:rowOff>0</xdr:rowOff>
    </xdr:from>
    <xdr:ext cx="184731" cy="271710"/>
    <xdr:sp macro="" textlink="">
      <xdr:nvSpPr>
        <xdr:cNvPr id="45" name="TextBox 44">
          <a:extLst>
            <a:ext uri="{FF2B5EF4-FFF2-40B4-BE49-F238E27FC236}">
              <a16:creationId xmlns:a16="http://schemas.microsoft.com/office/drawing/2014/main" id="{0F7BAFD9-3D61-4827-88D3-F5F8EC34ACE8}"/>
            </a:ext>
          </a:extLst>
        </xdr:cNvPr>
        <xdr:cNvSpPr txBox="1"/>
      </xdr:nvSpPr>
      <xdr:spPr>
        <a:xfrm>
          <a:off x="1102995" y="1038225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4F192BE5-485A-451E-AFA9-D7204A06617E}"/>
            </a:ext>
          </a:extLst>
        </xdr:cNvPr>
        <xdr:cNvSpPr txBox="1"/>
      </xdr:nvSpPr>
      <xdr:spPr>
        <a:xfrm>
          <a:off x="22440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92C4130-D680-4694-B139-952715291D9F}"/>
            </a:ext>
          </a:extLst>
        </xdr:cNvPr>
        <xdr:cNvSpPr txBox="1"/>
      </xdr:nvSpPr>
      <xdr:spPr>
        <a:xfrm>
          <a:off x="2244090" y="110966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C1E4B702-4E2D-4867-ABA4-AF6BF0301ABE}"/>
            </a:ext>
          </a:extLst>
        </xdr:cNvPr>
        <xdr:cNvSpPr txBox="1"/>
      </xdr:nvSpPr>
      <xdr:spPr>
        <a:xfrm>
          <a:off x="2244090" y="11258550"/>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76C92FDB-B955-4094-AD5D-FEE28D0847FC}"/>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B6175657-F88C-4BB9-B5AC-00620851EC11}"/>
            </a:ext>
          </a:extLst>
        </xdr:cNvPr>
        <xdr:cNvSpPr txBox="1"/>
      </xdr:nvSpPr>
      <xdr:spPr>
        <a:xfrm>
          <a:off x="22440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65B8C9E8-4598-423E-A685-EDB413FB91F6}"/>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6DD9CD13-82B8-4F5D-A4D0-06C684FF58C2}"/>
            </a:ext>
          </a:extLst>
        </xdr:cNvPr>
        <xdr:cNvSpPr txBox="1"/>
      </xdr:nvSpPr>
      <xdr:spPr>
        <a:xfrm>
          <a:off x="22440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1CF2DD5F-6E07-472F-B6CE-354EA686EE6F}"/>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91CF88A9-F201-4751-AA10-B1D71F33FA72}"/>
            </a:ext>
          </a:extLst>
        </xdr:cNvPr>
        <xdr:cNvSpPr txBox="1"/>
      </xdr:nvSpPr>
      <xdr:spPr>
        <a:xfrm>
          <a:off x="22440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FA882AC8-ED67-4A4A-8394-3AB7F24F1ED3}"/>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0C87713A-60BC-4762-A4B0-EE43266D4139}"/>
            </a:ext>
          </a:extLst>
        </xdr:cNvPr>
        <xdr:cNvSpPr txBox="1"/>
      </xdr:nvSpPr>
      <xdr:spPr>
        <a:xfrm>
          <a:off x="22440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ECC92C1D-50CF-48C2-B929-E43B4632445A}"/>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28A51B79-C961-4E4F-B96C-B6E73FA7480F}"/>
            </a:ext>
          </a:extLst>
        </xdr:cNvPr>
        <xdr:cNvSpPr txBox="1"/>
      </xdr:nvSpPr>
      <xdr:spPr>
        <a:xfrm>
          <a:off x="2244090" y="120681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68C7FCF1-C23F-4431-9942-396BFC8DE395}"/>
            </a:ext>
          </a:extLst>
        </xdr:cNvPr>
        <xdr:cNvSpPr txBox="1"/>
      </xdr:nvSpPr>
      <xdr:spPr>
        <a:xfrm>
          <a:off x="3495675"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2C84A06D-8A20-4AE2-932E-D6F9845E36C6}"/>
            </a:ext>
          </a:extLst>
        </xdr:cNvPr>
        <xdr:cNvSpPr txBox="1"/>
      </xdr:nvSpPr>
      <xdr:spPr>
        <a:xfrm>
          <a:off x="3495675"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F1FB33F1-2B6A-485F-BE77-E60DD72D191B}"/>
            </a:ext>
          </a:extLst>
        </xdr:cNvPr>
        <xdr:cNvSpPr txBox="1"/>
      </xdr:nvSpPr>
      <xdr:spPr>
        <a:xfrm>
          <a:off x="3495675"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50CBA76-9532-4A35-BB3B-BD6217679B63}"/>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469CFF03-32B9-4270-A2E7-8554F6B69CEF}"/>
            </a:ext>
          </a:extLst>
        </xdr:cNvPr>
        <xdr:cNvSpPr txBox="1"/>
      </xdr:nvSpPr>
      <xdr:spPr>
        <a:xfrm>
          <a:off x="3495675"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3DE4AFCF-D4E2-4E73-BFB2-DAE8C6C2A071}"/>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A8889BFB-6B70-4D81-AEDD-E423B306B19D}"/>
            </a:ext>
          </a:extLst>
        </xdr:cNvPr>
        <xdr:cNvSpPr txBox="1"/>
      </xdr:nvSpPr>
      <xdr:spPr>
        <a:xfrm>
          <a:off x="3495675"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72A95021-8AF5-4238-978B-07D30B93F454}"/>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32EB735D-80E9-4541-85D0-0C4A8389A6AB}"/>
            </a:ext>
          </a:extLst>
        </xdr:cNvPr>
        <xdr:cNvSpPr txBox="1"/>
      </xdr:nvSpPr>
      <xdr:spPr>
        <a:xfrm>
          <a:off x="3495675"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1E73FB98-9362-4CD2-BCE4-D598103ACD58}"/>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2A79325C-6143-4393-9D3F-2E0BDBD3C586}"/>
            </a:ext>
          </a:extLst>
        </xdr:cNvPr>
        <xdr:cNvSpPr txBox="1"/>
      </xdr:nvSpPr>
      <xdr:spPr>
        <a:xfrm>
          <a:off x="3495675"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8170C46C-B6C7-493D-80F5-95E44A7E9D47}"/>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905F6BC1-54D9-418E-A943-594815C170DF}"/>
            </a:ext>
          </a:extLst>
        </xdr:cNvPr>
        <xdr:cNvSpPr txBox="1"/>
      </xdr:nvSpPr>
      <xdr:spPr>
        <a:xfrm>
          <a:off x="3495675"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0F190E4C-51FE-4422-AB12-44E9CB8F70C9}"/>
            </a:ext>
          </a:extLst>
        </xdr:cNvPr>
        <xdr:cNvSpPr txBox="1"/>
      </xdr:nvSpPr>
      <xdr:spPr>
        <a:xfrm>
          <a:off x="474345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83B4F5E4-C730-40D1-AC14-4FEAF81D3AF9}"/>
            </a:ext>
          </a:extLst>
        </xdr:cNvPr>
        <xdr:cNvSpPr txBox="1"/>
      </xdr:nvSpPr>
      <xdr:spPr>
        <a:xfrm>
          <a:off x="4743450" y="1109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2A57DC38-D84B-44F7-ABB4-393F529B0E2B}"/>
            </a:ext>
          </a:extLst>
        </xdr:cNvPr>
        <xdr:cNvSpPr txBox="1"/>
      </xdr:nvSpPr>
      <xdr:spPr>
        <a:xfrm>
          <a:off x="4743450" y="11258550"/>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D3064891-FBA8-46B4-8AA5-9A1D80CDDE99}"/>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A50F63E5-BC81-4D92-B226-B3C40867F2FA}"/>
            </a:ext>
          </a:extLst>
        </xdr:cNvPr>
        <xdr:cNvSpPr txBox="1"/>
      </xdr:nvSpPr>
      <xdr:spPr>
        <a:xfrm>
          <a:off x="474345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54D88F51-DD5E-4F49-9FA5-E7F70371F375}"/>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6ACA26C-C9A9-46C5-829C-77330DBE06BA}"/>
            </a:ext>
          </a:extLst>
        </xdr:cNvPr>
        <xdr:cNvSpPr txBox="1"/>
      </xdr:nvSpPr>
      <xdr:spPr>
        <a:xfrm>
          <a:off x="474345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FC452C98-0793-4730-B01F-595275622CB9}"/>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8B548C37-CF1E-470B-8C01-07DB0A350FF4}"/>
            </a:ext>
          </a:extLst>
        </xdr:cNvPr>
        <xdr:cNvSpPr txBox="1"/>
      </xdr:nvSpPr>
      <xdr:spPr>
        <a:xfrm>
          <a:off x="474345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C8FD7023-6CF1-456C-B83E-1FB402431BBD}"/>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29F13C1-9423-425B-B55A-81D7E97066CE}"/>
            </a:ext>
          </a:extLst>
        </xdr:cNvPr>
        <xdr:cNvSpPr txBox="1"/>
      </xdr:nvSpPr>
      <xdr:spPr>
        <a:xfrm>
          <a:off x="474345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03E261A2-0D76-4175-86E6-E5A5F23D3C58}"/>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CA8A1FB6-4567-4E34-8FAC-BF45364E3A3B}"/>
            </a:ext>
          </a:extLst>
        </xdr:cNvPr>
        <xdr:cNvSpPr txBox="1"/>
      </xdr:nvSpPr>
      <xdr:spPr>
        <a:xfrm>
          <a:off x="4743450" y="120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3E19B383-06B4-442E-A50F-B73D874F5382}"/>
            </a:ext>
          </a:extLst>
        </xdr:cNvPr>
        <xdr:cNvSpPr txBox="1"/>
      </xdr:nvSpPr>
      <xdr:spPr>
        <a:xfrm>
          <a:off x="349186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2AFC8153-76D3-472B-A61E-B83A70120085}"/>
            </a:ext>
          </a:extLst>
        </xdr:cNvPr>
        <xdr:cNvSpPr txBox="1"/>
      </xdr:nvSpPr>
      <xdr:spPr>
        <a:xfrm>
          <a:off x="473964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5D0C701B-E898-4A0B-AF0A-1FB3AFDE6FA3}"/>
            </a:ext>
          </a:extLst>
        </xdr:cNvPr>
        <xdr:cNvSpPr txBox="1"/>
      </xdr:nvSpPr>
      <xdr:spPr>
        <a:xfrm>
          <a:off x="5987415"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9BDD1298-4328-4C7A-9846-BB524701C832}"/>
            </a:ext>
          </a:extLst>
        </xdr:cNvPr>
        <xdr:cNvSpPr txBox="1"/>
      </xdr:nvSpPr>
      <xdr:spPr>
        <a:xfrm>
          <a:off x="2244090" y="1109662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D4BEE12E-8DD7-48C1-A6DA-F2882701B1AB}"/>
            </a:ext>
          </a:extLst>
        </xdr:cNvPr>
        <xdr:cNvSpPr txBox="1"/>
      </xdr:nvSpPr>
      <xdr:spPr>
        <a:xfrm>
          <a:off x="1102995" y="1109662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3139440</xdr:colOff>
      <xdr:row>63</xdr:row>
      <xdr:rowOff>0</xdr:rowOff>
    </xdr:from>
    <xdr:ext cx="192763" cy="264560"/>
    <xdr:sp macro="" textlink="">
      <xdr:nvSpPr>
        <xdr:cNvPr id="2" name="TextBox 1">
          <a:extLst>
            <a:ext uri="{FF2B5EF4-FFF2-40B4-BE49-F238E27FC236}">
              <a16:creationId xmlns:a16="http://schemas.microsoft.com/office/drawing/2014/main" id="{FDCB1710-8196-4F36-8285-43C1EFDB83F6}"/>
            </a:ext>
          </a:extLst>
        </xdr:cNvPr>
        <xdr:cNvSpPr txBox="1"/>
      </xdr:nvSpPr>
      <xdr:spPr>
        <a:xfrm>
          <a:off x="29679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64</xdr:row>
      <xdr:rowOff>0</xdr:rowOff>
    </xdr:from>
    <xdr:ext cx="192763" cy="264560"/>
    <xdr:sp macro="" textlink="">
      <xdr:nvSpPr>
        <xdr:cNvPr id="3" name="TextBox 2">
          <a:extLst>
            <a:ext uri="{FF2B5EF4-FFF2-40B4-BE49-F238E27FC236}">
              <a16:creationId xmlns:a16="http://schemas.microsoft.com/office/drawing/2014/main" id="{7C6A0D1B-0DF6-48DF-873C-C76B167F97B2}"/>
            </a:ext>
          </a:extLst>
        </xdr:cNvPr>
        <xdr:cNvSpPr txBox="1"/>
      </xdr:nvSpPr>
      <xdr:spPr>
        <a:xfrm>
          <a:off x="2967990" y="109347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65</xdr:row>
      <xdr:rowOff>0</xdr:rowOff>
    </xdr:from>
    <xdr:ext cx="192763" cy="303466"/>
    <xdr:sp macro="" textlink="">
      <xdr:nvSpPr>
        <xdr:cNvPr id="4" name="TextBox 3">
          <a:extLst>
            <a:ext uri="{FF2B5EF4-FFF2-40B4-BE49-F238E27FC236}">
              <a16:creationId xmlns:a16="http://schemas.microsoft.com/office/drawing/2014/main" id="{D50B0D8E-152D-4CF3-8CA4-DCC5F98A39D7}"/>
            </a:ext>
          </a:extLst>
        </xdr:cNvPr>
        <xdr:cNvSpPr txBox="1"/>
      </xdr:nvSpPr>
      <xdr:spPr>
        <a:xfrm>
          <a:off x="2967990" y="11096625"/>
          <a:ext cx="192763"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5" name="TextBox 4">
          <a:extLst>
            <a:ext uri="{FF2B5EF4-FFF2-40B4-BE49-F238E27FC236}">
              <a16:creationId xmlns:a16="http://schemas.microsoft.com/office/drawing/2014/main" id="{6982B64F-3438-42F2-867D-33F992962C5E}"/>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66</xdr:row>
      <xdr:rowOff>0</xdr:rowOff>
    </xdr:from>
    <xdr:ext cx="192763" cy="264560"/>
    <xdr:sp macro="" textlink="">
      <xdr:nvSpPr>
        <xdr:cNvPr id="6" name="TextBox 5">
          <a:extLst>
            <a:ext uri="{FF2B5EF4-FFF2-40B4-BE49-F238E27FC236}">
              <a16:creationId xmlns:a16="http://schemas.microsoft.com/office/drawing/2014/main" id="{22A65377-3EA2-430C-91C2-A2E44041AE38}"/>
            </a:ext>
          </a:extLst>
        </xdr:cNvPr>
        <xdr:cNvSpPr txBox="1"/>
      </xdr:nvSpPr>
      <xdr:spPr>
        <a:xfrm>
          <a:off x="2967990" y="11258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7" name="TextBox 6">
          <a:extLst>
            <a:ext uri="{FF2B5EF4-FFF2-40B4-BE49-F238E27FC236}">
              <a16:creationId xmlns:a16="http://schemas.microsoft.com/office/drawing/2014/main" id="{F4BCA444-C616-4F92-8714-86851DC19DE2}"/>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67</xdr:row>
      <xdr:rowOff>0</xdr:rowOff>
    </xdr:from>
    <xdr:ext cx="192763" cy="264560"/>
    <xdr:sp macro="" textlink="">
      <xdr:nvSpPr>
        <xdr:cNvPr id="8" name="TextBox 7">
          <a:extLst>
            <a:ext uri="{FF2B5EF4-FFF2-40B4-BE49-F238E27FC236}">
              <a16:creationId xmlns:a16="http://schemas.microsoft.com/office/drawing/2014/main" id="{DD162575-FBAD-481F-9151-C317CD942FCE}"/>
            </a:ext>
          </a:extLst>
        </xdr:cNvPr>
        <xdr:cNvSpPr txBox="1"/>
      </xdr:nvSpPr>
      <xdr:spPr>
        <a:xfrm>
          <a:off x="2967990" y="114204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9" name="TextBox 8">
          <a:extLst>
            <a:ext uri="{FF2B5EF4-FFF2-40B4-BE49-F238E27FC236}">
              <a16:creationId xmlns:a16="http://schemas.microsoft.com/office/drawing/2014/main" id="{2CA358D3-D47D-4AAF-934E-8A05660F3291}"/>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68</xdr:row>
      <xdr:rowOff>0</xdr:rowOff>
    </xdr:from>
    <xdr:ext cx="192763" cy="264560"/>
    <xdr:sp macro="" textlink="">
      <xdr:nvSpPr>
        <xdr:cNvPr id="10" name="TextBox 9">
          <a:extLst>
            <a:ext uri="{FF2B5EF4-FFF2-40B4-BE49-F238E27FC236}">
              <a16:creationId xmlns:a16="http://schemas.microsoft.com/office/drawing/2014/main" id="{228A7D1B-0125-439F-8523-CE968473968D}"/>
            </a:ext>
          </a:extLst>
        </xdr:cNvPr>
        <xdr:cNvSpPr txBox="1"/>
      </xdr:nvSpPr>
      <xdr:spPr>
        <a:xfrm>
          <a:off x="2967990" y="115824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1" name="TextBox 10">
          <a:extLst>
            <a:ext uri="{FF2B5EF4-FFF2-40B4-BE49-F238E27FC236}">
              <a16:creationId xmlns:a16="http://schemas.microsoft.com/office/drawing/2014/main" id="{81A90AFB-18EB-42EA-AAAC-168FED29A066}"/>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69</xdr:row>
      <xdr:rowOff>0</xdr:rowOff>
    </xdr:from>
    <xdr:ext cx="192763" cy="264560"/>
    <xdr:sp macro="" textlink="">
      <xdr:nvSpPr>
        <xdr:cNvPr id="12" name="TextBox 11">
          <a:extLst>
            <a:ext uri="{FF2B5EF4-FFF2-40B4-BE49-F238E27FC236}">
              <a16:creationId xmlns:a16="http://schemas.microsoft.com/office/drawing/2014/main" id="{CC83D47C-9659-484C-8BC8-950282C1713B}"/>
            </a:ext>
          </a:extLst>
        </xdr:cNvPr>
        <xdr:cNvSpPr txBox="1"/>
      </xdr:nvSpPr>
      <xdr:spPr>
        <a:xfrm>
          <a:off x="2967990" y="11744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3" name="TextBox 12">
          <a:extLst>
            <a:ext uri="{FF2B5EF4-FFF2-40B4-BE49-F238E27FC236}">
              <a16:creationId xmlns:a16="http://schemas.microsoft.com/office/drawing/2014/main" id="{70F5D12E-0A83-4DC8-BD6E-78FB18A98292}"/>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3139440</xdr:colOff>
      <xdr:row>70</xdr:row>
      <xdr:rowOff>0</xdr:rowOff>
    </xdr:from>
    <xdr:ext cx="192763" cy="264560"/>
    <xdr:sp macro="" textlink="">
      <xdr:nvSpPr>
        <xdr:cNvPr id="14" name="TextBox 13">
          <a:extLst>
            <a:ext uri="{FF2B5EF4-FFF2-40B4-BE49-F238E27FC236}">
              <a16:creationId xmlns:a16="http://schemas.microsoft.com/office/drawing/2014/main" id="{C19378E8-D796-4B52-B73A-A5C24815985A}"/>
            </a:ext>
          </a:extLst>
        </xdr:cNvPr>
        <xdr:cNvSpPr txBox="1"/>
      </xdr:nvSpPr>
      <xdr:spPr>
        <a:xfrm>
          <a:off x="2967990" y="119062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63</xdr:row>
      <xdr:rowOff>0</xdr:rowOff>
    </xdr:from>
    <xdr:ext cx="184731" cy="264560"/>
    <xdr:sp macro="" textlink="">
      <xdr:nvSpPr>
        <xdr:cNvPr id="15" name="TextBox 14">
          <a:extLst>
            <a:ext uri="{FF2B5EF4-FFF2-40B4-BE49-F238E27FC236}">
              <a16:creationId xmlns:a16="http://schemas.microsoft.com/office/drawing/2014/main" id="{8FD7ADBA-8C77-4523-A738-18E2C9DA8F99}"/>
            </a:ext>
          </a:extLst>
        </xdr:cNvPr>
        <xdr:cNvSpPr txBox="1"/>
      </xdr:nvSpPr>
      <xdr:spPr>
        <a:xfrm>
          <a:off x="44196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64</xdr:row>
      <xdr:rowOff>0</xdr:rowOff>
    </xdr:from>
    <xdr:ext cx="184731" cy="264560"/>
    <xdr:sp macro="" textlink="">
      <xdr:nvSpPr>
        <xdr:cNvPr id="16" name="TextBox 15">
          <a:extLst>
            <a:ext uri="{FF2B5EF4-FFF2-40B4-BE49-F238E27FC236}">
              <a16:creationId xmlns:a16="http://schemas.microsoft.com/office/drawing/2014/main" id="{F1A5A293-AC1B-4DD3-A8EB-133E1653457E}"/>
            </a:ext>
          </a:extLst>
        </xdr:cNvPr>
        <xdr:cNvSpPr txBox="1"/>
      </xdr:nvSpPr>
      <xdr:spPr>
        <a:xfrm>
          <a:off x="44196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65</xdr:row>
      <xdr:rowOff>0</xdr:rowOff>
    </xdr:from>
    <xdr:ext cx="184731" cy="303466"/>
    <xdr:sp macro="" textlink="">
      <xdr:nvSpPr>
        <xdr:cNvPr id="17" name="TextBox 16">
          <a:extLst>
            <a:ext uri="{FF2B5EF4-FFF2-40B4-BE49-F238E27FC236}">
              <a16:creationId xmlns:a16="http://schemas.microsoft.com/office/drawing/2014/main" id="{10EE02AD-1144-438A-8053-81F5AC52C97F}"/>
            </a:ext>
          </a:extLst>
        </xdr:cNvPr>
        <xdr:cNvSpPr txBox="1"/>
      </xdr:nvSpPr>
      <xdr:spPr>
        <a:xfrm>
          <a:off x="44196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8" name="TextBox 17">
          <a:extLst>
            <a:ext uri="{FF2B5EF4-FFF2-40B4-BE49-F238E27FC236}">
              <a16:creationId xmlns:a16="http://schemas.microsoft.com/office/drawing/2014/main" id="{57C2C4FB-8E3C-490A-B48F-FC55A4B78190}"/>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0</xdr:colOff>
      <xdr:row>66</xdr:row>
      <xdr:rowOff>0</xdr:rowOff>
    </xdr:from>
    <xdr:ext cx="184731" cy="264560"/>
    <xdr:sp macro="" textlink="">
      <xdr:nvSpPr>
        <xdr:cNvPr id="19" name="TextBox 18">
          <a:extLst>
            <a:ext uri="{FF2B5EF4-FFF2-40B4-BE49-F238E27FC236}">
              <a16:creationId xmlns:a16="http://schemas.microsoft.com/office/drawing/2014/main" id="{11EEC175-A60B-489A-9B14-C2EC87E9B61C}"/>
            </a:ext>
          </a:extLst>
        </xdr:cNvPr>
        <xdr:cNvSpPr txBox="1"/>
      </xdr:nvSpPr>
      <xdr:spPr>
        <a:xfrm>
          <a:off x="44196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0" name="TextBox 19">
          <a:extLst>
            <a:ext uri="{FF2B5EF4-FFF2-40B4-BE49-F238E27FC236}">
              <a16:creationId xmlns:a16="http://schemas.microsoft.com/office/drawing/2014/main" id="{899EC020-9AC1-4D68-A333-CF204DA8E598}"/>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67</xdr:row>
      <xdr:rowOff>0</xdr:rowOff>
    </xdr:from>
    <xdr:ext cx="184731" cy="264560"/>
    <xdr:sp macro="" textlink="">
      <xdr:nvSpPr>
        <xdr:cNvPr id="21" name="TextBox 20">
          <a:extLst>
            <a:ext uri="{FF2B5EF4-FFF2-40B4-BE49-F238E27FC236}">
              <a16:creationId xmlns:a16="http://schemas.microsoft.com/office/drawing/2014/main" id="{F650B149-9999-4AC2-82A6-E97B768550DD}"/>
            </a:ext>
          </a:extLst>
        </xdr:cNvPr>
        <xdr:cNvSpPr txBox="1"/>
      </xdr:nvSpPr>
      <xdr:spPr>
        <a:xfrm>
          <a:off x="44196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2" name="TextBox 21">
          <a:extLst>
            <a:ext uri="{FF2B5EF4-FFF2-40B4-BE49-F238E27FC236}">
              <a16:creationId xmlns:a16="http://schemas.microsoft.com/office/drawing/2014/main" id="{9B60C07B-3FF7-404A-81F3-356EE94CDBB1}"/>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68</xdr:row>
      <xdr:rowOff>0</xdr:rowOff>
    </xdr:from>
    <xdr:ext cx="184731" cy="264560"/>
    <xdr:sp macro="" textlink="">
      <xdr:nvSpPr>
        <xdr:cNvPr id="23" name="TextBox 22">
          <a:extLst>
            <a:ext uri="{FF2B5EF4-FFF2-40B4-BE49-F238E27FC236}">
              <a16:creationId xmlns:a16="http://schemas.microsoft.com/office/drawing/2014/main" id="{A85A7D62-1163-4D55-A609-18B1E0F4683B}"/>
            </a:ext>
          </a:extLst>
        </xdr:cNvPr>
        <xdr:cNvSpPr txBox="1"/>
      </xdr:nvSpPr>
      <xdr:spPr>
        <a:xfrm>
          <a:off x="44196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4" name="TextBox 23">
          <a:extLst>
            <a:ext uri="{FF2B5EF4-FFF2-40B4-BE49-F238E27FC236}">
              <a16:creationId xmlns:a16="http://schemas.microsoft.com/office/drawing/2014/main" id="{BDDF3DAB-4159-474F-99F0-5A6CF566048A}"/>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69</xdr:row>
      <xdr:rowOff>0</xdr:rowOff>
    </xdr:from>
    <xdr:ext cx="184731" cy="264560"/>
    <xdr:sp macro="" textlink="">
      <xdr:nvSpPr>
        <xdr:cNvPr id="25" name="TextBox 24">
          <a:extLst>
            <a:ext uri="{FF2B5EF4-FFF2-40B4-BE49-F238E27FC236}">
              <a16:creationId xmlns:a16="http://schemas.microsoft.com/office/drawing/2014/main" id="{DBF33AA7-E09F-47C5-A17A-1DE26B396387}"/>
            </a:ext>
          </a:extLst>
        </xdr:cNvPr>
        <xdr:cNvSpPr txBox="1"/>
      </xdr:nvSpPr>
      <xdr:spPr>
        <a:xfrm>
          <a:off x="44196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6" name="TextBox 25">
          <a:extLst>
            <a:ext uri="{FF2B5EF4-FFF2-40B4-BE49-F238E27FC236}">
              <a16:creationId xmlns:a16="http://schemas.microsoft.com/office/drawing/2014/main" id="{913F31AB-C31D-4EB7-A554-EEBA70556956}"/>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3143250</xdr:colOff>
      <xdr:row>70</xdr:row>
      <xdr:rowOff>0</xdr:rowOff>
    </xdr:from>
    <xdr:ext cx="184731" cy="264560"/>
    <xdr:sp macro="" textlink="">
      <xdr:nvSpPr>
        <xdr:cNvPr id="27" name="TextBox 26">
          <a:extLst>
            <a:ext uri="{FF2B5EF4-FFF2-40B4-BE49-F238E27FC236}">
              <a16:creationId xmlns:a16="http://schemas.microsoft.com/office/drawing/2014/main" id="{AE84C9FD-9983-4683-A605-5C26098144E9}"/>
            </a:ext>
          </a:extLst>
        </xdr:cNvPr>
        <xdr:cNvSpPr txBox="1"/>
      </xdr:nvSpPr>
      <xdr:spPr>
        <a:xfrm>
          <a:off x="44196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63</xdr:row>
      <xdr:rowOff>0</xdr:rowOff>
    </xdr:from>
    <xdr:ext cx="184731" cy="264560"/>
    <xdr:sp macro="" textlink="">
      <xdr:nvSpPr>
        <xdr:cNvPr id="28" name="TextBox 27">
          <a:extLst>
            <a:ext uri="{FF2B5EF4-FFF2-40B4-BE49-F238E27FC236}">
              <a16:creationId xmlns:a16="http://schemas.microsoft.com/office/drawing/2014/main" id="{F5A6C6B1-AC07-4AFE-A2F5-2FA39B95BECD}"/>
            </a:ext>
          </a:extLst>
        </xdr:cNvPr>
        <xdr:cNvSpPr txBox="1"/>
      </xdr:nvSpPr>
      <xdr:spPr>
        <a:xfrm>
          <a:off x="5867400"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64</xdr:row>
      <xdr:rowOff>0</xdr:rowOff>
    </xdr:from>
    <xdr:ext cx="184731" cy="264560"/>
    <xdr:sp macro="" textlink="">
      <xdr:nvSpPr>
        <xdr:cNvPr id="29" name="TextBox 28">
          <a:extLst>
            <a:ext uri="{FF2B5EF4-FFF2-40B4-BE49-F238E27FC236}">
              <a16:creationId xmlns:a16="http://schemas.microsoft.com/office/drawing/2014/main" id="{E98A578D-0C33-4BB7-9276-1E57438CC465}"/>
            </a:ext>
          </a:extLst>
        </xdr:cNvPr>
        <xdr:cNvSpPr txBox="1"/>
      </xdr:nvSpPr>
      <xdr:spPr>
        <a:xfrm>
          <a:off x="5867400" y="1093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65</xdr:row>
      <xdr:rowOff>0</xdr:rowOff>
    </xdr:from>
    <xdr:ext cx="184731" cy="303466"/>
    <xdr:sp macro="" textlink="">
      <xdr:nvSpPr>
        <xdr:cNvPr id="30" name="TextBox 29">
          <a:extLst>
            <a:ext uri="{FF2B5EF4-FFF2-40B4-BE49-F238E27FC236}">
              <a16:creationId xmlns:a16="http://schemas.microsoft.com/office/drawing/2014/main" id="{97095C49-EE1A-4978-8CB1-581146E37061}"/>
            </a:ext>
          </a:extLst>
        </xdr:cNvPr>
        <xdr:cNvSpPr txBox="1"/>
      </xdr:nvSpPr>
      <xdr:spPr>
        <a:xfrm>
          <a:off x="5867400" y="11096625"/>
          <a:ext cx="184731" cy="3034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1" name="TextBox 30">
          <a:extLst>
            <a:ext uri="{FF2B5EF4-FFF2-40B4-BE49-F238E27FC236}">
              <a16:creationId xmlns:a16="http://schemas.microsoft.com/office/drawing/2014/main" id="{A96B160A-F9F9-4908-A94E-DB33C7979F4E}"/>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0</xdr:colOff>
      <xdr:row>66</xdr:row>
      <xdr:rowOff>0</xdr:rowOff>
    </xdr:from>
    <xdr:ext cx="184731" cy="264560"/>
    <xdr:sp macro="" textlink="">
      <xdr:nvSpPr>
        <xdr:cNvPr id="32" name="TextBox 31">
          <a:extLst>
            <a:ext uri="{FF2B5EF4-FFF2-40B4-BE49-F238E27FC236}">
              <a16:creationId xmlns:a16="http://schemas.microsoft.com/office/drawing/2014/main" id="{3B348774-B3D0-4DE8-836C-87D7CCA288DC}"/>
            </a:ext>
          </a:extLst>
        </xdr:cNvPr>
        <xdr:cNvSpPr txBox="1"/>
      </xdr:nvSpPr>
      <xdr:spPr>
        <a:xfrm>
          <a:off x="5867400" y="1125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3" name="TextBox 32">
          <a:extLst>
            <a:ext uri="{FF2B5EF4-FFF2-40B4-BE49-F238E27FC236}">
              <a16:creationId xmlns:a16="http://schemas.microsoft.com/office/drawing/2014/main" id="{29D8F3B8-F204-49AA-8654-361CB6AAA220}"/>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67</xdr:row>
      <xdr:rowOff>0</xdr:rowOff>
    </xdr:from>
    <xdr:ext cx="184731" cy="264560"/>
    <xdr:sp macro="" textlink="">
      <xdr:nvSpPr>
        <xdr:cNvPr id="34" name="TextBox 33">
          <a:extLst>
            <a:ext uri="{FF2B5EF4-FFF2-40B4-BE49-F238E27FC236}">
              <a16:creationId xmlns:a16="http://schemas.microsoft.com/office/drawing/2014/main" id="{A06DB00C-2357-43CF-A50D-E5A9994DC2FC}"/>
            </a:ext>
          </a:extLst>
        </xdr:cNvPr>
        <xdr:cNvSpPr txBox="1"/>
      </xdr:nvSpPr>
      <xdr:spPr>
        <a:xfrm>
          <a:off x="5867400" y="1142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5" name="TextBox 34">
          <a:extLst>
            <a:ext uri="{FF2B5EF4-FFF2-40B4-BE49-F238E27FC236}">
              <a16:creationId xmlns:a16="http://schemas.microsoft.com/office/drawing/2014/main" id="{1EE0357E-6878-43B7-B4A8-0F967D0F016B}"/>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68</xdr:row>
      <xdr:rowOff>0</xdr:rowOff>
    </xdr:from>
    <xdr:ext cx="184731" cy="264560"/>
    <xdr:sp macro="" textlink="">
      <xdr:nvSpPr>
        <xdr:cNvPr id="36" name="TextBox 35">
          <a:extLst>
            <a:ext uri="{FF2B5EF4-FFF2-40B4-BE49-F238E27FC236}">
              <a16:creationId xmlns:a16="http://schemas.microsoft.com/office/drawing/2014/main" id="{001C0995-0BFC-4153-BE94-20043BD6A707}"/>
            </a:ext>
          </a:extLst>
        </xdr:cNvPr>
        <xdr:cNvSpPr txBox="1"/>
      </xdr:nvSpPr>
      <xdr:spPr>
        <a:xfrm>
          <a:off x="5867400" y="11582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7" name="TextBox 36">
          <a:extLst>
            <a:ext uri="{FF2B5EF4-FFF2-40B4-BE49-F238E27FC236}">
              <a16:creationId xmlns:a16="http://schemas.microsoft.com/office/drawing/2014/main" id="{44833B47-F877-4DF5-A816-418CBDAD4F2B}"/>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69</xdr:row>
      <xdr:rowOff>0</xdr:rowOff>
    </xdr:from>
    <xdr:ext cx="184731" cy="264560"/>
    <xdr:sp macro="" textlink="">
      <xdr:nvSpPr>
        <xdr:cNvPr id="38" name="TextBox 37">
          <a:extLst>
            <a:ext uri="{FF2B5EF4-FFF2-40B4-BE49-F238E27FC236}">
              <a16:creationId xmlns:a16="http://schemas.microsoft.com/office/drawing/2014/main" id="{260A70E8-BECC-4EB7-82D5-341C8E5BC7E4}"/>
            </a:ext>
          </a:extLst>
        </xdr:cNvPr>
        <xdr:cNvSpPr txBox="1"/>
      </xdr:nvSpPr>
      <xdr:spPr>
        <a:xfrm>
          <a:off x="5867400" y="1174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39" name="TextBox 38">
          <a:extLst>
            <a:ext uri="{FF2B5EF4-FFF2-40B4-BE49-F238E27FC236}">
              <a16:creationId xmlns:a16="http://schemas.microsoft.com/office/drawing/2014/main" id="{4E785F38-9934-443A-B7E6-0C013F6E67C2}"/>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3143250</xdr:colOff>
      <xdr:row>70</xdr:row>
      <xdr:rowOff>0</xdr:rowOff>
    </xdr:from>
    <xdr:ext cx="184731" cy="264560"/>
    <xdr:sp macro="" textlink="">
      <xdr:nvSpPr>
        <xdr:cNvPr id="40" name="TextBox 39">
          <a:extLst>
            <a:ext uri="{FF2B5EF4-FFF2-40B4-BE49-F238E27FC236}">
              <a16:creationId xmlns:a16="http://schemas.microsoft.com/office/drawing/2014/main" id="{0ABB9C30-27FC-4F38-B7FB-2FDEE23E8678}"/>
            </a:ext>
          </a:extLst>
        </xdr:cNvPr>
        <xdr:cNvSpPr txBox="1"/>
      </xdr:nvSpPr>
      <xdr:spPr>
        <a:xfrm>
          <a:off x="5867400" y="1190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3139440</xdr:colOff>
      <xdr:row>63</xdr:row>
      <xdr:rowOff>0</xdr:rowOff>
    </xdr:from>
    <xdr:ext cx="192763" cy="264560"/>
    <xdr:sp macro="" textlink="">
      <xdr:nvSpPr>
        <xdr:cNvPr id="41" name="TextBox 40">
          <a:extLst>
            <a:ext uri="{FF2B5EF4-FFF2-40B4-BE49-F238E27FC236}">
              <a16:creationId xmlns:a16="http://schemas.microsoft.com/office/drawing/2014/main" id="{84950BBF-FA6A-439F-B442-9C5C06643580}"/>
            </a:ext>
          </a:extLst>
        </xdr:cNvPr>
        <xdr:cNvSpPr txBox="1"/>
      </xdr:nvSpPr>
      <xdr:spPr>
        <a:xfrm>
          <a:off x="44157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3</xdr:col>
      <xdr:colOff>3139440</xdr:colOff>
      <xdr:row>63</xdr:row>
      <xdr:rowOff>0</xdr:rowOff>
    </xdr:from>
    <xdr:ext cx="192763" cy="264560"/>
    <xdr:sp macro="" textlink="">
      <xdr:nvSpPr>
        <xdr:cNvPr id="42" name="TextBox 41">
          <a:extLst>
            <a:ext uri="{FF2B5EF4-FFF2-40B4-BE49-F238E27FC236}">
              <a16:creationId xmlns:a16="http://schemas.microsoft.com/office/drawing/2014/main" id="{18F0B0E1-ADCC-44AA-A025-2E9C81A18257}"/>
            </a:ext>
          </a:extLst>
        </xdr:cNvPr>
        <xdr:cNvSpPr txBox="1"/>
      </xdr:nvSpPr>
      <xdr:spPr>
        <a:xfrm>
          <a:off x="58635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4</xdr:col>
      <xdr:colOff>3139440</xdr:colOff>
      <xdr:row>63</xdr:row>
      <xdr:rowOff>0</xdr:rowOff>
    </xdr:from>
    <xdr:ext cx="192763" cy="264560"/>
    <xdr:sp macro="" textlink="">
      <xdr:nvSpPr>
        <xdr:cNvPr id="43" name="TextBox 42">
          <a:extLst>
            <a:ext uri="{FF2B5EF4-FFF2-40B4-BE49-F238E27FC236}">
              <a16:creationId xmlns:a16="http://schemas.microsoft.com/office/drawing/2014/main" id="{E9602DC6-E945-4CED-B240-C72D04DE5372}"/>
            </a:ext>
          </a:extLst>
        </xdr:cNvPr>
        <xdr:cNvSpPr txBox="1"/>
      </xdr:nvSpPr>
      <xdr:spPr>
        <a:xfrm>
          <a:off x="7311390" y="1077277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3148965</xdr:colOff>
      <xdr:row>64</xdr:row>
      <xdr:rowOff>0</xdr:rowOff>
    </xdr:from>
    <xdr:ext cx="183125" cy="264560"/>
    <xdr:sp macro="" textlink="">
      <xdr:nvSpPr>
        <xdr:cNvPr id="44" name="TextBox 43">
          <a:extLst>
            <a:ext uri="{FF2B5EF4-FFF2-40B4-BE49-F238E27FC236}">
              <a16:creationId xmlns:a16="http://schemas.microsoft.com/office/drawing/2014/main" id="{DA2A720D-D0DB-4EAD-99DD-1DA032C3DA33}"/>
            </a:ext>
          </a:extLst>
        </xdr:cNvPr>
        <xdr:cNvSpPr txBox="1"/>
      </xdr:nvSpPr>
      <xdr:spPr>
        <a:xfrm>
          <a:off x="2967990" y="10934700"/>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1</xdr:col>
      <xdr:colOff>331470</xdr:colOff>
      <xdr:row>64</xdr:row>
      <xdr:rowOff>0</xdr:rowOff>
    </xdr:from>
    <xdr:ext cx="184731" cy="271710"/>
    <xdr:sp macro="" textlink="">
      <xdr:nvSpPr>
        <xdr:cNvPr id="45" name="TextBox 44">
          <a:extLst>
            <a:ext uri="{FF2B5EF4-FFF2-40B4-BE49-F238E27FC236}">
              <a16:creationId xmlns:a16="http://schemas.microsoft.com/office/drawing/2014/main" id="{5278C239-56F9-4C2E-A198-7DEB3A8D3BD8}"/>
            </a:ext>
          </a:extLst>
        </xdr:cNvPr>
        <xdr:cNvSpPr txBox="1"/>
      </xdr:nvSpPr>
      <xdr:spPr>
        <a:xfrm>
          <a:off x="1102995" y="10934700"/>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3148965</xdr:colOff>
      <xdr:row>167</xdr:row>
      <xdr:rowOff>0</xdr:rowOff>
    </xdr:from>
    <xdr:ext cx="183125" cy="264560"/>
    <xdr:sp macro="" textlink="">
      <xdr:nvSpPr>
        <xdr:cNvPr id="2" name="TextBox 1">
          <a:extLst>
            <a:ext uri="{FF2B5EF4-FFF2-40B4-BE49-F238E27FC236}">
              <a16:creationId xmlns:a16="http://schemas.microsoft.com/office/drawing/2014/main" id="{647F2B72-5EB1-4EC0-8AA6-1BA0A2BE3A0C}"/>
            </a:ext>
          </a:extLst>
        </xdr:cNvPr>
        <xdr:cNvSpPr txBox="1"/>
      </xdr:nvSpPr>
      <xdr:spPr>
        <a:xfrm>
          <a:off x="3148965" y="25860375"/>
          <a:ext cx="1831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0</xdr:col>
      <xdr:colOff>331470</xdr:colOff>
      <xdr:row>167</xdr:row>
      <xdr:rowOff>0</xdr:rowOff>
    </xdr:from>
    <xdr:ext cx="184731" cy="271710"/>
    <xdr:sp macro="" textlink="">
      <xdr:nvSpPr>
        <xdr:cNvPr id="3" name="TextBox 2">
          <a:extLst>
            <a:ext uri="{FF2B5EF4-FFF2-40B4-BE49-F238E27FC236}">
              <a16:creationId xmlns:a16="http://schemas.microsoft.com/office/drawing/2014/main" id="{F9F49060-F16F-4E8F-BB3E-BF1D750E770D}"/>
            </a:ext>
          </a:extLst>
        </xdr:cNvPr>
        <xdr:cNvSpPr txBox="1"/>
      </xdr:nvSpPr>
      <xdr:spPr>
        <a:xfrm>
          <a:off x="331470" y="25860375"/>
          <a:ext cx="184731"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opLeftCell="A13" zoomScaleNormal="100" zoomScalePageLayoutView="60" workbookViewId="0">
      <selection activeCell="D16" sqref="D16"/>
    </sheetView>
  </sheetViews>
  <sheetFormatPr defaultRowHeight="12.75" x14ac:dyDescent="0.2"/>
  <cols>
    <col min="1" max="1" width="11.5703125" style="63"/>
    <col min="2" max="2" width="66.140625" style="63"/>
    <col min="3" max="11" width="21.85546875" style="63" customWidth="1"/>
    <col min="12" max="1025" width="11.5703125" style="63"/>
    <col min="1026" max="16384" width="9.140625" style="63"/>
  </cols>
  <sheetData>
    <row r="1" spans="1:11" x14ac:dyDescent="0.2">
      <c r="A1" s="124"/>
      <c r="B1" s="124"/>
      <c r="C1" s="124"/>
      <c r="D1" s="124"/>
      <c r="E1" s="124"/>
      <c r="F1" s="124"/>
      <c r="G1" s="124"/>
      <c r="H1" s="124"/>
      <c r="I1" s="124"/>
      <c r="J1" s="124"/>
      <c r="K1" s="124"/>
    </row>
    <row r="2" spans="1:11" x14ac:dyDescent="0.2">
      <c r="A2" s="124"/>
      <c r="B2" s="124"/>
      <c r="C2" s="124"/>
      <c r="D2" s="125" t="s">
        <v>276</v>
      </c>
      <c r="E2" s="124"/>
      <c r="F2" s="124"/>
      <c r="G2" s="124"/>
      <c r="H2" s="124"/>
      <c r="I2" s="124"/>
      <c r="J2" s="124"/>
      <c r="K2" s="124"/>
    </row>
    <row r="3" spans="1:11" x14ac:dyDescent="0.2">
      <c r="A3" s="124" t="s">
        <v>277</v>
      </c>
      <c r="B3" s="126"/>
      <c r="C3" s="124"/>
      <c r="D3" s="124"/>
      <c r="E3" s="124"/>
      <c r="F3" s="124"/>
      <c r="G3" s="124"/>
      <c r="H3" s="124"/>
      <c r="I3" s="124"/>
      <c r="J3" s="517" t="s">
        <v>278</v>
      </c>
      <c r="K3" s="517"/>
    </row>
    <row r="4" spans="1:11" x14ac:dyDescent="0.2">
      <c r="A4" s="124"/>
      <c r="B4" s="124"/>
      <c r="C4" s="124"/>
      <c r="D4" s="124"/>
      <c r="E4" s="124"/>
      <c r="F4" s="124"/>
      <c r="G4" s="124"/>
      <c r="H4" s="124"/>
      <c r="I4" s="124"/>
      <c r="J4" s="127"/>
      <c r="K4" s="1" t="s">
        <v>279</v>
      </c>
    </row>
    <row r="5" spans="1:11" ht="25.5" x14ac:dyDescent="0.2">
      <c r="A5" s="128" t="s">
        <v>280</v>
      </c>
      <c r="B5" s="129" t="s">
        <v>281</v>
      </c>
      <c r="C5" s="129" t="s">
        <v>2</v>
      </c>
      <c r="D5" s="129" t="s">
        <v>3</v>
      </c>
      <c r="E5" s="129" t="s">
        <v>4</v>
      </c>
      <c r="F5" s="129" t="s">
        <v>657</v>
      </c>
      <c r="G5" s="129" t="s">
        <v>6</v>
      </c>
      <c r="H5" s="129" t="s">
        <v>7</v>
      </c>
      <c r="I5" s="129" t="s">
        <v>8</v>
      </c>
      <c r="J5" s="129" t="s">
        <v>9</v>
      </c>
      <c r="K5" s="129" t="s">
        <v>10</v>
      </c>
    </row>
    <row r="6" spans="1:11" x14ac:dyDescent="0.2">
      <c r="A6" s="128" t="s">
        <v>282</v>
      </c>
      <c r="B6" s="129" t="s">
        <v>283</v>
      </c>
      <c r="C6" s="129">
        <v>1</v>
      </c>
      <c r="D6" s="129">
        <v>2</v>
      </c>
      <c r="E6" s="129">
        <v>3</v>
      </c>
      <c r="F6" s="129">
        <v>4</v>
      </c>
      <c r="G6" s="129">
        <v>5</v>
      </c>
      <c r="H6" s="129">
        <v>6</v>
      </c>
      <c r="I6" s="129">
        <v>7</v>
      </c>
      <c r="J6" s="129">
        <v>8</v>
      </c>
      <c r="K6" s="129">
        <v>9</v>
      </c>
    </row>
    <row r="7" spans="1:11" x14ac:dyDescent="0.2">
      <c r="A7" s="130">
        <v>1</v>
      </c>
      <c r="B7" s="131" t="s">
        <v>11</v>
      </c>
      <c r="C7" s="132"/>
      <c r="D7" s="132"/>
      <c r="E7" s="132"/>
      <c r="F7" s="132"/>
      <c r="G7" s="132"/>
      <c r="H7" s="132"/>
      <c r="I7" s="132"/>
      <c r="J7" s="132"/>
      <c r="K7" s="133">
        <f t="shared" ref="K7:K23" si="0">SUM(C7:J7)</f>
        <v>0</v>
      </c>
    </row>
    <row r="8" spans="1:11" x14ac:dyDescent="0.2">
      <c r="A8" s="134">
        <v>2</v>
      </c>
      <c r="B8" s="135" t="s">
        <v>12</v>
      </c>
      <c r="C8" s="132"/>
      <c r="D8" s="132"/>
      <c r="E8" s="132"/>
      <c r="F8" s="132"/>
      <c r="G8" s="132"/>
      <c r="H8" s="132"/>
      <c r="I8" s="132"/>
      <c r="J8" s="132"/>
      <c r="K8" s="133">
        <f t="shared" si="0"/>
        <v>0</v>
      </c>
    </row>
    <row r="9" spans="1:11" x14ac:dyDescent="0.2">
      <c r="A9" s="134">
        <v>3</v>
      </c>
      <c r="B9" s="136" t="s">
        <v>13</v>
      </c>
      <c r="C9" s="137">
        <f>C7+C8</f>
        <v>0</v>
      </c>
      <c r="D9" s="137">
        <f t="shared" ref="D9:J9" si="1">D7+D8</f>
        <v>0</v>
      </c>
      <c r="E9" s="137">
        <f t="shared" si="1"/>
        <v>0</v>
      </c>
      <c r="F9" s="137">
        <f t="shared" si="1"/>
        <v>0</v>
      </c>
      <c r="G9" s="137">
        <f t="shared" si="1"/>
        <v>0</v>
      </c>
      <c r="H9" s="137">
        <f t="shared" si="1"/>
        <v>0</v>
      </c>
      <c r="I9" s="137">
        <f t="shared" si="1"/>
        <v>0</v>
      </c>
      <c r="J9" s="137">
        <f t="shared" si="1"/>
        <v>0</v>
      </c>
      <c r="K9" s="133">
        <f t="shared" si="0"/>
        <v>0</v>
      </c>
    </row>
    <row r="10" spans="1:11" x14ac:dyDescent="0.2">
      <c r="A10" s="134">
        <v>4</v>
      </c>
      <c r="B10" s="135" t="s">
        <v>14</v>
      </c>
      <c r="C10" s="132"/>
      <c r="D10" s="132"/>
      <c r="E10" s="132"/>
      <c r="F10" s="132"/>
      <c r="G10" s="132"/>
      <c r="H10" s="132"/>
      <c r="I10" s="132"/>
      <c r="J10" s="132"/>
      <c r="K10" s="133">
        <f t="shared" si="0"/>
        <v>0</v>
      </c>
    </row>
    <row r="11" spans="1:11" x14ac:dyDescent="0.2">
      <c r="A11" s="134">
        <v>5</v>
      </c>
      <c r="B11" s="135" t="s">
        <v>15</v>
      </c>
      <c r="C11" s="132"/>
      <c r="D11" s="132"/>
      <c r="E11" s="132"/>
      <c r="F11" s="132"/>
      <c r="G11" s="132"/>
      <c r="H11" s="132"/>
      <c r="I11" s="132"/>
      <c r="J11" s="132"/>
      <c r="K11" s="133">
        <f t="shared" si="0"/>
        <v>0</v>
      </c>
    </row>
    <row r="12" spans="1:11" x14ac:dyDescent="0.2">
      <c r="A12" s="134">
        <v>6</v>
      </c>
      <c r="B12" s="135" t="s">
        <v>16</v>
      </c>
      <c r="C12" s="132"/>
      <c r="D12" s="132"/>
      <c r="E12" s="132"/>
      <c r="F12" s="132"/>
      <c r="G12" s="132"/>
      <c r="H12" s="132"/>
      <c r="I12" s="132"/>
      <c r="J12" s="132"/>
      <c r="K12" s="133">
        <f t="shared" si="0"/>
        <v>0</v>
      </c>
    </row>
    <row r="13" spans="1:11" x14ac:dyDescent="0.2">
      <c r="A13" s="134">
        <v>7</v>
      </c>
      <c r="B13" s="135" t="s">
        <v>17</v>
      </c>
      <c r="C13" s="132"/>
      <c r="D13" s="132"/>
      <c r="E13" s="132"/>
      <c r="F13" s="132"/>
      <c r="G13" s="132"/>
      <c r="H13" s="132"/>
      <c r="I13" s="132"/>
      <c r="J13" s="132"/>
      <c r="K13" s="133">
        <f t="shared" si="0"/>
        <v>0</v>
      </c>
    </row>
    <row r="14" spans="1:11" x14ac:dyDescent="0.2">
      <c r="A14" s="134">
        <v>8</v>
      </c>
      <c r="B14" s="135" t="s">
        <v>18</v>
      </c>
      <c r="C14" s="132"/>
      <c r="D14" s="132"/>
      <c r="E14" s="132"/>
      <c r="F14" s="132"/>
      <c r="G14" s="132"/>
      <c r="H14" s="132"/>
      <c r="I14" s="132"/>
      <c r="J14" s="132"/>
      <c r="K14" s="133">
        <f t="shared" si="0"/>
        <v>0</v>
      </c>
    </row>
    <row r="15" spans="1:11" x14ac:dyDescent="0.2">
      <c r="A15" s="130">
        <v>9</v>
      </c>
      <c r="B15" s="138" t="s">
        <v>284</v>
      </c>
      <c r="C15" s="133">
        <f>SUM(C9:C14)</f>
        <v>0</v>
      </c>
      <c r="D15" s="133">
        <f t="shared" ref="D15:J15" si="2">SUM(D9:D14)</f>
        <v>0</v>
      </c>
      <c r="E15" s="133">
        <f t="shared" si="2"/>
        <v>0</v>
      </c>
      <c r="F15" s="133">
        <f t="shared" si="2"/>
        <v>0</v>
      </c>
      <c r="G15" s="133">
        <f t="shared" si="2"/>
        <v>0</v>
      </c>
      <c r="H15" s="133">
        <f t="shared" si="2"/>
        <v>0</v>
      </c>
      <c r="I15" s="133">
        <f t="shared" si="2"/>
        <v>0</v>
      </c>
      <c r="J15" s="133">
        <f t="shared" si="2"/>
        <v>0</v>
      </c>
      <c r="K15" s="133">
        <f t="shared" si="0"/>
        <v>0</v>
      </c>
    </row>
    <row r="16" spans="1:11" x14ac:dyDescent="0.2">
      <c r="A16" s="134">
        <v>10</v>
      </c>
      <c r="B16" s="135" t="s">
        <v>12</v>
      </c>
      <c r="C16" s="132"/>
      <c r="D16" s="132"/>
      <c r="E16" s="132"/>
      <c r="F16" s="132"/>
      <c r="G16" s="132"/>
      <c r="H16" s="132"/>
      <c r="I16" s="132"/>
      <c r="J16" s="132"/>
      <c r="K16" s="137">
        <f t="shared" si="0"/>
        <v>0</v>
      </c>
    </row>
    <row r="17" spans="1:11" x14ac:dyDescent="0.2">
      <c r="A17" s="134">
        <v>11</v>
      </c>
      <c r="B17" s="136" t="s">
        <v>13</v>
      </c>
      <c r="C17" s="137">
        <f>C15+C16</f>
        <v>0</v>
      </c>
      <c r="D17" s="137">
        <f t="shared" ref="D17:J17" si="3">D15+D16</f>
        <v>0</v>
      </c>
      <c r="E17" s="137">
        <f t="shared" si="3"/>
        <v>0</v>
      </c>
      <c r="F17" s="137">
        <f t="shared" si="3"/>
        <v>0</v>
      </c>
      <c r="G17" s="137">
        <f t="shared" si="3"/>
        <v>0</v>
      </c>
      <c r="H17" s="137">
        <f t="shared" si="3"/>
        <v>0</v>
      </c>
      <c r="I17" s="137">
        <f t="shared" si="3"/>
        <v>0</v>
      </c>
      <c r="J17" s="137">
        <f t="shared" si="3"/>
        <v>0</v>
      </c>
      <c r="K17" s="137">
        <f t="shared" si="0"/>
        <v>0</v>
      </c>
    </row>
    <row r="18" spans="1:11" x14ac:dyDescent="0.2">
      <c r="A18" s="134">
        <v>12</v>
      </c>
      <c r="B18" s="135" t="s">
        <v>14</v>
      </c>
      <c r="C18" s="132"/>
      <c r="D18" s="132"/>
      <c r="E18" s="132"/>
      <c r="F18" s="132"/>
      <c r="G18" s="132"/>
      <c r="H18" s="132"/>
      <c r="I18" s="132"/>
      <c r="J18" s="139">
        <f>i.04131!E64</f>
        <v>0</v>
      </c>
      <c r="K18" s="137">
        <f t="shared" si="0"/>
        <v>0</v>
      </c>
    </row>
    <row r="19" spans="1:11" x14ac:dyDescent="0.2">
      <c r="A19" s="134">
        <v>13</v>
      </c>
      <c r="B19" s="135" t="s">
        <v>15</v>
      </c>
      <c r="C19" s="132"/>
      <c r="D19" s="132"/>
      <c r="E19" s="132"/>
      <c r="F19" s="132"/>
      <c r="G19" s="132"/>
      <c r="H19" s="132"/>
      <c r="I19" s="132"/>
      <c r="J19" s="132"/>
      <c r="K19" s="137">
        <f t="shared" si="0"/>
        <v>0</v>
      </c>
    </row>
    <row r="20" spans="1:11" x14ac:dyDescent="0.2">
      <c r="A20" s="134">
        <v>14</v>
      </c>
      <c r="B20" s="135" t="s">
        <v>16</v>
      </c>
      <c r="C20" s="132"/>
      <c r="D20" s="132"/>
      <c r="E20" s="132"/>
      <c r="F20" s="132"/>
      <c r="G20" s="132"/>
      <c r="H20" s="132"/>
      <c r="I20" s="132"/>
      <c r="J20" s="132"/>
      <c r="K20" s="137">
        <f t="shared" si="0"/>
        <v>0</v>
      </c>
    </row>
    <row r="21" spans="1:11" x14ac:dyDescent="0.2">
      <c r="A21" s="134">
        <v>15</v>
      </c>
      <c r="B21" s="135" t="s">
        <v>17</v>
      </c>
      <c r="C21" s="132"/>
      <c r="D21" s="132"/>
      <c r="E21" s="132"/>
      <c r="F21" s="132"/>
      <c r="G21" s="132"/>
      <c r="H21" s="132"/>
      <c r="I21" s="132"/>
      <c r="J21" s="132"/>
      <c r="K21" s="137">
        <f t="shared" si="0"/>
        <v>0</v>
      </c>
    </row>
    <row r="22" spans="1:11" x14ac:dyDescent="0.2">
      <c r="A22" s="134">
        <v>16</v>
      </c>
      <c r="B22" s="135" t="s">
        <v>18</v>
      </c>
      <c r="C22" s="132"/>
      <c r="D22" s="132"/>
      <c r="E22" s="132"/>
      <c r="F22" s="132"/>
      <c r="G22" s="132"/>
      <c r="H22" s="132"/>
      <c r="I22" s="132"/>
      <c r="J22" s="132"/>
      <c r="K22" s="137">
        <f t="shared" si="0"/>
        <v>0</v>
      </c>
    </row>
    <row r="23" spans="1:11" x14ac:dyDescent="0.2">
      <c r="A23" s="130">
        <v>17</v>
      </c>
      <c r="B23" s="138" t="s">
        <v>284</v>
      </c>
      <c r="C23" s="133">
        <f>SUM(C17:C22)</f>
        <v>0</v>
      </c>
      <c r="D23" s="133">
        <f t="shared" ref="D23:J23" si="4">SUM(D17:D22)</f>
        <v>0</v>
      </c>
      <c r="E23" s="133">
        <f t="shared" si="4"/>
        <v>0</v>
      </c>
      <c r="F23" s="133">
        <f t="shared" si="4"/>
        <v>0</v>
      </c>
      <c r="G23" s="133">
        <f t="shared" si="4"/>
        <v>0</v>
      </c>
      <c r="H23" s="133">
        <f t="shared" si="4"/>
        <v>0</v>
      </c>
      <c r="I23" s="133">
        <f t="shared" si="4"/>
        <v>0</v>
      </c>
      <c r="J23" s="133">
        <f t="shared" si="4"/>
        <v>0</v>
      </c>
      <c r="K23" s="133">
        <f t="shared" si="0"/>
        <v>0</v>
      </c>
    </row>
    <row r="24" spans="1:11" x14ac:dyDescent="0.2">
      <c r="B24" s="5"/>
      <c r="C24" s="3"/>
      <c r="D24" s="4"/>
      <c r="E24" s="4"/>
    </row>
    <row r="25" spans="1:11" x14ac:dyDescent="0.2">
      <c r="B25" s="2" t="s">
        <v>285</v>
      </c>
      <c r="C25" s="140">
        <f>C23-i.04130!E86</f>
        <v>0</v>
      </c>
      <c r="D25" s="140">
        <f>D23-i.04130!E87</f>
        <v>0</v>
      </c>
      <c r="E25" s="140">
        <f>E23-i.04130!E88</f>
        <v>0</v>
      </c>
      <c r="F25" s="140">
        <f>F23-i.04130!E89</f>
        <v>0</v>
      </c>
      <c r="G25" s="140">
        <f>G23-i.04130!E90</f>
        <v>0</v>
      </c>
      <c r="H25" s="140">
        <f>H23-i.04130!E91</f>
        <v>0</v>
      </c>
      <c r="I25" s="140">
        <f>I23-i.04130!E92</f>
        <v>0</v>
      </c>
      <c r="J25" s="140">
        <f>J23-i.04130!E93</f>
        <v>0</v>
      </c>
      <c r="K25" s="140">
        <f>K23-i.04130!E94</f>
        <v>0</v>
      </c>
    </row>
    <row r="26" spans="1:11" x14ac:dyDescent="0.2">
      <c r="B26" s="5"/>
      <c r="C26" s="3"/>
      <c r="D26" s="4"/>
      <c r="E26" s="4"/>
    </row>
    <row r="27" spans="1:11" x14ac:dyDescent="0.2">
      <c r="B27" s="5" t="s">
        <v>286</v>
      </c>
      <c r="C27" s="3"/>
      <c r="D27" s="4"/>
      <c r="E27" s="4"/>
    </row>
    <row r="28" spans="1:11" x14ac:dyDescent="0.2">
      <c r="B28" s="5"/>
      <c r="C28" s="3"/>
      <c r="D28" s="4"/>
      <c r="E28" s="4"/>
    </row>
    <row r="29" spans="1:11" x14ac:dyDescent="0.2">
      <c r="B29" s="6" t="s">
        <v>287</v>
      </c>
      <c r="C29" s="516" t="s">
        <v>288</v>
      </c>
      <c r="D29" s="516"/>
      <c r="E29" s="7" t="s">
        <v>289</v>
      </c>
    </row>
    <row r="30" spans="1:11" x14ac:dyDescent="0.2">
      <c r="B30" s="5"/>
      <c r="C30" s="516"/>
      <c r="D30" s="516"/>
      <c r="E30" s="4"/>
    </row>
    <row r="31" spans="1:11" x14ac:dyDescent="0.2">
      <c r="B31" s="6" t="s">
        <v>290</v>
      </c>
      <c r="C31" s="516" t="s">
        <v>291</v>
      </c>
      <c r="D31" s="516"/>
      <c r="E31" s="7" t="s">
        <v>292</v>
      </c>
    </row>
    <row r="32" spans="1:11" x14ac:dyDescent="0.2">
      <c r="B32" s="5"/>
      <c r="C32" s="516"/>
      <c r="D32" s="516"/>
      <c r="E32" s="4"/>
    </row>
    <row r="33" spans="2:5" x14ac:dyDescent="0.2">
      <c r="B33" s="8" t="s">
        <v>293</v>
      </c>
      <c r="C33" s="516" t="s">
        <v>288</v>
      </c>
      <c r="D33" s="516"/>
      <c r="E33" s="7" t="s">
        <v>292</v>
      </c>
    </row>
  </sheetData>
  <sheetProtection password="CA9F" sheet="1" objects="1" scenarios="1"/>
  <mergeCells count="6">
    <mergeCell ref="C30:D30"/>
    <mergeCell ref="C31:D31"/>
    <mergeCell ref="C32:D32"/>
    <mergeCell ref="C33:D33"/>
    <mergeCell ref="J3:K3"/>
    <mergeCell ref="C29:D29"/>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A3291-B358-479A-BFCC-5A2B29B865BA}">
  <dimension ref="A1:E106"/>
  <sheetViews>
    <sheetView topLeftCell="A73" zoomScaleNormal="100" zoomScalePageLayoutView="60" workbookViewId="0">
      <selection activeCell="B8" sqref="B8"/>
    </sheetView>
  </sheetViews>
  <sheetFormatPr defaultRowHeight="12.75" x14ac:dyDescent="0.2"/>
  <cols>
    <col min="1" max="1" width="6.5703125" style="287" bestFit="1" customWidth="1"/>
    <col min="2" max="2" width="71.5703125" style="287" customWidth="1"/>
    <col min="3" max="3" width="7.28515625" style="287" bestFit="1" customWidth="1"/>
    <col min="4" max="4" width="24.5703125" style="287" customWidth="1"/>
    <col min="5" max="5" width="23" style="287" customWidth="1"/>
    <col min="6" max="16384" width="9.140625" style="287"/>
  </cols>
  <sheetData>
    <row r="1" spans="1:5" x14ac:dyDescent="0.2">
      <c r="C1" s="550" t="s">
        <v>661</v>
      </c>
      <c r="D1" s="551"/>
      <c r="E1" s="551"/>
    </row>
    <row r="2" spans="1:5" x14ac:dyDescent="0.2">
      <c r="C2" s="551"/>
      <c r="D2" s="551"/>
      <c r="E2" s="551"/>
    </row>
    <row r="4" spans="1:5" x14ac:dyDescent="0.2">
      <c r="A4" s="548" t="s">
        <v>660</v>
      </c>
      <c r="B4" s="548"/>
      <c r="C4" s="548"/>
      <c r="D4" s="548"/>
      <c r="E4" s="548"/>
    </row>
    <row r="5" spans="1:5" x14ac:dyDescent="0.2">
      <c r="A5" s="402"/>
      <c r="B5" s="399"/>
      <c r="C5" s="403"/>
      <c r="D5" s="398"/>
      <c r="E5" s="398"/>
    </row>
    <row r="6" spans="1:5" x14ac:dyDescent="0.2">
      <c r="A6" s="549" t="s">
        <v>277</v>
      </c>
      <c r="B6" s="549"/>
      <c r="C6" s="396"/>
      <c r="D6" s="517" t="s">
        <v>278</v>
      </c>
      <c r="E6" s="517"/>
    </row>
    <row r="7" spans="1:5" ht="13.5" thickBot="1" x14ac:dyDescent="0.25">
      <c r="A7" s="41"/>
      <c r="B7" s="311"/>
      <c r="C7" s="396"/>
      <c r="D7" s="397"/>
      <c r="E7" s="291" t="s">
        <v>279</v>
      </c>
    </row>
    <row r="8" spans="1:5" ht="25.5" x14ac:dyDescent="0.2">
      <c r="A8" s="404" t="s">
        <v>280</v>
      </c>
      <c r="B8" s="200" t="s">
        <v>465</v>
      </c>
      <c r="C8" s="163" t="s">
        <v>295</v>
      </c>
      <c r="D8" s="308" t="s">
        <v>296</v>
      </c>
      <c r="E8" s="309" t="s">
        <v>296</v>
      </c>
    </row>
    <row r="9" spans="1:5" x14ac:dyDescent="0.2">
      <c r="A9" s="405" t="s">
        <v>282</v>
      </c>
      <c r="B9" s="165" t="s">
        <v>283</v>
      </c>
      <c r="C9" s="164" t="s">
        <v>297</v>
      </c>
      <c r="D9" s="165">
        <v>1</v>
      </c>
      <c r="E9" s="165">
        <v>2</v>
      </c>
    </row>
    <row r="10" spans="1:5" x14ac:dyDescent="0.2">
      <c r="A10" s="406">
        <v>1</v>
      </c>
      <c r="B10" s="407" t="s">
        <v>120</v>
      </c>
      <c r="C10" s="164">
        <v>1</v>
      </c>
      <c r="D10" s="408"/>
      <c r="E10" s="408"/>
    </row>
    <row r="11" spans="1:5" x14ac:dyDescent="0.2">
      <c r="A11" s="409" t="s">
        <v>588</v>
      </c>
      <c r="B11" s="193" t="s">
        <v>20</v>
      </c>
      <c r="C11" s="164">
        <f>+C10+1</f>
        <v>2</v>
      </c>
      <c r="D11" s="408"/>
      <c r="E11" s="408"/>
    </row>
    <row r="12" spans="1:5" x14ac:dyDescent="0.2">
      <c r="A12" s="410" t="s">
        <v>300</v>
      </c>
      <c r="B12" s="305" t="s">
        <v>121</v>
      </c>
      <c r="C12" s="411">
        <v>3</v>
      </c>
      <c r="D12" s="412">
        <f>i.04130a!C9+i.04130a!C10+i.04130a!C11</f>
        <v>0</v>
      </c>
      <c r="E12" s="412">
        <f>i.04130a!D9+i.04130a!D10+i.04130a!D11</f>
        <v>0</v>
      </c>
    </row>
    <row r="13" spans="1:5" x14ac:dyDescent="0.2">
      <c r="A13" s="410" t="s">
        <v>302</v>
      </c>
      <c r="B13" s="305" t="s">
        <v>122</v>
      </c>
      <c r="C13" s="411">
        <f>+C12+1</f>
        <v>4</v>
      </c>
      <c r="D13" s="412">
        <f>i.04130a!C12+i.04130a!C13+i.04130a!C14</f>
        <v>0</v>
      </c>
      <c r="E13" s="412">
        <f>i.04130a!D12+i.04130a!D13+i.04130a!D14</f>
        <v>0</v>
      </c>
    </row>
    <row r="14" spans="1:5" x14ac:dyDescent="0.2">
      <c r="A14" s="410" t="s">
        <v>304</v>
      </c>
      <c r="B14" s="305" t="s">
        <v>123</v>
      </c>
      <c r="C14" s="411">
        <v>5</v>
      </c>
      <c r="D14" s="412">
        <f>i.04130a!C15+i.04130a!C16+i.04130a!C17+i.04130a!C18+i.04130a!C19+i.04130a!C20+i.04130a!C21+i.04130a!C22+i.04130a!C23+i.04130a!C24</f>
        <v>0</v>
      </c>
      <c r="E14" s="412">
        <f>i.04130a!D15+i.04130a!D16+i.04130a!D17+i.04130a!D18+i.04130a!D19+i.04130a!D20+i.04130a!D21+i.04130a!D22+i.04130a!D23+i.04130a!D24</f>
        <v>0</v>
      </c>
    </row>
    <row r="15" spans="1:5" x14ac:dyDescent="0.2">
      <c r="A15" s="410" t="s">
        <v>306</v>
      </c>
      <c r="B15" s="305" t="s">
        <v>124</v>
      </c>
      <c r="C15" s="411">
        <f t="shared" ref="C15:C76" si="0">+C14+1</f>
        <v>6</v>
      </c>
      <c r="D15" s="412">
        <f>i.04130a!C25+i.04130a!C26+i.04130a!C27+i.04130a!C28+i.04130a!C29</f>
        <v>0</v>
      </c>
      <c r="E15" s="412">
        <f>i.04130a!D25+i.04130a!D26+i.04130a!D27+i.04130a!D28+i.04130a!D29</f>
        <v>0</v>
      </c>
    </row>
    <row r="16" spans="1:5" x14ac:dyDescent="0.2">
      <c r="A16" s="409" t="s">
        <v>308</v>
      </c>
      <c r="B16" s="413" t="s">
        <v>589</v>
      </c>
      <c r="C16" s="164">
        <f t="shared" si="0"/>
        <v>7</v>
      </c>
      <c r="D16" s="414">
        <f>SUM(D12:D15)</f>
        <v>0</v>
      </c>
      <c r="E16" s="414">
        <f>SUM(E12:E15)</f>
        <v>0</v>
      </c>
    </row>
    <row r="17" spans="1:5" x14ac:dyDescent="0.2">
      <c r="A17" s="409" t="s">
        <v>590</v>
      </c>
      <c r="B17" s="413" t="s">
        <v>125</v>
      </c>
      <c r="C17" s="164">
        <f t="shared" si="0"/>
        <v>8</v>
      </c>
      <c r="D17" s="408"/>
      <c r="E17" s="408"/>
    </row>
    <row r="18" spans="1:5" x14ac:dyDescent="0.2">
      <c r="A18" s="410" t="s">
        <v>315</v>
      </c>
      <c r="B18" s="305" t="s">
        <v>591</v>
      </c>
      <c r="C18" s="411">
        <f t="shared" si="0"/>
        <v>9</v>
      </c>
      <c r="D18" s="412">
        <f>i.04130a!C30-i.04130a!C31</f>
        <v>0</v>
      </c>
      <c r="E18" s="412">
        <f>i.04130a!D30-i.04130a!D31</f>
        <v>0</v>
      </c>
    </row>
    <row r="19" spans="1:5" x14ac:dyDescent="0.2">
      <c r="A19" s="410" t="s">
        <v>317</v>
      </c>
      <c r="B19" s="305" t="s">
        <v>592</v>
      </c>
      <c r="C19" s="411">
        <f>C18+1</f>
        <v>10</v>
      </c>
      <c r="D19" s="412">
        <f>i.04130a!C34-i.04130a!C35+i.04130a!C36-i.04130a!C37+i.04130a!C38-i.04130a!C39</f>
        <v>0</v>
      </c>
      <c r="E19" s="412">
        <f>i.04130a!D34-i.04130a!D35+i.04130a!D36-i.04130a!D37+i.04130a!D38-i.04130a!D39</f>
        <v>0</v>
      </c>
    </row>
    <row r="20" spans="1:5" x14ac:dyDescent="0.2">
      <c r="A20" s="409" t="s">
        <v>319</v>
      </c>
      <c r="B20" s="413" t="s">
        <v>1109</v>
      </c>
      <c r="C20" s="164">
        <f t="shared" si="0"/>
        <v>11</v>
      </c>
      <c r="D20" s="414">
        <f>SUM(D18:D19)</f>
        <v>0</v>
      </c>
      <c r="E20" s="414">
        <f>SUM(E18:E19)</f>
        <v>0</v>
      </c>
    </row>
    <row r="21" spans="1:5" x14ac:dyDescent="0.2">
      <c r="A21" s="409" t="s">
        <v>593</v>
      </c>
      <c r="B21" s="413" t="s">
        <v>126</v>
      </c>
      <c r="C21" s="164">
        <f t="shared" si="0"/>
        <v>12</v>
      </c>
      <c r="D21" s="414"/>
      <c r="E21" s="414"/>
    </row>
    <row r="22" spans="1:5" x14ac:dyDescent="0.2">
      <c r="A22" s="410" t="s">
        <v>594</v>
      </c>
      <c r="B22" s="305" t="s">
        <v>127</v>
      </c>
      <c r="C22" s="411">
        <f t="shared" si="0"/>
        <v>13</v>
      </c>
      <c r="D22" s="412">
        <f>i.04130a!C40-i.04130a!C41+i.04130a!C111</f>
        <v>0</v>
      </c>
      <c r="E22" s="412">
        <f>i.04130a!D40-i.04130a!D41+i.04130a!D111</f>
        <v>0</v>
      </c>
    </row>
    <row r="23" spans="1:5" x14ac:dyDescent="0.2">
      <c r="A23" s="409" t="s">
        <v>595</v>
      </c>
      <c r="B23" s="413" t="s">
        <v>596</v>
      </c>
      <c r="C23" s="164">
        <f t="shared" si="0"/>
        <v>14</v>
      </c>
      <c r="D23" s="414">
        <f>D22</f>
        <v>0</v>
      </c>
      <c r="E23" s="414">
        <f>E22</f>
        <v>0</v>
      </c>
    </row>
    <row r="24" spans="1:5" x14ac:dyDescent="0.2">
      <c r="A24" s="409" t="s">
        <v>597</v>
      </c>
      <c r="B24" s="413" t="s">
        <v>128</v>
      </c>
      <c r="C24" s="164">
        <f t="shared" si="0"/>
        <v>15</v>
      </c>
      <c r="D24" s="414"/>
      <c r="E24" s="414"/>
    </row>
    <row r="25" spans="1:5" x14ac:dyDescent="0.2">
      <c r="A25" s="410" t="s">
        <v>598</v>
      </c>
      <c r="B25" s="305" t="s">
        <v>129</v>
      </c>
      <c r="C25" s="411">
        <f t="shared" si="0"/>
        <v>16</v>
      </c>
      <c r="D25" s="412">
        <f>i.04130a!C42+i.04130a!C43</f>
        <v>0</v>
      </c>
      <c r="E25" s="412">
        <f>i.04130a!D42+i.04130a!D43</f>
        <v>0</v>
      </c>
    </row>
    <row r="26" spans="1:5" x14ac:dyDescent="0.2">
      <c r="A26" s="410" t="s">
        <v>599</v>
      </c>
      <c r="B26" s="305" t="s">
        <v>130</v>
      </c>
      <c r="C26" s="411">
        <f t="shared" si="0"/>
        <v>17</v>
      </c>
      <c r="D26" s="412">
        <f>i.04130a!C162</f>
        <v>0</v>
      </c>
      <c r="E26" s="412">
        <f>i.04130a!D162</f>
        <v>0</v>
      </c>
    </row>
    <row r="27" spans="1:5" x14ac:dyDescent="0.2">
      <c r="A27" s="410" t="s">
        <v>600</v>
      </c>
      <c r="B27" s="415" t="s">
        <v>131</v>
      </c>
      <c r="C27" s="411">
        <f t="shared" si="0"/>
        <v>18</v>
      </c>
      <c r="D27" s="412">
        <f>i.04130a!C44</f>
        <v>0</v>
      </c>
      <c r="E27" s="412">
        <f>i.04130a!D44</f>
        <v>0</v>
      </c>
    </row>
    <row r="28" spans="1:5" x14ac:dyDescent="0.2">
      <c r="A28" s="410" t="s">
        <v>601</v>
      </c>
      <c r="B28" s="415" t="s">
        <v>132</v>
      </c>
      <c r="C28" s="411">
        <f t="shared" si="0"/>
        <v>19</v>
      </c>
      <c r="D28" s="412">
        <f>i.04130a!C66+i.04130a!C67+i.04130a!C68+i.04130a!C69+i.04130a!C70</f>
        <v>0</v>
      </c>
      <c r="E28" s="412">
        <f>i.04130a!D66+i.04130a!D67+i.04130a!D68+i.04130a!D69+i.04130a!D70</f>
        <v>0</v>
      </c>
    </row>
    <row r="29" spans="1:5" x14ac:dyDescent="0.2">
      <c r="A29" s="410" t="s">
        <v>602</v>
      </c>
      <c r="B29" s="415" t="s">
        <v>133</v>
      </c>
      <c r="C29" s="411">
        <f t="shared" si="0"/>
        <v>20</v>
      </c>
      <c r="D29" s="412">
        <f>i.04130a!C71+i.04130a!C72</f>
        <v>0</v>
      </c>
      <c r="E29" s="412">
        <f>i.04130a!D71+i.04130a!D72</f>
        <v>0</v>
      </c>
    </row>
    <row r="30" spans="1:5" x14ac:dyDescent="0.2">
      <c r="A30" s="410" t="s">
        <v>603</v>
      </c>
      <c r="B30" s="415" t="s">
        <v>134</v>
      </c>
      <c r="C30" s="411">
        <f t="shared" si="0"/>
        <v>21</v>
      </c>
      <c r="D30" s="412">
        <f>i.04130a!C73-i.04130a!C74</f>
        <v>0</v>
      </c>
      <c r="E30" s="412">
        <f>i.04130a!D73-i.04130a!D74</f>
        <v>0</v>
      </c>
    </row>
    <row r="31" spans="1:5" x14ac:dyDescent="0.2">
      <c r="A31" s="409" t="s">
        <v>604</v>
      </c>
      <c r="B31" s="416" t="s">
        <v>1110</v>
      </c>
      <c r="C31" s="164">
        <f t="shared" si="0"/>
        <v>22</v>
      </c>
      <c r="D31" s="414">
        <f>SUM(D25:D30)</f>
        <v>0</v>
      </c>
      <c r="E31" s="414">
        <f>SUM(E25:E30)</f>
        <v>0</v>
      </c>
    </row>
    <row r="32" spans="1:5" x14ac:dyDescent="0.2">
      <c r="A32" s="409" t="s">
        <v>605</v>
      </c>
      <c r="B32" s="416" t="s">
        <v>21</v>
      </c>
      <c r="C32" s="164">
        <f t="shared" si="0"/>
        <v>23</v>
      </c>
      <c r="D32" s="408"/>
      <c r="E32" s="408"/>
    </row>
    <row r="33" spans="1:5" x14ac:dyDescent="0.2">
      <c r="A33" s="410" t="s">
        <v>606</v>
      </c>
      <c r="B33" s="303" t="s">
        <v>135</v>
      </c>
      <c r="C33" s="411">
        <f t="shared" si="0"/>
        <v>24</v>
      </c>
      <c r="D33" s="412">
        <f>i.04130a!C45+i.04130a!C46+i.04130a!C47+i.04130a!C48+i.04130a!C49+i.04130a!C50+i.04130a!C51</f>
        <v>0</v>
      </c>
      <c r="E33" s="412">
        <f>i.04130a!D45+i.04130a!D46+i.04130a!D47+i.04130a!D48+i.04130a!D49+i.04130a!D50+i.04130a!D51</f>
        <v>0</v>
      </c>
    </row>
    <row r="34" spans="1:5" x14ac:dyDescent="0.2">
      <c r="A34" s="410" t="s">
        <v>607</v>
      </c>
      <c r="B34" s="303" t="s">
        <v>136</v>
      </c>
      <c r="C34" s="411">
        <f t="shared" si="0"/>
        <v>25</v>
      </c>
      <c r="D34" s="412">
        <f>i.04130a!C52+i.04130a!C53+i.04130a!C54+i.04130a!C55+i.04130a!C56-i.04130a!C57+i.04130a!C58-i.04130a!C59</f>
        <v>0</v>
      </c>
      <c r="E34" s="412">
        <f>i.04130a!D52+i.04130a!D53+i.04130a!D54+i.04130a!D55+i.04130a!D56-i.04130a!D57+i.04130a!D58-i.04130a!D59</f>
        <v>0</v>
      </c>
    </row>
    <row r="35" spans="1:5" x14ac:dyDescent="0.2">
      <c r="A35" s="410" t="s">
        <v>608</v>
      </c>
      <c r="B35" s="303" t="s">
        <v>137</v>
      </c>
      <c r="C35" s="411">
        <f t="shared" si="0"/>
        <v>26</v>
      </c>
      <c r="D35" s="412">
        <f>i.04130a!C60+i.04130a!C61+i.04130a!C62-i.04130a!C63</f>
        <v>0</v>
      </c>
      <c r="E35" s="412">
        <f>i.04130a!D60+i.04130a!D61+i.04130a!D62-i.04130a!D63</f>
        <v>0</v>
      </c>
    </row>
    <row r="36" spans="1:5" x14ac:dyDescent="0.2">
      <c r="A36" s="410" t="s">
        <v>609</v>
      </c>
      <c r="B36" s="303" t="s">
        <v>138</v>
      </c>
      <c r="C36" s="411">
        <f t="shared" si="0"/>
        <v>27</v>
      </c>
      <c r="D36" s="412">
        <f>i.04130a!C64+i.04130a!C65</f>
        <v>0</v>
      </c>
      <c r="E36" s="412">
        <f>i.04130a!D64+i.04130a!D65</f>
        <v>0</v>
      </c>
    </row>
    <row r="37" spans="1:5" x14ac:dyDescent="0.2">
      <c r="A37" s="409" t="s">
        <v>610</v>
      </c>
      <c r="B37" s="416" t="s">
        <v>1111</v>
      </c>
      <c r="C37" s="164">
        <f t="shared" si="0"/>
        <v>28</v>
      </c>
      <c r="D37" s="414">
        <f>SUM(D33:D36)</f>
        <v>0</v>
      </c>
      <c r="E37" s="414">
        <f>SUM(E33:E36)</f>
        <v>0</v>
      </c>
    </row>
    <row r="38" spans="1:5" x14ac:dyDescent="0.2">
      <c r="A38" s="409" t="s">
        <v>611</v>
      </c>
      <c r="B38" s="416" t="s">
        <v>139</v>
      </c>
      <c r="C38" s="164">
        <f t="shared" si="0"/>
        <v>29</v>
      </c>
      <c r="D38" s="414"/>
      <c r="E38" s="414"/>
    </row>
    <row r="39" spans="1:5" x14ac:dyDescent="0.2">
      <c r="A39" s="410" t="s">
        <v>612</v>
      </c>
      <c r="B39" s="415" t="s">
        <v>140</v>
      </c>
      <c r="C39" s="411">
        <v>30</v>
      </c>
      <c r="D39" s="412">
        <f>i.04130a!C75</f>
        <v>0</v>
      </c>
      <c r="E39" s="412">
        <f>i.04130a!D75</f>
        <v>0</v>
      </c>
    </row>
    <row r="40" spans="1:5" x14ac:dyDescent="0.2">
      <c r="A40" s="410" t="s">
        <v>649</v>
      </c>
      <c r="B40" s="415" t="s">
        <v>141</v>
      </c>
      <c r="C40" s="411">
        <v>31</v>
      </c>
      <c r="D40" s="412">
        <f>i.04130a!C76+i.04130a!C77</f>
        <v>0</v>
      </c>
      <c r="E40" s="412">
        <f>i.04130a!D76+i.04130a!D77</f>
        <v>0</v>
      </c>
    </row>
    <row r="41" spans="1:5" x14ac:dyDescent="0.2">
      <c r="A41" s="410" t="s">
        <v>650</v>
      </c>
      <c r="B41" s="415" t="s">
        <v>142</v>
      </c>
      <c r="C41" s="411">
        <v>32</v>
      </c>
      <c r="D41" s="412">
        <f>i.04130a!C78+i.04130a!C79+i.04130a!C80</f>
        <v>0</v>
      </c>
      <c r="E41" s="412">
        <f>i.04130a!D78+i.04130a!D79+i.04130a!D80</f>
        <v>0</v>
      </c>
    </row>
    <row r="42" spans="1:5" x14ac:dyDescent="0.2">
      <c r="A42" s="409" t="s">
        <v>613</v>
      </c>
      <c r="B42" s="416" t="s">
        <v>1112</v>
      </c>
      <c r="C42" s="164">
        <v>33</v>
      </c>
      <c r="D42" s="414">
        <f>SUM(D39:D41)</f>
        <v>0</v>
      </c>
      <c r="E42" s="414">
        <f>SUM(E39:E41)</f>
        <v>0</v>
      </c>
    </row>
    <row r="43" spans="1:5" x14ac:dyDescent="0.2">
      <c r="A43" s="409" t="s">
        <v>614</v>
      </c>
      <c r="B43" s="416" t="s">
        <v>143</v>
      </c>
      <c r="C43" s="164">
        <v>34</v>
      </c>
      <c r="D43" s="414">
        <f>i.04130a!C81-i.04130a!C82+i.04130a!C83-i.04130a!C84+i.04130a!C85-i.04130a!C86+i.04130a!C87-i.04130a!C88+i.04130a!C89-i.04130a!C90+i.04130a!C91-i.04130a!C92+i.04130a!C93-i.04130a!C94+i.04130a!C95-i.04130a!C96+i.04130a!C97</f>
        <v>0</v>
      </c>
      <c r="E43" s="414">
        <f>i.04130a!D81-i.04130a!D82+i.04130a!D83-i.04130a!D84+i.04130a!D85-i.04130a!D86+i.04130a!D87-i.04130a!D88+i.04130a!D89-i.04130a!D90+i.04130a!D91-i.04130a!D92+i.04130a!D93-i.04130a!D94+i.04130a!D95-i.04130a!D96+i.04130a!D97</f>
        <v>0</v>
      </c>
    </row>
    <row r="44" spans="1:5" x14ac:dyDescent="0.2">
      <c r="A44" s="409" t="s">
        <v>615</v>
      </c>
      <c r="B44" s="416" t="s">
        <v>144</v>
      </c>
      <c r="C44" s="164">
        <f t="shared" si="0"/>
        <v>35</v>
      </c>
      <c r="D44" s="414">
        <f>i.04130a!C98-i.04130a!C99+i.04130a!C100-i.04130a!C101+i.04130a!C102-i.04130a!C103+i.04130a!C104-i.04130a!C105+i.04130a!C106-i.04130a!C107+i.04130a!C108-i.04130a!C109</f>
        <v>0</v>
      </c>
      <c r="E44" s="414">
        <f>i.04130a!D98-i.04130a!D99+i.04130a!D100-i.04130a!D101+i.04130a!D102-i.04130a!D103+i.04130a!D104-i.04130a!D105+i.04130a!D106-i.04130a!D107+i.04130a!D108-i.04130a!D109</f>
        <v>0</v>
      </c>
    </row>
    <row r="45" spans="1:5" x14ac:dyDescent="0.2">
      <c r="A45" s="409" t="s">
        <v>616</v>
      </c>
      <c r="B45" s="416" t="s">
        <v>145</v>
      </c>
      <c r="C45" s="164">
        <f t="shared" si="0"/>
        <v>36</v>
      </c>
      <c r="D45" s="414">
        <f>i.04130a!C110</f>
        <v>0</v>
      </c>
      <c r="E45" s="414">
        <f>i.04130a!D110</f>
        <v>0</v>
      </c>
    </row>
    <row r="46" spans="1:5" ht="13.5" thickBot="1" x14ac:dyDescent="0.25">
      <c r="A46" s="409" t="s">
        <v>617</v>
      </c>
      <c r="B46" s="417" t="s">
        <v>1113</v>
      </c>
      <c r="C46" s="418">
        <f t="shared" si="0"/>
        <v>37</v>
      </c>
      <c r="D46" s="419">
        <f>SUM(D16,D20,D23,D31,D37,D42,D43,D44,D45)</f>
        <v>0</v>
      </c>
      <c r="E46" s="419">
        <f>SUM(E16,E20,E23,E31,E37,E42,E43,E44,E45)</f>
        <v>0</v>
      </c>
    </row>
    <row r="47" spans="1:5" x14ac:dyDescent="0.2">
      <c r="A47" s="405" t="s">
        <v>236</v>
      </c>
      <c r="B47" s="420" t="s">
        <v>147</v>
      </c>
      <c r="C47" s="421">
        <f t="shared" si="0"/>
        <v>38</v>
      </c>
      <c r="D47" s="422"/>
      <c r="E47" s="422"/>
    </row>
    <row r="48" spans="1:5" x14ac:dyDescent="0.2">
      <c r="A48" s="405" t="s">
        <v>618</v>
      </c>
      <c r="B48" s="423" t="s">
        <v>148</v>
      </c>
      <c r="C48" s="164">
        <f t="shared" si="0"/>
        <v>39</v>
      </c>
      <c r="D48" s="414"/>
      <c r="E48" s="414"/>
    </row>
    <row r="49" spans="1:5" x14ac:dyDescent="0.2">
      <c r="A49" s="405" t="s">
        <v>348</v>
      </c>
      <c r="B49" s="416" t="s">
        <v>149</v>
      </c>
      <c r="C49" s="164">
        <f t="shared" si="0"/>
        <v>40</v>
      </c>
      <c r="D49" s="414"/>
      <c r="E49" s="414"/>
    </row>
    <row r="50" spans="1:5" x14ac:dyDescent="0.2">
      <c r="A50" s="410" t="s">
        <v>619</v>
      </c>
      <c r="B50" s="415" t="s">
        <v>150</v>
      </c>
      <c r="C50" s="411">
        <f t="shared" si="0"/>
        <v>41</v>
      </c>
      <c r="D50" s="412">
        <f>i.04130a!C112</f>
        <v>0</v>
      </c>
      <c r="E50" s="412">
        <f>i.04130a!D112</f>
        <v>0</v>
      </c>
    </row>
    <row r="51" spans="1:5" x14ac:dyDescent="0.2">
      <c r="A51" s="410" t="s">
        <v>620</v>
      </c>
      <c r="B51" s="415" t="s">
        <v>151</v>
      </c>
      <c r="C51" s="411">
        <f t="shared" si="0"/>
        <v>42</v>
      </c>
      <c r="D51" s="412">
        <f>i.04130a!C113</f>
        <v>0</v>
      </c>
      <c r="E51" s="412">
        <f>i.04130a!D113</f>
        <v>0</v>
      </c>
    </row>
    <row r="52" spans="1:5" x14ac:dyDescent="0.2">
      <c r="A52" s="410" t="s">
        <v>621</v>
      </c>
      <c r="B52" s="415" t="s">
        <v>152</v>
      </c>
      <c r="C52" s="411">
        <f t="shared" si="0"/>
        <v>43</v>
      </c>
      <c r="D52" s="412">
        <f>i.04130a!C114</f>
        <v>0</v>
      </c>
      <c r="E52" s="412">
        <f>i.04130a!D114</f>
        <v>0</v>
      </c>
    </row>
    <row r="53" spans="1:5" x14ac:dyDescent="0.2">
      <c r="A53" s="405" t="s">
        <v>622</v>
      </c>
      <c r="B53" s="416" t="s">
        <v>1114</v>
      </c>
      <c r="C53" s="164">
        <f t="shared" si="0"/>
        <v>44</v>
      </c>
      <c r="D53" s="414">
        <f>SUM(D50:D52)</f>
        <v>0</v>
      </c>
      <c r="E53" s="414">
        <f>SUM(E50:E52)</f>
        <v>0</v>
      </c>
    </row>
    <row r="54" spans="1:5" x14ac:dyDescent="0.2">
      <c r="A54" s="405" t="s">
        <v>350</v>
      </c>
      <c r="B54" s="416" t="s">
        <v>153</v>
      </c>
      <c r="C54" s="164">
        <f t="shared" si="0"/>
        <v>45</v>
      </c>
      <c r="D54" s="414"/>
      <c r="E54" s="414"/>
    </row>
    <row r="55" spans="1:5" x14ac:dyDescent="0.2">
      <c r="A55" s="410" t="s">
        <v>623</v>
      </c>
      <c r="B55" s="415" t="s">
        <v>154</v>
      </c>
      <c r="C55" s="411">
        <f t="shared" si="0"/>
        <v>46</v>
      </c>
      <c r="D55" s="412">
        <f>i.04130a!C115</f>
        <v>0</v>
      </c>
      <c r="E55" s="412">
        <f>i.04130a!D115</f>
        <v>0</v>
      </c>
    </row>
    <row r="56" spans="1:5" x14ac:dyDescent="0.2">
      <c r="A56" s="410" t="s">
        <v>624</v>
      </c>
      <c r="B56" s="415" t="s">
        <v>155</v>
      </c>
      <c r="C56" s="411">
        <f t="shared" si="0"/>
        <v>47</v>
      </c>
      <c r="D56" s="412">
        <f>i.04130a!C116</f>
        <v>0</v>
      </c>
      <c r="E56" s="412">
        <f>i.04130a!D116</f>
        <v>0</v>
      </c>
    </row>
    <row r="57" spans="1:5" x14ac:dyDescent="0.2">
      <c r="A57" s="410" t="s">
        <v>625</v>
      </c>
      <c r="B57" s="415" t="s">
        <v>156</v>
      </c>
      <c r="C57" s="411">
        <f t="shared" si="0"/>
        <v>48</v>
      </c>
      <c r="D57" s="412">
        <f>i.04130a!C117</f>
        <v>0</v>
      </c>
      <c r="E57" s="412">
        <f>i.04130a!D117</f>
        <v>0</v>
      </c>
    </row>
    <row r="58" spans="1:5" x14ac:dyDescent="0.2">
      <c r="A58" s="410" t="s">
        <v>626</v>
      </c>
      <c r="B58" s="415" t="s">
        <v>157</v>
      </c>
      <c r="C58" s="411">
        <f t="shared" si="0"/>
        <v>49</v>
      </c>
      <c r="D58" s="412">
        <f>i.04130a!C118</f>
        <v>0</v>
      </c>
      <c r="E58" s="412">
        <f>i.04130a!D118</f>
        <v>0</v>
      </c>
    </row>
    <row r="59" spans="1:5" x14ac:dyDescent="0.2">
      <c r="A59" s="410" t="s">
        <v>627</v>
      </c>
      <c r="B59" s="415" t="s">
        <v>158</v>
      </c>
      <c r="C59" s="411">
        <f t="shared" si="0"/>
        <v>50</v>
      </c>
      <c r="D59" s="412">
        <f>i.04130a!C119</f>
        <v>0</v>
      </c>
      <c r="E59" s="412">
        <f>i.04130a!D119</f>
        <v>0</v>
      </c>
    </row>
    <row r="60" spans="1:5" x14ac:dyDescent="0.2">
      <c r="A60" s="410" t="s">
        <v>628</v>
      </c>
      <c r="B60" s="415" t="s">
        <v>159</v>
      </c>
      <c r="C60" s="411">
        <f t="shared" si="0"/>
        <v>51</v>
      </c>
      <c r="D60" s="412">
        <f>i.04130a!C120+i.04130a!C147</f>
        <v>0</v>
      </c>
      <c r="E60" s="412">
        <f>i.04130a!D120+i.04130a!D147</f>
        <v>0</v>
      </c>
    </row>
    <row r="61" spans="1:5" x14ac:dyDescent="0.2">
      <c r="A61" s="405" t="s">
        <v>629</v>
      </c>
      <c r="B61" s="416" t="s">
        <v>1115</v>
      </c>
      <c r="C61" s="164">
        <f t="shared" si="0"/>
        <v>52</v>
      </c>
      <c r="D61" s="414">
        <f>SUM(D55:D60)</f>
        <v>0</v>
      </c>
      <c r="E61" s="414">
        <f>SUM(E55:E60)</f>
        <v>0</v>
      </c>
    </row>
    <row r="62" spans="1:5" x14ac:dyDescent="0.2">
      <c r="A62" s="405" t="s">
        <v>352</v>
      </c>
      <c r="B62" s="416" t="s">
        <v>160</v>
      </c>
      <c r="C62" s="164">
        <f t="shared" si="0"/>
        <v>53</v>
      </c>
      <c r="D62" s="414"/>
      <c r="E62" s="414"/>
    </row>
    <row r="63" spans="1:5" x14ac:dyDescent="0.2">
      <c r="A63" s="410" t="s">
        <v>630</v>
      </c>
      <c r="B63" s="415" t="s">
        <v>161</v>
      </c>
      <c r="C63" s="411">
        <f t="shared" si="0"/>
        <v>54</v>
      </c>
      <c r="D63" s="412">
        <f>i.04130a!C121</f>
        <v>0</v>
      </c>
      <c r="E63" s="412">
        <f>i.04130a!D121</f>
        <v>0</v>
      </c>
    </row>
    <row r="64" spans="1:5" x14ac:dyDescent="0.2">
      <c r="A64" s="410" t="s">
        <v>631</v>
      </c>
      <c r="B64" s="415" t="s">
        <v>162</v>
      </c>
      <c r="C64" s="411">
        <f t="shared" si="0"/>
        <v>55</v>
      </c>
      <c r="D64" s="412">
        <f>i.04130a!C122</f>
        <v>0</v>
      </c>
      <c r="E64" s="412">
        <f>i.04130a!D122</f>
        <v>0</v>
      </c>
    </row>
    <row r="65" spans="1:5" x14ac:dyDescent="0.2">
      <c r="A65" s="410" t="s">
        <v>632</v>
      </c>
      <c r="B65" s="415" t="s">
        <v>163</v>
      </c>
      <c r="C65" s="411">
        <f t="shared" si="0"/>
        <v>56</v>
      </c>
      <c r="D65" s="412">
        <f>i.04130a!C124</f>
        <v>0</v>
      </c>
      <c r="E65" s="412">
        <f>i.04130a!D124</f>
        <v>0</v>
      </c>
    </row>
    <row r="66" spans="1:5" x14ac:dyDescent="0.2">
      <c r="A66" s="410" t="s">
        <v>633</v>
      </c>
      <c r="B66" s="415" t="s">
        <v>164</v>
      </c>
      <c r="C66" s="411">
        <f t="shared" si="0"/>
        <v>57</v>
      </c>
      <c r="D66" s="412">
        <f>i.04130a!C125</f>
        <v>0</v>
      </c>
      <c r="E66" s="412">
        <f>i.04130a!D125</f>
        <v>0</v>
      </c>
    </row>
    <row r="67" spans="1:5" x14ac:dyDescent="0.2">
      <c r="A67" s="410" t="s">
        <v>634</v>
      </c>
      <c r="B67" s="415" t="s">
        <v>165</v>
      </c>
      <c r="C67" s="411">
        <f t="shared" si="0"/>
        <v>58</v>
      </c>
      <c r="D67" s="412">
        <f>i.04130a!C126</f>
        <v>0</v>
      </c>
      <c r="E67" s="412">
        <f>i.04130a!D126</f>
        <v>0</v>
      </c>
    </row>
    <row r="68" spans="1:5" x14ac:dyDescent="0.2">
      <c r="A68" s="410" t="s">
        <v>635</v>
      </c>
      <c r="B68" s="415" t="s">
        <v>166</v>
      </c>
      <c r="C68" s="411">
        <f t="shared" si="0"/>
        <v>59</v>
      </c>
      <c r="D68" s="412">
        <f>i.04130a!C127</f>
        <v>0</v>
      </c>
      <c r="E68" s="412">
        <f>i.04130a!D127</f>
        <v>0</v>
      </c>
    </row>
    <row r="69" spans="1:5" x14ac:dyDescent="0.2">
      <c r="A69" s="410" t="s">
        <v>636</v>
      </c>
      <c r="B69" s="415" t="s">
        <v>167</v>
      </c>
      <c r="C69" s="411">
        <f t="shared" si="0"/>
        <v>60</v>
      </c>
      <c r="D69" s="412">
        <f>i.04130a!C128</f>
        <v>0</v>
      </c>
      <c r="E69" s="412">
        <f>i.04130a!D128</f>
        <v>0</v>
      </c>
    </row>
    <row r="70" spans="1:5" x14ac:dyDescent="0.2">
      <c r="A70" s="410" t="s">
        <v>637</v>
      </c>
      <c r="B70" s="415" t="s">
        <v>168</v>
      </c>
      <c r="C70" s="411">
        <f t="shared" si="0"/>
        <v>61</v>
      </c>
      <c r="D70" s="412">
        <f>i.04130a!C129</f>
        <v>0</v>
      </c>
      <c r="E70" s="412">
        <f>i.04130a!D129</f>
        <v>0</v>
      </c>
    </row>
    <row r="71" spans="1:5" x14ac:dyDescent="0.2">
      <c r="A71" s="410" t="s">
        <v>638</v>
      </c>
      <c r="B71" s="415" t="s">
        <v>169</v>
      </c>
      <c r="C71" s="411">
        <f t="shared" si="0"/>
        <v>62</v>
      </c>
      <c r="D71" s="412">
        <f>i.04130a!C130</f>
        <v>0</v>
      </c>
      <c r="E71" s="412">
        <f>i.04130a!D130</f>
        <v>0</v>
      </c>
    </row>
    <row r="72" spans="1:5" x14ac:dyDescent="0.2">
      <c r="A72" s="410" t="s">
        <v>639</v>
      </c>
      <c r="B72" s="415" t="s">
        <v>170</v>
      </c>
      <c r="C72" s="411">
        <f t="shared" si="0"/>
        <v>63</v>
      </c>
      <c r="D72" s="412">
        <f>i.04130a!C163</f>
        <v>0</v>
      </c>
      <c r="E72" s="412">
        <f>i.04130a!D163</f>
        <v>0</v>
      </c>
    </row>
    <row r="73" spans="1:5" x14ac:dyDescent="0.2">
      <c r="A73" s="410" t="s">
        <v>640</v>
      </c>
      <c r="B73" s="415" t="s">
        <v>160</v>
      </c>
      <c r="C73" s="411">
        <f t="shared" si="0"/>
        <v>64</v>
      </c>
      <c r="D73" s="412">
        <f>i.04130a!C123+i.04130a!C131</f>
        <v>0</v>
      </c>
      <c r="E73" s="412">
        <f>i.04130a!D123+i.04130a!D131</f>
        <v>0</v>
      </c>
    </row>
    <row r="74" spans="1:5" x14ac:dyDescent="0.2">
      <c r="A74" s="405" t="s">
        <v>641</v>
      </c>
      <c r="B74" s="416" t="s">
        <v>1116</v>
      </c>
      <c r="C74" s="164">
        <f t="shared" si="0"/>
        <v>65</v>
      </c>
      <c r="D74" s="414">
        <f>SUM(D63:D73)</f>
        <v>0</v>
      </c>
      <c r="E74" s="414">
        <f>SUM(E63:E73)</f>
        <v>0</v>
      </c>
    </row>
    <row r="75" spans="1:5" x14ac:dyDescent="0.2">
      <c r="A75" s="405" t="s">
        <v>354</v>
      </c>
      <c r="B75" s="423" t="s">
        <v>171</v>
      </c>
      <c r="C75" s="164">
        <f t="shared" si="0"/>
        <v>66</v>
      </c>
      <c r="D75" s="414">
        <f>i.04130a!C132</f>
        <v>0</v>
      </c>
      <c r="E75" s="414">
        <f>i.04130a!D132</f>
        <v>0</v>
      </c>
    </row>
    <row r="76" spans="1:5" x14ac:dyDescent="0.2">
      <c r="A76" s="405" t="s">
        <v>356</v>
      </c>
      <c r="B76" s="423" t="s">
        <v>172</v>
      </c>
      <c r="C76" s="164">
        <f t="shared" si="0"/>
        <v>67</v>
      </c>
      <c r="D76" s="414">
        <f>i.04130a!C133</f>
        <v>0</v>
      </c>
      <c r="E76" s="414">
        <f>i.04130a!D133</f>
        <v>0</v>
      </c>
    </row>
    <row r="77" spans="1:5" x14ac:dyDescent="0.2">
      <c r="A77" s="405" t="s">
        <v>358</v>
      </c>
      <c r="B77" s="423" t="s">
        <v>651</v>
      </c>
      <c r="C77" s="164">
        <v>68</v>
      </c>
      <c r="D77" s="414">
        <f>i.04130a!C134</f>
        <v>0</v>
      </c>
      <c r="E77" s="414">
        <f>i.04130a!D134</f>
        <v>0</v>
      </c>
    </row>
    <row r="78" spans="1:5" x14ac:dyDescent="0.2">
      <c r="A78" s="405" t="s">
        <v>360</v>
      </c>
      <c r="B78" s="423" t="s">
        <v>173</v>
      </c>
      <c r="C78" s="164">
        <v>69</v>
      </c>
      <c r="D78" s="414"/>
      <c r="E78" s="414"/>
    </row>
    <row r="79" spans="1:5" x14ac:dyDescent="0.2">
      <c r="A79" s="410" t="s">
        <v>652</v>
      </c>
      <c r="B79" s="301" t="s">
        <v>174</v>
      </c>
      <c r="C79" s="411">
        <f>+C78+1</f>
        <v>70</v>
      </c>
      <c r="D79" s="424">
        <f>i.04130a!C143</f>
        <v>0</v>
      </c>
      <c r="E79" s="424">
        <f>i.04130a!D143</f>
        <v>0</v>
      </c>
    </row>
    <row r="80" spans="1:5" x14ac:dyDescent="0.2">
      <c r="A80" s="410" t="s">
        <v>653</v>
      </c>
      <c r="B80" s="301" t="s">
        <v>175</v>
      </c>
      <c r="C80" s="411">
        <f t="shared" ref="C80:C95" si="1">+C79+1</f>
        <v>71</v>
      </c>
      <c r="D80" s="424">
        <f>i.04130a!C144</f>
        <v>0</v>
      </c>
      <c r="E80" s="424">
        <f>i.04130a!D144</f>
        <v>0</v>
      </c>
    </row>
    <row r="81" spans="1:5" x14ac:dyDescent="0.2">
      <c r="A81" s="410" t="s">
        <v>654</v>
      </c>
      <c r="B81" s="301" t="s">
        <v>176</v>
      </c>
      <c r="C81" s="411">
        <v>72</v>
      </c>
      <c r="D81" s="424">
        <f>i.04130a!C145</f>
        <v>0</v>
      </c>
      <c r="E81" s="424">
        <f>i.04130a!D145</f>
        <v>0</v>
      </c>
    </row>
    <row r="82" spans="1:5" x14ac:dyDescent="0.2">
      <c r="A82" s="410" t="s">
        <v>655</v>
      </c>
      <c r="B82" s="303" t="s">
        <v>177</v>
      </c>
      <c r="C82" s="411">
        <v>73</v>
      </c>
      <c r="D82" s="424">
        <f>i.04130a!C146</f>
        <v>0</v>
      </c>
      <c r="E82" s="424">
        <f>i.04130a!D146</f>
        <v>0</v>
      </c>
    </row>
    <row r="83" spans="1:5" x14ac:dyDescent="0.2">
      <c r="A83" s="405" t="s">
        <v>655</v>
      </c>
      <c r="B83" s="423" t="s">
        <v>1117</v>
      </c>
      <c r="C83" s="164">
        <f>C82+1</f>
        <v>74</v>
      </c>
      <c r="D83" s="425">
        <f>SUM(D79:D82)</f>
        <v>0</v>
      </c>
      <c r="E83" s="425">
        <f>SUM(E79:E82)</f>
        <v>0</v>
      </c>
    </row>
    <row r="84" spans="1:5" ht="13.5" thickBot="1" x14ac:dyDescent="0.25">
      <c r="A84" s="426" t="s">
        <v>656</v>
      </c>
      <c r="B84" s="417" t="s">
        <v>642</v>
      </c>
      <c r="C84" s="418">
        <f t="shared" si="1"/>
        <v>75</v>
      </c>
      <c r="D84" s="427">
        <f>+D53+D61+D74+D75+D76+D83+D77+D75</f>
        <v>0</v>
      </c>
      <c r="E84" s="427">
        <f>+E53+E61+E74+E75+E76+E83+E77+E75</f>
        <v>0</v>
      </c>
    </row>
    <row r="85" spans="1:5" x14ac:dyDescent="0.2">
      <c r="A85" s="428" t="s">
        <v>643</v>
      </c>
      <c r="B85" s="429" t="s">
        <v>178</v>
      </c>
      <c r="C85" s="421">
        <f t="shared" si="1"/>
        <v>76</v>
      </c>
      <c r="D85" s="422"/>
      <c r="E85" s="422"/>
    </row>
    <row r="86" spans="1:5" x14ac:dyDescent="0.2">
      <c r="A86" s="405" t="s">
        <v>362</v>
      </c>
      <c r="B86" s="413" t="s">
        <v>179</v>
      </c>
      <c r="C86" s="164">
        <f t="shared" si="1"/>
        <v>77</v>
      </c>
      <c r="D86" s="414">
        <f>i.04130a!C148+i.04130a!C149</f>
        <v>0</v>
      </c>
      <c r="E86" s="414">
        <f>i.04130a!D148+i.04130a!D149</f>
        <v>0</v>
      </c>
    </row>
    <row r="87" spans="1:5" x14ac:dyDescent="0.2">
      <c r="A87" s="405" t="s">
        <v>364</v>
      </c>
      <c r="B87" s="413" t="s">
        <v>3</v>
      </c>
      <c r="C87" s="164">
        <f t="shared" si="1"/>
        <v>78</v>
      </c>
      <c r="D87" s="414">
        <f>i.04130a!C152+i.04130a!C153</f>
        <v>0</v>
      </c>
      <c r="E87" s="414">
        <f>i.04130a!D152+i.04130a!D153</f>
        <v>0</v>
      </c>
    </row>
    <row r="88" spans="1:5" x14ac:dyDescent="0.2">
      <c r="A88" s="405" t="s">
        <v>366</v>
      </c>
      <c r="B88" s="413" t="s">
        <v>4</v>
      </c>
      <c r="C88" s="164">
        <f t="shared" si="1"/>
        <v>79</v>
      </c>
      <c r="D88" s="414">
        <f>i.04130a!C150+i.04130a!C151</f>
        <v>0</v>
      </c>
      <c r="E88" s="414">
        <f>i.04130a!D150+i.04130a!D151</f>
        <v>0</v>
      </c>
    </row>
    <row r="89" spans="1:5" x14ac:dyDescent="0.2">
      <c r="A89" s="405" t="s">
        <v>368</v>
      </c>
      <c r="B89" s="413" t="s">
        <v>657</v>
      </c>
      <c r="C89" s="164">
        <v>80</v>
      </c>
      <c r="D89" s="414">
        <f>i.04130a!C154</f>
        <v>0</v>
      </c>
      <c r="E89" s="414">
        <f>i.04130a!D154</f>
        <v>0</v>
      </c>
    </row>
    <row r="90" spans="1:5" x14ac:dyDescent="0.2">
      <c r="A90" s="405" t="s">
        <v>370</v>
      </c>
      <c r="B90" s="413" t="s">
        <v>180</v>
      </c>
      <c r="C90" s="164">
        <v>81</v>
      </c>
      <c r="D90" s="414">
        <f>i.04130a!C155</f>
        <v>0</v>
      </c>
      <c r="E90" s="414">
        <f>i.04130a!D155</f>
        <v>0</v>
      </c>
    </row>
    <row r="91" spans="1:5" x14ac:dyDescent="0.2">
      <c r="A91" s="405" t="s">
        <v>644</v>
      </c>
      <c r="B91" s="413" t="s">
        <v>7</v>
      </c>
      <c r="C91" s="164">
        <f t="shared" si="1"/>
        <v>82</v>
      </c>
      <c r="D91" s="414">
        <f>i.04130a!C160</f>
        <v>0</v>
      </c>
      <c r="E91" s="414">
        <f>i.04130a!D160</f>
        <v>0</v>
      </c>
    </row>
    <row r="92" spans="1:5" x14ac:dyDescent="0.2">
      <c r="A92" s="405" t="s">
        <v>645</v>
      </c>
      <c r="B92" s="413" t="s">
        <v>8</v>
      </c>
      <c r="C92" s="164">
        <f t="shared" si="1"/>
        <v>83</v>
      </c>
      <c r="D92" s="414">
        <f>i.04130a!C157+i.04130a!C159+i.04130a!C161</f>
        <v>0</v>
      </c>
      <c r="E92" s="414">
        <f>i.04130a!D157+i.04130a!D159+i.04130a!D161</f>
        <v>0</v>
      </c>
    </row>
    <row r="93" spans="1:5" x14ac:dyDescent="0.2">
      <c r="A93" s="405" t="s">
        <v>646</v>
      </c>
      <c r="B93" s="413" t="s">
        <v>181</v>
      </c>
      <c r="C93" s="164">
        <f t="shared" si="1"/>
        <v>84</v>
      </c>
      <c r="D93" s="414">
        <f>i.04130a!C156</f>
        <v>0</v>
      </c>
      <c r="E93" s="414">
        <f>i.04130a!D156</f>
        <v>0</v>
      </c>
    </row>
    <row r="94" spans="1:5" ht="13.5" thickBot="1" x14ac:dyDescent="0.25">
      <c r="A94" s="405" t="s">
        <v>658</v>
      </c>
      <c r="B94" s="430" t="s">
        <v>1118</v>
      </c>
      <c r="C94" s="431">
        <f t="shared" si="1"/>
        <v>85</v>
      </c>
      <c r="D94" s="432">
        <f>SUM(D86:D93)</f>
        <v>0</v>
      </c>
      <c r="E94" s="432">
        <f>SUM(E86:E93)</f>
        <v>0</v>
      </c>
    </row>
    <row r="95" spans="1:5" ht="13.5" thickBot="1" x14ac:dyDescent="0.25">
      <c r="A95" s="433" t="s">
        <v>647</v>
      </c>
      <c r="B95" s="434" t="s">
        <v>648</v>
      </c>
      <c r="C95" s="435">
        <f t="shared" si="1"/>
        <v>86</v>
      </c>
      <c r="D95" s="436">
        <f>SUM(D84,D94)</f>
        <v>0</v>
      </c>
      <c r="E95" s="436">
        <f>SUM(E84,E94)</f>
        <v>0</v>
      </c>
    </row>
    <row r="96" spans="1:5" x14ac:dyDescent="0.2">
      <c r="A96" s="437"/>
      <c r="B96" s="438"/>
      <c r="C96" s="439"/>
      <c r="D96" s="440"/>
      <c r="E96" s="441"/>
    </row>
    <row r="97" spans="1:5" x14ac:dyDescent="0.2">
      <c r="A97" s="397"/>
      <c r="B97" s="442"/>
      <c r="C97" s="442"/>
      <c r="D97" s="442"/>
      <c r="E97" s="442"/>
    </row>
    <row r="98" spans="1:5" x14ac:dyDescent="0.2">
      <c r="A98" s="437"/>
      <c r="B98" s="2" t="s">
        <v>285</v>
      </c>
      <c r="C98" s="395"/>
      <c r="D98" s="4"/>
      <c r="E98" s="4"/>
    </row>
    <row r="99" spans="1:5" x14ac:dyDescent="0.2">
      <c r="A99" s="437"/>
      <c r="B99" s="5"/>
      <c r="C99" s="395"/>
      <c r="D99" s="4"/>
      <c r="E99" s="4"/>
    </row>
    <row r="100" spans="1:5" x14ac:dyDescent="0.2">
      <c r="A100" s="443"/>
      <c r="B100" s="5" t="s">
        <v>286</v>
      </c>
      <c r="C100" s="395"/>
      <c r="D100" s="4"/>
      <c r="E100" s="4"/>
    </row>
    <row r="101" spans="1:5" x14ac:dyDescent="0.2">
      <c r="A101" s="443"/>
      <c r="B101" s="5"/>
      <c r="C101" s="395"/>
      <c r="D101" s="4"/>
      <c r="E101" s="4"/>
    </row>
    <row r="102" spans="1:5" x14ac:dyDescent="0.2">
      <c r="A102" s="443"/>
      <c r="B102" s="6" t="s">
        <v>287</v>
      </c>
      <c r="C102" s="520" t="s">
        <v>288</v>
      </c>
      <c r="D102" s="520"/>
      <c r="E102" s="4" t="s">
        <v>289</v>
      </c>
    </row>
    <row r="103" spans="1:5" x14ac:dyDescent="0.2">
      <c r="A103" s="443"/>
      <c r="B103" s="5"/>
      <c r="C103" s="520"/>
      <c r="D103" s="520"/>
      <c r="E103" s="4"/>
    </row>
    <row r="104" spans="1:5" x14ac:dyDescent="0.2">
      <c r="A104" s="437"/>
      <c r="B104" s="6" t="s">
        <v>290</v>
      </c>
      <c r="C104" s="520" t="s">
        <v>291</v>
      </c>
      <c r="D104" s="520"/>
      <c r="E104" s="4" t="s">
        <v>292</v>
      </c>
    </row>
    <row r="105" spans="1:5" x14ac:dyDescent="0.2">
      <c r="B105" s="5"/>
      <c r="C105" s="520"/>
      <c r="D105" s="520"/>
      <c r="E105" s="4"/>
    </row>
    <row r="106" spans="1:5" x14ac:dyDescent="0.2">
      <c r="B106" s="6" t="s">
        <v>293</v>
      </c>
      <c r="C106" s="520" t="s">
        <v>288</v>
      </c>
      <c r="D106" s="520"/>
      <c r="E106" s="4" t="s">
        <v>292</v>
      </c>
    </row>
  </sheetData>
  <sheetProtection password="CA9F" sheet="1" objects="1" scenarios="1"/>
  <mergeCells count="9">
    <mergeCell ref="C104:D104"/>
    <mergeCell ref="C105:D105"/>
    <mergeCell ref="C106:D106"/>
    <mergeCell ref="C1:E2"/>
    <mergeCell ref="A4:E4"/>
    <mergeCell ref="A6:B6"/>
    <mergeCell ref="D6:E6"/>
    <mergeCell ref="C102:D102"/>
    <mergeCell ref="C103:D103"/>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78704-106E-4B67-A62B-B6DC8887A78A}">
  <dimension ref="A2:D110"/>
  <sheetViews>
    <sheetView topLeftCell="A13" workbookViewId="0">
      <selection activeCell="A32" sqref="A32"/>
    </sheetView>
  </sheetViews>
  <sheetFormatPr defaultRowHeight="12.75" x14ac:dyDescent="0.2"/>
  <cols>
    <col min="1" max="1" width="86.140625" style="287" customWidth="1"/>
    <col min="2" max="2" width="9.140625" style="287"/>
    <col min="3" max="4" width="27.7109375" style="287" customWidth="1"/>
    <col min="5" max="16384" width="9.140625" style="287"/>
  </cols>
  <sheetData>
    <row r="2" spans="1:4" x14ac:dyDescent="0.2">
      <c r="A2" s="552" t="s">
        <v>740</v>
      </c>
      <c r="B2" s="552"/>
      <c r="C2" s="552"/>
      <c r="D2" s="552"/>
    </row>
    <row r="3" spans="1:4" ht="12.75" customHeight="1" x14ac:dyDescent="0.2">
      <c r="A3" s="549" t="s">
        <v>277</v>
      </c>
      <c r="B3" s="549"/>
      <c r="C3" s="517" t="s">
        <v>278</v>
      </c>
      <c r="D3" s="517"/>
    </row>
    <row r="4" spans="1:4" ht="13.5" thickBot="1" x14ac:dyDescent="0.25">
      <c r="A4" s="5"/>
      <c r="B4" s="185"/>
      <c r="C4" s="271"/>
      <c r="D4" s="307" t="s">
        <v>279</v>
      </c>
    </row>
    <row r="5" spans="1:4" ht="25.5" x14ac:dyDescent="0.2">
      <c r="A5" s="186" t="s">
        <v>465</v>
      </c>
      <c r="B5" s="187" t="s">
        <v>724</v>
      </c>
      <c r="C5" s="308" t="s">
        <v>296</v>
      </c>
      <c r="D5" s="309" t="s">
        <v>296</v>
      </c>
    </row>
    <row r="6" spans="1:4" x14ac:dyDescent="0.2">
      <c r="A6" s="188" t="s">
        <v>301</v>
      </c>
      <c r="B6" s="189">
        <v>5110</v>
      </c>
      <c r="C6" s="281"/>
      <c r="D6" s="306">
        <f>i.04133!F36</f>
        <v>0</v>
      </c>
    </row>
    <row r="7" spans="1:4" x14ac:dyDescent="0.2">
      <c r="A7" s="188" t="s">
        <v>182</v>
      </c>
      <c r="B7" s="189">
        <v>5120</v>
      </c>
      <c r="C7" s="281"/>
      <c r="D7" s="306">
        <f>i.04133!H36</f>
        <v>0</v>
      </c>
    </row>
    <row r="8" spans="1:4" x14ac:dyDescent="0.2">
      <c r="A8" s="188" t="s">
        <v>723</v>
      </c>
      <c r="B8" s="189">
        <v>5210</v>
      </c>
      <c r="C8" s="281"/>
      <c r="D8" s="281"/>
    </row>
    <row r="9" spans="1:4" x14ac:dyDescent="0.2">
      <c r="A9" s="188" t="s">
        <v>722</v>
      </c>
      <c r="B9" s="189">
        <v>5220</v>
      </c>
      <c r="C9" s="281"/>
      <c r="D9" s="281"/>
    </row>
    <row r="10" spans="1:4" x14ac:dyDescent="0.2">
      <c r="A10" s="188" t="s">
        <v>721</v>
      </c>
      <c r="B10" s="189">
        <v>5230</v>
      </c>
      <c r="C10" s="281"/>
      <c r="D10" s="281"/>
    </row>
    <row r="11" spans="1:4" x14ac:dyDescent="0.2">
      <c r="A11" s="188" t="s">
        <v>720</v>
      </c>
      <c r="B11" s="189">
        <v>5310</v>
      </c>
      <c r="C11" s="281"/>
      <c r="D11" s="282"/>
    </row>
    <row r="12" spans="1:4" x14ac:dyDescent="0.2">
      <c r="A12" s="188" t="s">
        <v>719</v>
      </c>
      <c r="B12" s="189">
        <v>5311</v>
      </c>
      <c r="C12" s="281"/>
      <c r="D12" s="282"/>
    </row>
    <row r="13" spans="1:4" x14ac:dyDescent="0.2">
      <c r="A13" s="188" t="s">
        <v>718</v>
      </c>
      <c r="B13" s="189">
        <v>5320</v>
      </c>
      <c r="C13" s="281"/>
      <c r="D13" s="282"/>
    </row>
    <row r="14" spans="1:4" x14ac:dyDescent="0.2">
      <c r="A14" s="188" t="s">
        <v>717</v>
      </c>
      <c r="B14" s="189">
        <v>5410</v>
      </c>
      <c r="C14" s="281"/>
      <c r="D14" s="282"/>
    </row>
    <row r="15" spans="1:4" x14ac:dyDescent="0.2">
      <c r="A15" s="188" t="s">
        <v>716</v>
      </c>
      <c r="B15" s="189">
        <v>5510</v>
      </c>
      <c r="C15" s="281"/>
      <c r="D15" s="282"/>
    </row>
    <row r="16" spans="1:4" x14ac:dyDescent="0.2">
      <c r="A16" s="188" t="s">
        <v>715</v>
      </c>
      <c r="B16" s="189">
        <v>5610</v>
      </c>
      <c r="C16" s="281"/>
      <c r="D16" s="282"/>
    </row>
    <row r="17" spans="1:4" x14ac:dyDescent="0.2">
      <c r="A17" s="188" t="s">
        <v>714</v>
      </c>
      <c r="B17" s="189">
        <v>5620</v>
      </c>
      <c r="C17" s="281"/>
      <c r="D17" s="282"/>
    </row>
    <row r="18" spans="1:4" x14ac:dyDescent="0.2">
      <c r="A18" s="188" t="s">
        <v>713</v>
      </c>
      <c r="B18" s="189">
        <v>5630</v>
      </c>
      <c r="C18" s="281"/>
      <c r="D18" s="282"/>
    </row>
    <row r="19" spans="1:4" x14ac:dyDescent="0.2">
      <c r="A19" s="188" t="s">
        <v>712</v>
      </c>
      <c r="B19" s="189">
        <v>5640</v>
      </c>
      <c r="C19" s="281"/>
      <c r="D19" s="282"/>
    </row>
    <row r="20" spans="1:4" x14ac:dyDescent="0.2">
      <c r="A20" s="188" t="s">
        <v>711</v>
      </c>
      <c r="B20" s="189">
        <v>5650</v>
      </c>
      <c r="C20" s="281"/>
      <c r="D20" s="282"/>
    </row>
    <row r="21" spans="1:4" x14ac:dyDescent="0.2">
      <c r="A21" s="188" t="s">
        <v>710</v>
      </c>
      <c r="B21" s="189">
        <v>5710</v>
      </c>
      <c r="C21" s="281"/>
      <c r="D21" s="282"/>
    </row>
    <row r="22" spans="1:4" x14ac:dyDescent="0.2">
      <c r="A22" s="188" t="s">
        <v>709</v>
      </c>
      <c r="B22" s="189">
        <v>5720</v>
      </c>
      <c r="C22" s="281"/>
      <c r="D22" s="282"/>
    </row>
    <row r="23" spans="1:4" x14ac:dyDescent="0.2">
      <c r="A23" s="188" t="s">
        <v>708</v>
      </c>
      <c r="B23" s="189">
        <v>5730</v>
      </c>
      <c r="C23" s="281"/>
      <c r="D23" s="282"/>
    </row>
    <row r="24" spans="1:4" x14ac:dyDescent="0.2">
      <c r="A24" s="188" t="s">
        <v>707</v>
      </c>
      <c r="B24" s="189">
        <v>5740</v>
      </c>
      <c r="C24" s="281"/>
      <c r="D24" s="282"/>
    </row>
    <row r="25" spans="1:4" x14ac:dyDescent="0.2">
      <c r="A25" s="188" t="s">
        <v>706</v>
      </c>
      <c r="B25" s="189">
        <v>5750</v>
      </c>
      <c r="C25" s="281"/>
      <c r="D25" s="282"/>
    </row>
    <row r="26" spans="1:4" x14ac:dyDescent="0.2">
      <c r="A26" s="188" t="s">
        <v>705</v>
      </c>
      <c r="B26" s="189">
        <v>5760</v>
      </c>
      <c r="C26" s="281"/>
      <c r="D26" s="282"/>
    </row>
    <row r="27" spans="1:4" x14ac:dyDescent="0.2">
      <c r="A27" s="188" t="s">
        <v>183</v>
      </c>
      <c r="B27" s="189">
        <v>6010</v>
      </c>
      <c r="C27" s="281"/>
      <c r="D27" s="306">
        <f>i.04133!I36</f>
        <v>0</v>
      </c>
    </row>
    <row r="28" spans="1:4" x14ac:dyDescent="0.2">
      <c r="A28" s="188" t="s">
        <v>704</v>
      </c>
      <c r="B28" s="189">
        <v>6021</v>
      </c>
      <c r="C28" s="281"/>
      <c r="D28" s="281"/>
    </row>
    <row r="29" spans="1:4" x14ac:dyDescent="0.2">
      <c r="A29" s="188" t="s">
        <v>703</v>
      </c>
      <c r="B29" s="189">
        <v>6110</v>
      </c>
      <c r="C29" s="281"/>
      <c r="D29" s="281"/>
    </row>
    <row r="30" spans="1:4" x14ac:dyDescent="0.2">
      <c r="A30" s="188" t="s">
        <v>702</v>
      </c>
      <c r="B30" s="189">
        <v>6210</v>
      </c>
      <c r="C30" s="281"/>
      <c r="D30" s="281"/>
    </row>
    <row r="31" spans="1:4" x14ac:dyDescent="0.2">
      <c r="A31" s="188" t="s">
        <v>82</v>
      </c>
      <c r="B31" s="189">
        <v>6310</v>
      </c>
      <c r="C31" s="281"/>
      <c r="D31" s="306">
        <f>i.04133!K36</f>
        <v>0</v>
      </c>
    </row>
    <row r="32" spans="1:4" x14ac:dyDescent="0.2">
      <c r="A32" s="188" t="s">
        <v>701</v>
      </c>
      <c r="B32" s="189">
        <v>6420</v>
      </c>
      <c r="C32" s="281"/>
      <c r="D32" s="281"/>
    </row>
    <row r="33" spans="1:4" x14ac:dyDescent="0.2">
      <c r="A33" s="188" t="s">
        <v>700</v>
      </c>
      <c r="B33" s="189">
        <v>6421</v>
      </c>
      <c r="C33" s="281"/>
      <c r="D33" s="281"/>
    </row>
    <row r="34" spans="1:4" x14ac:dyDescent="0.2">
      <c r="A34" s="188" t="s">
        <v>699</v>
      </c>
      <c r="B34" s="189">
        <v>6430</v>
      </c>
      <c r="C34" s="281"/>
      <c r="D34" s="281"/>
    </row>
    <row r="35" spans="1:4" x14ac:dyDescent="0.2">
      <c r="A35" s="188" t="s">
        <v>698</v>
      </c>
      <c r="B35" s="189">
        <v>6510</v>
      </c>
      <c r="C35" s="281"/>
      <c r="D35" s="281"/>
    </row>
    <row r="36" spans="1:4" x14ac:dyDescent="0.2">
      <c r="A36" s="188" t="s">
        <v>697</v>
      </c>
      <c r="B36" s="189">
        <v>6610</v>
      </c>
      <c r="C36" s="281"/>
      <c r="D36" s="281"/>
    </row>
    <row r="37" spans="1:4" x14ac:dyDescent="0.2">
      <c r="A37" s="188" t="s">
        <v>696</v>
      </c>
      <c r="B37" s="189">
        <v>6620</v>
      </c>
      <c r="C37" s="281"/>
      <c r="D37" s="281"/>
    </row>
    <row r="38" spans="1:4" x14ac:dyDescent="0.2">
      <c r="A38" s="188" t="s">
        <v>695</v>
      </c>
      <c r="B38" s="189">
        <v>6630</v>
      </c>
      <c r="C38" s="281"/>
      <c r="D38" s="281"/>
    </row>
    <row r="39" spans="1:4" x14ac:dyDescent="0.2">
      <c r="A39" s="188" t="s">
        <v>694</v>
      </c>
      <c r="B39" s="189">
        <v>6640</v>
      </c>
      <c r="C39" s="281"/>
      <c r="D39" s="281"/>
    </row>
    <row r="40" spans="1:4" x14ac:dyDescent="0.2">
      <c r="A40" s="188" t="s">
        <v>187</v>
      </c>
      <c r="B40" s="189">
        <v>6650</v>
      </c>
      <c r="C40" s="281"/>
      <c r="D40" s="281"/>
    </row>
    <row r="41" spans="1:4" x14ac:dyDescent="0.2">
      <c r="A41" s="188" t="s">
        <v>188</v>
      </c>
      <c r="B41" s="189">
        <v>6660</v>
      </c>
      <c r="C41" s="281"/>
      <c r="D41" s="281"/>
    </row>
    <row r="42" spans="1:4" x14ac:dyDescent="0.2">
      <c r="A42" s="188" t="s">
        <v>189</v>
      </c>
      <c r="B42" s="189">
        <v>6670</v>
      </c>
      <c r="C42" s="281"/>
      <c r="D42" s="281"/>
    </row>
    <row r="43" spans="1:4" x14ac:dyDescent="0.2">
      <c r="A43" s="188" t="s">
        <v>693</v>
      </c>
      <c r="B43" s="189">
        <v>6710</v>
      </c>
      <c r="C43" s="281"/>
      <c r="D43" s="281"/>
    </row>
    <row r="44" spans="1:4" x14ac:dyDescent="0.2">
      <c r="A44" s="188" t="s">
        <v>692</v>
      </c>
      <c r="B44" s="189">
        <v>6720</v>
      </c>
      <c r="C44" s="281"/>
      <c r="D44" s="281"/>
    </row>
    <row r="45" spans="1:4" x14ac:dyDescent="0.2">
      <c r="A45" s="188" t="s">
        <v>691</v>
      </c>
      <c r="B45" s="189">
        <v>6810</v>
      </c>
      <c r="C45" s="281"/>
      <c r="D45" s="281"/>
    </row>
    <row r="46" spans="1:4" x14ac:dyDescent="0.2">
      <c r="A46" s="188" t="s">
        <v>690</v>
      </c>
      <c r="B46" s="189">
        <v>6820</v>
      </c>
      <c r="C46" s="281"/>
      <c r="D46" s="281"/>
    </row>
    <row r="47" spans="1:4" x14ac:dyDescent="0.2">
      <c r="A47" s="188" t="s">
        <v>689</v>
      </c>
      <c r="B47" s="189">
        <v>7010</v>
      </c>
      <c r="C47" s="281"/>
      <c r="D47" s="282"/>
    </row>
    <row r="48" spans="1:4" x14ac:dyDescent="0.2">
      <c r="A48" s="188" t="s">
        <v>688</v>
      </c>
      <c r="B48" s="189">
        <v>7011</v>
      </c>
      <c r="C48" s="281"/>
      <c r="D48" s="282"/>
    </row>
    <row r="49" spans="1:4" x14ac:dyDescent="0.2">
      <c r="A49" s="188" t="s">
        <v>687</v>
      </c>
      <c r="B49" s="189">
        <v>7012</v>
      </c>
      <c r="C49" s="281"/>
      <c r="D49" s="282"/>
    </row>
    <row r="50" spans="1:4" x14ac:dyDescent="0.2">
      <c r="A50" s="188" t="s">
        <v>686</v>
      </c>
      <c r="B50" s="189">
        <v>7013</v>
      </c>
      <c r="C50" s="281"/>
      <c r="D50" s="282"/>
    </row>
    <row r="51" spans="1:4" x14ac:dyDescent="0.2">
      <c r="A51" s="188" t="s">
        <v>685</v>
      </c>
      <c r="B51" s="189">
        <v>7014</v>
      </c>
      <c r="C51" s="281"/>
      <c r="D51" s="282"/>
    </row>
    <row r="52" spans="1:4" x14ac:dyDescent="0.2">
      <c r="A52" s="188" t="s">
        <v>684</v>
      </c>
      <c r="B52" s="189">
        <v>7015</v>
      </c>
      <c r="C52" s="281"/>
      <c r="D52" s="282"/>
    </row>
    <row r="53" spans="1:4" x14ac:dyDescent="0.2">
      <c r="A53" s="188" t="s">
        <v>683</v>
      </c>
      <c r="B53" s="189">
        <v>7016</v>
      </c>
      <c r="C53" s="281"/>
      <c r="D53" s="282"/>
    </row>
    <row r="54" spans="1:4" x14ac:dyDescent="0.2">
      <c r="A54" s="188" t="s">
        <v>682</v>
      </c>
      <c r="B54" s="189">
        <v>7017</v>
      </c>
      <c r="C54" s="281"/>
      <c r="D54" s="282"/>
    </row>
    <row r="55" spans="1:4" x14ac:dyDescent="0.2">
      <c r="A55" s="188" t="s">
        <v>681</v>
      </c>
      <c r="B55" s="189">
        <v>7018</v>
      </c>
      <c r="C55" s="281"/>
      <c r="D55" s="282"/>
    </row>
    <row r="56" spans="1:4" x14ac:dyDescent="0.2">
      <c r="A56" s="188" t="s">
        <v>680</v>
      </c>
      <c r="B56" s="189">
        <v>7019</v>
      </c>
      <c r="C56" s="281"/>
      <c r="D56" s="282"/>
    </row>
    <row r="57" spans="1:4" x14ac:dyDescent="0.2">
      <c r="A57" s="188" t="s">
        <v>196</v>
      </c>
      <c r="B57" s="189">
        <v>7020</v>
      </c>
      <c r="C57" s="281"/>
      <c r="D57" s="282"/>
    </row>
    <row r="58" spans="1:4" x14ac:dyDescent="0.2">
      <c r="A58" s="188" t="s">
        <v>679</v>
      </c>
      <c r="B58" s="189">
        <v>7021</v>
      </c>
      <c r="C58" s="281"/>
      <c r="D58" s="282"/>
    </row>
    <row r="59" spans="1:4" x14ac:dyDescent="0.2">
      <c r="A59" s="188" t="s">
        <v>678</v>
      </c>
      <c r="B59" s="189">
        <v>7022</v>
      </c>
      <c r="C59" s="281"/>
      <c r="D59" s="282"/>
    </row>
    <row r="60" spans="1:4" x14ac:dyDescent="0.2">
      <c r="A60" s="188" t="s">
        <v>197</v>
      </c>
      <c r="B60" s="189">
        <v>7023</v>
      </c>
      <c r="C60" s="281"/>
      <c r="D60" s="282"/>
    </row>
    <row r="61" spans="1:4" x14ac:dyDescent="0.2">
      <c r="A61" s="188" t="s">
        <v>677</v>
      </c>
      <c r="B61" s="189">
        <v>7024</v>
      </c>
      <c r="C61" s="281"/>
      <c r="D61" s="282"/>
    </row>
    <row r="62" spans="1:4" x14ac:dyDescent="0.2">
      <c r="A62" s="188" t="s">
        <v>676</v>
      </c>
      <c r="B62" s="189">
        <v>7025</v>
      </c>
      <c r="C62" s="281"/>
      <c r="D62" s="282"/>
    </row>
    <row r="63" spans="1:4" x14ac:dyDescent="0.2">
      <c r="A63" s="188" t="s">
        <v>199</v>
      </c>
      <c r="B63" s="189">
        <v>7026</v>
      </c>
      <c r="C63" s="281"/>
      <c r="D63" s="282"/>
    </row>
    <row r="64" spans="1:4" x14ac:dyDescent="0.2">
      <c r="A64" s="188" t="s">
        <v>204</v>
      </c>
      <c r="B64" s="189">
        <v>7027</v>
      </c>
      <c r="C64" s="281"/>
      <c r="D64" s="282"/>
    </row>
    <row r="65" spans="1:4" x14ac:dyDescent="0.2">
      <c r="A65" s="188" t="s">
        <v>675</v>
      </c>
      <c r="B65" s="189">
        <v>7028</v>
      </c>
      <c r="C65" s="281"/>
      <c r="D65" s="282"/>
    </row>
    <row r="66" spans="1:4" x14ac:dyDescent="0.2">
      <c r="A66" s="188" t="s">
        <v>202</v>
      </c>
      <c r="B66" s="189">
        <v>7029</v>
      </c>
      <c r="C66" s="281"/>
      <c r="D66" s="282"/>
    </row>
    <row r="67" spans="1:4" x14ac:dyDescent="0.2">
      <c r="A67" s="188" t="s">
        <v>689</v>
      </c>
      <c r="B67" s="189">
        <v>7110</v>
      </c>
      <c r="C67" s="281"/>
      <c r="D67" s="282"/>
    </row>
    <row r="68" spans="1:4" x14ac:dyDescent="0.2">
      <c r="A68" s="188" t="s">
        <v>688</v>
      </c>
      <c r="B68" s="189">
        <v>7111</v>
      </c>
      <c r="C68" s="281"/>
      <c r="D68" s="282"/>
    </row>
    <row r="69" spans="1:4" x14ac:dyDescent="0.2">
      <c r="A69" s="188" t="s">
        <v>687</v>
      </c>
      <c r="B69" s="189">
        <v>7112</v>
      </c>
      <c r="C69" s="281"/>
      <c r="D69" s="282"/>
    </row>
    <row r="70" spans="1:4" x14ac:dyDescent="0.2">
      <c r="A70" s="188" t="s">
        <v>686</v>
      </c>
      <c r="B70" s="189">
        <v>7113</v>
      </c>
      <c r="C70" s="281"/>
      <c r="D70" s="282"/>
    </row>
    <row r="71" spans="1:4" x14ac:dyDescent="0.2">
      <c r="A71" s="188" t="s">
        <v>685</v>
      </c>
      <c r="B71" s="189">
        <v>7114</v>
      </c>
      <c r="C71" s="281"/>
      <c r="D71" s="282"/>
    </row>
    <row r="72" spans="1:4" x14ac:dyDescent="0.2">
      <c r="A72" s="188" t="s">
        <v>684</v>
      </c>
      <c r="B72" s="189">
        <v>7115</v>
      </c>
      <c r="C72" s="281"/>
      <c r="D72" s="282"/>
    </row>
    <row r="73" spans="1:4" x14ac:dyDescent="0.2">
      <c r="A73" s="188" t="s">
        <v>683</v>
      </c>
      <c r="B73" s="189">
        <v>7116</v>
      </c>
      <c r="C73" s="281"/>
      <c r="D73" s="282"/>
    </row>
    <row r="74" spans="1:4" x14ac:dyDescent="0.2">
      <c r="A74" s="188" t="s">
        <v>682</v>
      </c>
      <c r="B74" s="189">
        <v>7117</v>
      </c>
      <c r="C74" s="281"/>
      <c r="D74" s="282"/>
    </row>
    <row r="75" spans="1:4" x14ac:dyDescent="0.2">
      <c r="A75" s="188" t="s">
        <v>681</v>
      </c>
      <c r="B75" s="189">
        <v>7118</v>
      </c>
      <c r="C75" s="281"/>
      <c r="D75" s="282"/>
    </row>
    <row r="76" spans="1:4" x14ac:dyDescent="0.2">
      <c r="A76" s="188" t="s">
        <v>680</v>
      </c>
      <c r="B76" s="189">
        <v>7119</v>
      </c>
      <c r="C76" s="281"/>
      <c r="D76" s="282"/>
    </row>
    <row r="77" spans="1:4" x14ac:dyDescent="0.2">
      <c r="A77" s="188" t="s">
        <v>196</v>
      </c>
      <c r="B77" s="189">
        <v>7120</v>
      </c>
      <c r="C77" s="281"/>
      <c r="D77" s="282"/>
    </row>
    <row r="78" spans="1:4" x14ac:dyDescent="0.2">
      <c r="A78" s="188" t="s">
        <v>679</v>
      </c>
      <c r="B78" s="189">
        <v>7121</v>
      </c>
      <c r="C78" s="281"/>
      <c r="D78" s="282"/>
    </row>
    <row r="79" spans="1:4" x14ac:dyDescent="0.2">
      <c r="A79" s="188" t="s">
        <v>678</v>
      </c>
      <c r="B79" s="189">
        <v>7122</v>
      </c>
      <c r="C79" s="281"/>
      <c r="D79" s="282"/>
    </row>
    <row r="80" spans="1:4" x14ac:dyDescent="0.2">
      <c r="A80" s="188" t="s">
        <v>197</v>
      </c>
      <c r="B80" s="189">
        <v>7123</v>
      </c>
      <c r="C80" s="281"/>
      <c r="D80" s="282"/>
    </row>
    <row r="81" spans="1:4" x14ac:dyDescent="0.2">
      <c r="A81" s="188" t="s">
        <v>677</v>
      </c>
      <c r="B81" s="189">
        <v>7124</v>
      </c>
      <c r="C81" s="281"/>
      <c r="D81" s="282"/>
    </row>
    <row r="82" spans="1:4" x14ac:dyDescent="0.2">
      <c r="A82" s="188" t="s">
        <v>676</v>
      </c>
      <c r="B82" s="189">
        <v>7125</v>
      </c>
      <c r="C82" s="281"/>
      <c r="D82" s="282"/>
    </row>
    <row r="83" spans="1:4" x14ac:dyDescent="0.2">
      <c r="A83" s="188" t="s">
        <v>199</v>
      </c>
      <c r="B83" s="189">
        <v>7126</v>
      </c>
      <c r="C83" s="281"/>
      <c r="D83" s="282"/>
    </row>
    <row r="84" spans="1:4" x14ac:dyDescent="0.2">
      <c r="A84" s="188" t="s">
        <v>204</v>
      </c>
      <c r="B84" s="189">
        <v>7127</v>
      </c>
      <c r="C84" s="281"/>
      <c r="D84" s="282"/>
    </row>
    <row r="85" spans="1:4" x14ac:dyDescent="0.2">
      <c r="A85" s="188" t="s">
        <v>675</v>
      </c>
      <c r="B85" s="189">
        <v>7128</v>
      </c>
      <c r="C85" s="281"/>
      <c r="D85" s="282"/>
    </row>
    <row r="86" spans="1:4" x14ac:dyDescent="0.2">
      <c r="A86" s="188" t="s">
        <v>202</v>
      </c>
      <c r="B86" s="189">
        <v>7129</v>
      </c>
      <c r="C86" s="281"/>
      <c r="D86" s="282"/>
    </row>
    <row r="87" spans="1:4" x14ac:dyDescent="0.2">
      <c r="A87" s="188" t="s">
        <v>674</v>
      </c>
      <c r="B87" s="189">
        <v>7210</v>
      </c>
      <c r="C87" s="281"/>
      <c r="D87" s="282"/>
    </row>
    <row r="88" spans="1:4" x14ac:dyDescent="0.2">
      <c r="A88" s="188" t="s">
        <v>673</v>
      </c>
      <c r="B88" s="189">
        <v>7310</v>
      </c>
      <c r="C88" s="281"/>
      <c r="D88" s="282"/>
    </row>
    <row r="89" spans="1:4" x14ac:dyDescent="0.2">
      <c r="A89" s="188" t="s">
        <v>672</v>
      </c>
      <c r="B89" s="189">
        <v>7410</v>
      </c>
      <c r="C89" s="281"/>
      <c r="D89" s="282"/>
    </row>
    <row r="90" spans="1:4" x14ac:dyDescent="0.2">
      <c r="A90" s="188" t="s">
        <v>671</v>
      </c>
      <c r="B90" s="189">
        <v>7510</v>
      </c>
      <c r="C90" s="281"/>
      <c r="D90" s="282"/>
    </row>
    <row r="91" spans="1:4" x14ac:dyDescent="0.2">
      <c r="A91" s="188" t="s">
        <v>670</v>
      </c>
      <c r="B91" s="189">
        <v>7610</v>
      </c>
      <c r="C91" s="281"/>
      <c r="D91" s="282"/>
    </row>
    <row r="92" spans="1:4" x14ac:dyDescent="0.2">
      <c r="A92" s="188" t="s">
        <v>669</v>
      </c>
      <c r="B92" s="189">
        <v>7620</v>
      </c>
      <c r="C92" s="281"/>
      <c r="D92" s="282"/>
    </row>
    <row r="93" spans="1:4" x14ac:dyDescent="0.2">
      <c r="A93" s="188" t="s">
        <v>668</v>
      </c>
      <c r="B93" s="189">
        <v>7630</v>
      </c>
      <c r="C93" s="281"/>
      <c r="D93" s="282"/>
    </row>
    <row r="94" spans="1:4" x14ac:dyDescent="0.2">
      <c r="A94" s="188" t="s">
        <v>667</v>
      </c>
      <c r="B94" s="189">
        <v>7640</v>
      </c>
      <c r="C94" s="281"/>
      <c r="D94" s="282"/>
    </row>
    <row r="95" spans="1:4" x14ac:dyDescent="0.2">
      <c r="A95" s="188" t="s">
        <v>666</v>
      </c>
      <c r="B95" s="189">
        <v>7650</v>
      </c>
      <c r="C95" s="281"/>
      <c r="D95" s="282"/>
    </row>
    <row r="96" spans="1:4" x14ac:dyDescent="0.2">
      <c r="A96" s="188" t="s">
        <v>665</v>
      </c>
      <c r="B96" s="189">
        <v>7660</v>
      </c>
      <c r="C96" s="281"/>
      <c r="D96" s="282"/>
    </row>
    <row r="97" spans="1:4" x14ac:dyDescent="0.2">
      <c r="A97" s="188" t="s">
        <v>664</v>
      </c>
      <c r="B97" s="189">
        <v>7670</v>
      </c>
      <c r="C97" s="281"/>
      <c r="D97" s="282"/>
    </row>
    <row r="98" spans="1:4" x14ac:dyDescent="0.2">
      <c r="A98" s="188" t="s">
        <v>663</v>
      </c>
      <c r="B98" s="189">
        <v>7680</v>
      </c>
      <c r="C98" s="281"/>
      <c r="D98" s="282"/>
    </row>
    <row r="99" spans="1:4" x14ac:dyDescent="0.2">
      <c r="A99" s="188" t="s">
        <v>662</v>
      </c>
      <c r="B99" s="189">
        <v>9110</v>
      </c>
      <c r="C99" s="282"/>
      <c r="D99" s="282"/>
    </row>
    <row r="102" spans="1:4" x14ac:dyDescent="0.2">
      <c r="A102" s="2" t="s">
        <v>285</v>
      </c>
      <c r="B102" s="272"/>
      <c r="C102" s="4"/>
      <c r="D102" s="4"/>
    </row>
    <row r="103" spans="1:4" x14ac:dyDescent="0.2">
      <c r="A103" s="5"/>
      <c r="B103" s="272"/>
      <c r="C103" s="4"/>
      <c r="D103" s="4"/>
    </row>
    <row r="104" spans="1:4" x14ac:dyDescent="0.2">
      <c r="A104" s="5" t="s">
        <v>286</v>
      </c>
      <c r="B104" s="272"/>
      <c r="C104" s="4"/>
      <c r="D104" s="4"/>
    </row>
    <row r="105" spans="1:4" x14ac:dyDescent="0.2">
      <c r="A105" s="5"/>
      <c r="B105" s="272"/>
      <c r="C105" s="4"/>
      <c r="D105" s="4"/>
    </row>
    <row r="106" spans="1:4" x14ac:dyDescent="0.2">
      <c r="A106" s="6" t="s">
        <v>287</v>
      </c>
      <c r="B106" s="520" t="s">
        <v>288</v>
      </c>
      <c r="C106" s="520"/>
      <c r="D106" s="4" t="s">
        <v>289</v>
      </c>
    </row>
    <row r="107" spans="1:4" x14ac:dyDescent="0.2">
      <c r="A107" s="5"/>
      <c r="B107" s="520"/>
      <c r="C107" s="520"/>
      <c r="D107" s="4"/>
    </row>
    <row r="108" spans="1:4" x14ac:dyDescent="0.2">
      <c r="A108" s="6" t="s">
        <v>290</v>
      </c>
      <c r="B108" s="520" t="s">
        <v>291</v>
      </c>
      <c r="C108" s="520"/>
      <c r="D108" s="4" t="s">
        <v>292</v>
      </c>
    </row>
    <row r="109" spans="1:4" x14ac:dyDescent="0.2">
      <c r="A109" s="5"/>
      <c r="B109" s="520"/>
      <c r="C109" s="520"/>
      <c r="D109" s="4"/>
    </row>
    <row r="110" spans="1:4" x14ac:dyDescent="0.2">
      <c r="A110" s="6" t="s">
        <v>293</v>
      </c>
      <c r="B110" s="520" t="s">
        <v>288</v>
      </c>
      <c r="C110" s="520"/>
      <c r="D110" s="4" t="s">
        <v>292</v>
      </c>
    </row>
  </sheetData>
  <sheetProtection password="CA9F" sheet="1" objects="1" scenarios="1"/>
  <mergeCells count="8">
    <mergeCell ref="B109:C109"/>
    <mergeCell ref="B110:C110"/>
    <mergeCell ref="A2:D2"/>
    <mergeCell ref="A3:B3"/>
    <mergeCell ref="C3:D3"/>
    <mergeCell ref="B106:C106"/>
    <mergeCell ref="B107:C107"/>
    <mergeCell ref="B108:C10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8FE08-CE91-4938-BB34-B207BFC63D25}">
  <dimension ref="A1:J75"/>
  <sheetViews>
    <sheetView topLeftCell="A19" zoomScaleNormal="100" zoomScalePageLayoutView="60" workbookViewId="0">
      <selection activeCell="D59" sqref="D59"/>
    </sheetView>
  </sheetViews>
  <sheetFormatPr defaultRowHeight="12.75" x14ac:dyDescent="0.2"/>
  <cols>
    <col min="1" max="1" width="4" style="287" bestFit="1" customWidth="1"/>
    <col min="2" max="2" width="51.5703125" style="287" customWidth="1"/>
    <col min="3" max="3" width="7.28515625" style="287" bestFit="1" customWidth="1"/>
    <col min="4" max="5" width="24" style="287" customWidth="1"/>
    <col min="6" max="16384" width="9.140625" style="287"/>
  </cols>
  <sheetData>
    <row r="1" spans="1:10" x14ac:dyDescent="0.2">
      <c r="C1" s="550" t="s">
        <v>739</v>
      </c>
      <c r="D1" s="551"/>
      <c r="E1" s="551"/>
    </row>
    <row r="2" spans="1:10" x14ac:dyDescent="0.2">
      <c r="C2" s="551"/>
      <c r="D2" s="551"/>
      <c r="E2" s="551"/>
    </row>
    <row r="4" spans="1:10" x14ac:dyDescent="0.2">
      <c r="A4" s="548" t="s">
        <v>741</v>
      </c>
      <c r="B4" s="548"/>
      <c r="C4" s="548"/>
      <c r="D4" s="548"/>
      <c r="E4" s="548"/>
    </row>
    <row r="5" spans="1:10" x14ac:dyDescent="0.2">
      <c r="A5" s="398"/>
      <c r="B5" s="398"/>
      <c r="C5" s="398"/>
      <c r="D5" s="398"/>
      <c r="E5" s="398"/>
    </row>
    <row r="6" spans="1:10" ht="12.75" customHeight="1" x14ac:dyDescent="0.2">
      <c r="A6" s="549" t="s">
        <v>277</v>
      </c>
      <c r="B6" s="549"/>
      <c r="C6" s="396"/>
      <c r="D6" s="517" t="s">
        <v>278</v>
      </c>
      <c r="E6" s="517"/>
    </row>
    <row r="7" spans="1:10" ht="13.5" thickBot="1" x14ac:dyDescent="0.25">
      <c r="A7" s="41"/>
      <c r="B7" s="311"/>
      <c r="C7" s="396"/>
      <c r="D7" s="397"/>
      <c r="E7" s="307" t="s">
        <v>279</v>
      </c>
    </row>
    <row r="8" spans="1:10" ht="25.5" x14ac:dyDescent="0.2">
      <c r="A8" s="190" t="s">
        <v>280</v>
      </c>
      <c r="B8" s="163" t="s">
        <v>465</v>
      </c>
      <c r="C8" s="163" t="s">
        <v>295</v>
      </c>
      <c r="D8" s="308" t="s">
        <v>296</v>
      </c>
      <c r="E8" s="309" t="s">
        <v>296</v>
      </c>
    </row>
    <row r="9" spans="1:10" x14ac:dyDescent="0.2">
      <c r="A9" s="191" t="s">
        <v>282</v>
      </c>
      <c r="B9" s="165" t="s">
        <v>283</v>
      </c>
      <c r="C9" s="165" t="s">
        <v>297</v>
      </c>
      <c r="D9" s="165">
        <v>1</v>
      </c>
      <c r="E9" s="165">
        <v>2</v>
      </c>
    </row>
    <row r="10" spans="1:10" x14ac:dyDescent="0.2">
      <c r="A10" s="192" t="s">
        <v>235</v>
      </c>
      <c r="B10" s="193" t="s">
        <v>80</v>
      </c>
      <c r="C10" s="194">
        <v>1</v>
      </c>
      <c r="D10" s="195">
        <f>i.04131a!C6</f>
        <v>0</v>
      </c>
      <c r="E10" s="195">
        <f>i.04131a!D6</f>
        <v>0</v>
      </c>
    </row>
    <row r="11" spans="1:10" x14ac:dyDescent="0.2">
      <c r="A11" s="196" t="s">
        <v>590</v>
      </c>
      <c r="B11" s="197" t="s">
        <v>182</v>
      </c>
      <c r="C11" s="198">
        <f t="shared" ref="C11" si="0">+C10+1</f>
        <v>2</v>
      </c>
      <c r="D11" s="199">
        <f>i.04131a!C7</f>
        <v>0</v>
      </c>
      <c r="E11" s="199">
        <f>i.04131a!D7</f>
        <v>0</v>
      </c>
      <c r="F11" s="401"/>
      <c r="G11" s="401"/>
      <c r="H11" s="401"/>
      <c r="I11" s="401"/>
      <c r="J11" s="401"/>
    </row>
    <row r="12" spans="1:10" x14ac:dyDescent="0.2">
      <c r="A12" s="196" t="s">
        <v>593</v>
      </c>
      <c r="B12" s="197" t="s">
        <v>725</v>
      </c>
      <c r="C12" s="198">
        <v>3</v>
      </c>
      <c r="D12" s="199">
        <f>i.04131a!C27-i.04131a!C28</f>
        <v>0</v>
      </c>
      <c r="E12" s="199">
        <f>i.04131a!D27-i.04131a!D28</f>
        <v>0</v>
      </c>
      <c r="F12" s="401"/>
      <c r="G12" s="401"/>
      <c r="H12" s="401"/>
      <c r="I12" s="401"/>
      <c r="J12" s="401"/>
    </row>
    <row r="13" spans="1:10" x14ac:dyDescent="0.2">
      <c r="A13" s="192" t="s">
        <v>236</v>
      </c>
      <c r="B13" s="193" t="s">
        <v>998</v>
      </c>
      <c r="C13" s="194">
        <v>4</v>
      </c>
      <c r="D13" s="195">
        <f>D10-D11-D12</f>
        <v>0</v>
      </c>
      <c r="E13" s="195">
        <f>E10-E11-E12</f>
        <v>0</v>
      </c>
    </row>
    <row r="14" spans="1:10" ht="13.5" customHeight="1" x14ac:dyDescent="0.2">
      <c r="A14" s="196" t="s">
        <v>618</v>
      </c>
      <c r="B14" s="197" t="s">
        <v>996</v>
      </c>
      <c r="C14" s="198">
        <v>5</v>
      </c>
      <c r="D14" s="199">
        <f>i.04131a!C29</f>
        <v>0</v>
      </c>
      <c r="E14" s="199">
        <f>i.04131a!D29</f>
        <v>0</v>
      </c>
    </row>
    <row r="15" spans="1:10" x14ac:dyDescent="0.2">
      <c r="A15" s="196" t="s">
        <v>643</v>
      </c>
      <c r="B15" s="197" t="s">
        <v>997</v>
      </c>
      <c r="C15" s="198">
        <v>6</v>
      </c>
      <c r="D15" s="199">
        <f>i.04131a!C30</f>
        <v>0</v>
      </c>
      <c r="E15" s="199">
        <f>i.04131a!D30</f>
        <v>0</v>
      </c>
    </row>
    <row r="16" spans="1:10" x14ac:dyDescent="0.2">
      <c r="A16" s="192" t="s">
        <v>237</v>
      </c>
      <c r="B16" s="200" t="s">
        <v>999</v>
      </c>
      <c r="C16" s="194">
        <v>7</v>
      </c>
      <c r="D16" s="195">
        <f>D13-D14+D15</f>
        <v>0</v>
      </c>
      <c r="E16" s="195">
        <f>E13-E14+E15</f>
        <v>0</v>
      </c>
    </row>
    <row r="17" spans="1:5" x14ac:dyDescent="0.2">
      <c r="A17" s="196" t="s">
        <v>618</v>
      </c>
      <c r="B17" s="197" t="s">
        <v>185</v>
      </c>
      <c r="C17" s="198">
        <v>8</v>
      </c>
      <c r="D17" s="199">
        <f>i.04131a!C31</f>
        <v>0</v>
      </c>
      <c r="E17" s="199">
        <f>i.04131a!D31</f>
        <v>0</v>
      </c>
    </row>
    <row r="18" spans="1:5" x14ac:dyDescent="0.2">
      <c r="A18" s="192" t="s">
        <v>238</v>
      </c>
      <c r="B18" s="200" t="s">
        <v>1102</v>
      </c>
      <c r="C18" s="194">
        <v>9</v>
      </c>
      <c r="D18" s="201">
        <f>D16-D17</f>
        <v>0</v>
      </c>
      <c r="E18" s="201">
        <f>E16-E17</f>
        <v>0</v>
      </c>
    </row>
    <row r="19" spans="1:5" x14ac:dyDescent="0.2">
      <c r="A19" s="192" t="s">
        <v>239</v>
      </c>
      <c r="B19" s="202" t="s">
        <v>186</v>
      </c>
      <c r="C19" s="194">
        <v>10</v>
      </c>
      <c r="D19" s="195"/>
      <c r="E19" s="195"/>
    </row>
    <row r="20" spans="1:5" x14ac:dyDescent="0.2">
      <c r="A20" s="196" t="s">
        <v>730</v>
      </c>
      <c r="B20" s="197" t="s">
        <v>187</v>
      </c>
      <c r="C20" s="198">
        <v>11</v>
      </c>
      <c r="D20" s="199">
        <f>i.04131a!C40</f>
        <v>0</v>
      </c>
      <c r="E20" s="199">
        <f>i.04131a!D40</f>
        <v>0</v>
      </c>
    </row>
    <row r="21" spans="1:5" x14ac:dyDescent="0.2">
      <c r="A21" s="196" t="s">
        <v>731</v>
      </c>
      <c r="B21" s="197" t="s">
        <v>188</v>
      </c>
      <c r="C21" s="198">
        <v>12</v>
      </c>
      <c r="D21" s="199">
        <f>i.04131a!C41</f>
        <v>0</v>
      </c>
      <c r="E21" s="199">
        <f>i.04131a!D41</f>
        <v>0</v>
      </c>
    </row>
    <row r="22" spans="1:5" x14ac:dyDescent="0.2">
      <c r="A22" s="196" t="s">
        <v>733</v>
      </c>
      <c r="B22" s="197" t="s">
        <v>189</v>
      </c>
      <c r="C22" s="198">
        <v>13</v>
      </c>
      <c r="D22" s="199">
        <f>i.04131a!C42</f>
        <v>0</v>
      </c>
      <c r="E22" s="199">
        <f>i.04131a!D42</f>
        <v>0</v>
      </c>
    </row>
    <row r="23" spans="1:5" x14ac:dyDescent="0.2">
      <c r="A23" s="192" t="s">
        <v>734</v>
      </c>
      <c r="B23" s="200" t="s">
        <v>1000</v>
      </c>
      <c r="C23" s="194">
        <v>14</v>
      </c>
      <c r="D23" s="201">
        <f>D20+D21+D22</f>
        <v>0</v>
      </c>
      <c r="E23" s="201">
        <f>E20+E21+E22</f>
        <v>0</v>
      </c>
    </row>
    <row r="24" spans="1:5" x14ac:dyDescent="0.2">
      <c r="A24" s="192" t="s">
        <v>241</v>
      </c>
      <c r="B24" s="200" t="s">
        <v>190</v>
      </c>
      <c r="C24" s="194">
        <v>15</v>
      </c>
      <c r="D24" s="201"/>
      <c r="E24" s="201"/>
    </row>
    <row r="25" spans="1:5" x14ac:dyDescent="0.2">
      <c r="A25" s="196" t="s">
        <v>963</v>
      </c>
      <c r="B25" s="197" t="s">
        <v>191</v>
      </c>
      <c r="C25" s="198">
        <v>16</v>
      </c>
      <c r="D25" s="199">
        <f>i.04131a!C11+i.04131a!C12+i.04131a!C13+i.04131a!C14-i.04131a!C88-i.04131a!C89</f>
        <v>0</v>
      </c>
      <c r="E25" s="199">
        <f>i.04131a!D11+i.04131a!D12+i.04131a!D13+i.04131a!D14-i.04131a!D88-i.04131a!D89</f>
        <v>0</v>
      </c>
    </row>
    <row r="26" spans="1:5" x14ac:dyDescent="0.2">
      <c r="A26" s="196" t="s">
        <v>964</v>
      </c>
      <c r="B26" s="197" t="s">
        <v>732</v>
      </c>
      <c r="C26" s="198">
        <v>17</v>
      </c>
      <c r="D26" s="199">
        <f>i.04131a!C8</f>
        <v>0</v>
      </c>
      <c r="E26" s="199">
        <f>i.04131a!D8</f>
        <v>0</v>
      </c>
    </row>
    <row r="27" spans="1:5" x14ac:dyDescent="0.2">
      <c r="A27" s="196" t="s">
        <v>965</v>
      </c>
      <c r="B27" s="197" t="s">
        <v>81</v>
      </c>
      <c r="C27" s="198">
        <v>18</v>
      </c>
      <c r="D27" s="199">
        <f>i.04131a!C15+i.04131a!C16+i.04131a!C17+i.04131a!C18+i.04131a!C19+i.04131a!C20</f>
        <v>0</v>
      </c>
      <c r="E27" s="199">
        <f>i.04131a!D15+i.04131a!D16+i.04131a!D17+i.04131a!D18+i.04131a!D19+i.04131a!D20</f>
        <v>0</v>
      </c>
    </row>
    <row r="28" spans="1:5" x14ac:dyDescent="0.2">
      <c r="A28" s="192" t="s">
        <v>966</v>
      </c>
      <c r="B28" s="200" t="s">
        <v>1001</v>
      </c>
      <c r="C28" s="194">
        <v>19</v>
      </c>
      <c r="D28" s="201">
        <f>D25+D26+D27</f>
        <v>0</v>
      </c>
      <c r="E28" s="201">
        <f>E25+E26+E27</f>
        <v>0</v>
      </c>
    </row>
    <row r="29" spans="1:5" x14ac:dyDescent="0.2">
      <c r="A29" s="192" t="s">
        <v>242</v>
      </c>
      <c r="B29" s="200" t="s">
        <v>1103</v>
      </c>
      <c r="C29" s="194">
        <v>20</v>
      </c>
      <c r="D29" s="203">
        <f>D18-D23+D28</f>
        <v>0</v>
      </c>
      <c r="E29" s="203">
        <f>E18-E23+E28</f>
        <v>0</v>
      </c>
    </row>
    <row r="30" spans="1:5" x14ac:dyDescent="0.2">
      <c r="A30" s="192" t="s">
        <v>243</v>
      </c>
      <c r="B30" s="200" t="s">
        <v>192</v>
      </c>
      <c r="C30" s="194">
        <v>21</v>
      </c>
      <c r="D30" s="201"/>
      <c r="E30" s="201"/>
    </row>
    <row r="31" spans="1:5" x14ac:dyDescent="0.2">
      <c r="A31" s="196" t="s">
        <v>973</v>
      </c>
      <c r="B31" s="197" t="s">
        <v>193</v>
      </c>
      <c r="C31" s="198">
        <v>22</v>
      </c>
      <c r="D31" s="199">
        <f>i.04131a!C47</f>
        <v>0</v>
      </c>
      <c r="E31" s="199">
        <f>i.04131a!D47</f>
        <v>0</v>
      </c>
    </row>
    <row r="32" spans="1:5" x14ac:dyDescent="0.2">
      <c r="A32" s="196" t="s">
        <v>1002</v>
      </c>
      <c r="B32" s="197" t="s">
        <v>194</v>
      </c>
      <c r="C32" s="198">
        <v>23</v>
      </c>
      <c r="D32" s="199">
        <f>i.04131a!C48</f>
        <v>0</v>
      </c>
      <c r="E32" s="199">
        <f>i.04131a!D48</f>
        <v>0</v>
      </c>
    </row>
    <row r="33" spans="1:5" x14ac:dyDescent="0.2">
      <c r="A33" s="196" t="s">
        <v>1003</v>
      </c>
      <c r="B33" s="197" t="s">
        <v>195</v>
      </c>
      <c r="C33" s="198">
        <v>24</v>
      </c>
      <c r="D33" s="199">
        <f>i.04131a!C58</f>
        <v>0</v>
      </c>
      <c r="E33" s="199">
        <f>i.04131a!D58</f>
        <v>0</v>
      </c>
    </row>
    <row r="34" spans="1:5" x14ac:dyDescent="0.2">
      <c r="A34" s="196" t="s">
        <v>1004</v>
      </c>
      <c r="B34" s="197" t="s">
        <v>196</v>
      </c>
      <c r="C34" s="198">
        <v>25</v>
      </c>
      <c r="D34" s="199">
        <f>i.04131a!C57</f>
        <v>0</v>
      </c>
      <c r="E34" s="199">
        <f>i.04131a!D57</f>
        <v>0</v>
      </c>
    </row>
    <row r="35" spans="1:5" x14ac:dyDescent="0.2">
      <c r="A35" s="196" t="s">
        <v>1005</v>
      </c>
      <c r="B35" s="197" t="s">
        <v>197</v>
      </c>
      <c r="C35" s="198">
        <v>26</v>
      </c>
      <c r="D35" s="199">
        <f>i.04131a!C60</f>
        <v>0</v>
      </c>
      <c r="E35" s="199">
        <f>i.04131a!D60</f>
        <v>0</v>
      </c>
    </row>
    <row r="36" spans="1:5" x14ac:dyDescent="0.2">
      <c r="A36" s="196" t="s">
        <v>1006</v>
      </c>
      <c r="B36" s="197" t="s">
        <v>198</v>
      </c>
      <c r="C36" s="198">
        <v>27</v>
      </c>
      <c r="D36" s="199">
        <f>i.04131a!C50</f>
        <v>0</v>
      </c>
      <c r="E36" s="199">
        <f>i.04131a!D50</f>
        <v>0</v>
      </c>
    </row>
    <row r="37" spans="1:5" x14ac:dyDescent="0.2">
      <c r="A37" s="196" t="s">
        <v>1007</v>
      </c>
      <c r="B37" s="197" t="s">
        <v>199</v>
      </c>
      <c r="C37" s="198">
        <v>28</v>
      </c>
      <c r="D37" s="199">
        <f>i.04131a!C63</f>
        <v>0</v>
      </c>
      <c r="E37" s="199">
        <f>i.04131a!D63</f>
        <v>0</v>
      </c>
    </row>
    <row r="38" spans="1:5" x14ac:dyDescent="0.2">
      <c r="A38" s="196" t="s">
        <v>1008</v>
      </c>
      <c r="B38" s="197" t="s">
        <v>200</v>
      </c>
      <c r="C38" s="198">
        <v>29</v>
      </c>
      <c r="D38" s="199">
        <f>i.04131a!C51</f>
        <v>0</v>
      </c>
      <c r="E38" s="199">
        <f>i.04131a!D51</f>
        <v>0</v>
      </c>
    </row>
    <row r="39" spans="1:5" x14ac:dyDescent="0.2">
      <c r="A39" s="196" t="s">
        <v>1009</v>
      </c>
      <c r="B39" s="197" t="s">
        <v>201</v>
      </c>
      <c r="C39" s="198">
        <v>30</v>
      </c>
      <c r="D39" s="199">
        <f>i.04131a!C59</f>
        <v>0</v>
      </c>
      <c r="E39" s="199">
        <f>i.04131a!D59</f>
        <v>0</v>
      </c>
    </row>
    <row r="40" spans="1:5" x14ac:dyDescent="0.2">
      <c r="A40" s="196" t="s">
        <v>1010</v>
      </c>
      <c r="B40" s="197" t="s">
        <v>202</v>
      </c>
      <c r="C40" s="198">
        <v>31</v>
      </c>
      <c r="D40" s="199">
        <f>i.04131a!C66</f>
        <v>0</v>
      </c>
      <c r="E40" s="199">
        <f>i.04131a!D66</f>
        <v>0</v>
      </c>
    </row>
    <row r="41" spans="1:5" x14ac:dyDescent="0.2">
      <c r="A41" s="196" t="s">
        <v>1011</v>
      </c>
      <c r="B41" s="197" t="s">
        <v>203</v>
      </c>
      <c r="C41" s="198">
        <v>32</v>
      </c>
      <c r="D41" s="199">
        <f>i.04131a!C52</f>
        <v>0</v>
      </c>
      <c r="E41" s="199">
        <f>i.04131a!D52</f>
        <v>0</v>
      </c>
    </row>
    <row r="42" spans="1:5" x14ac:dyDescent="0.2">
      <c r="A42" s="196" t="s">
        <v>1012</v>
      </c>
      <c r="B42" s="197" t="s">
        <v>204</v>
      </c>
      <c r="C42" s="198">
        <v>33</v>
      </c>
      <c r="D42" s="199">
        <f>i.04131a!C64</f>
        <v>0</v>
      </c>
      <c r="E42" s="199">
        <f>i.04131a!D64</f>
        <v>0</v>
      </c>
    </row>
    <row r="43" spans="1:5" x14ac:dyDescent="0.2">
      <c r="A43" s="196" t="s">
        <v>1013</v>
      </c>
      <c r="B43" s="197" t="s">
        <v>205</v>
      </c>
      <c r="C43" s="198">
        <v>34</v>
      </c>
      <c r="D43" s="199">
        <f>i.04131a!C53</f>
        <v>0</v>
      </c>
      <c r="E43" s="199">
        <f>i.04131a!D53</f>
        <v>0</v>
      </c>
    </row>
    <row r="44" spans="1:5" x14ac:dyDescent="0.2">
      <c r="A44" s="196" t="s">
        <v>1014</v>
      </c>
      <c r="B44" s="197" t="s">
        <v>206</v>
      </c>
      <c r="C44" s="198">
        <v>35</v>
      </c>
      <c r="D44" s="199">
        <f>i.04131a!C61+i.04131a!C62</f>
        <v>0</v>
      </c>
      <c r="E44" s="199">
        <f>i.04131a!D61+i.04131a!D62</f>
        <v>0</v>
      </c>
    </row>
    <row r="45" spans="1:5" x14ac:dyDescent="0.2">
      <c r="A45" s="196" t="s">
        <v>1015</v>
      </c>
      <c r="B45" s="197" t="s">
        <v>83</v>
      </c>
      <c r="C45" s="198">
        <v>36</v>
      </c>
      <c r="D45" s="199">
        <f>i.04131a!C49+i.04131a!C54+i.04131a!C55+i.04131a!C56+i.04131a!C65+SUM(i.04131a!C67:C86)+i.04131a!C90+i.04131a!C87</f>
        <v>0</v>
      </c>
      <c r="E45" s="199">
        <f>i.04131a!D49+i.04131a!D54+i.04131a!D55+i.04131a!D56+i.04131a!D65+SUM(i.04131a!D67:D86)+i.04131a!D90+i.04131a!D87</f>
        <v>0</v>
      </c>
    </row>
    <row r="46" spans="1:5" x14ac:dyDescent="0.2">
      <c r="A46" s="192" t="s">
        <v>1016</v>
      </c>
      <c r="B46" s="200" t="s">
        <v>1104</v>
      </c>
      <c r="C46" s="194">
        <v>37</v>
      </c>
      <c r="D46" s="204">
        <f>SUM(D31:D45)</f>
        <v>0</v>
      </c>
      <c r="E46" s="204">
        <f>SUM(E31:E45)</f>
        <v>0</v>
      </c>
    </row>
    <row r="47" spans="1:5" x14ac:dyDescent="0.2">
      <c r="A47" s="192" t="s">
        <v>245</v>
      </c>
      <c r="B47" s="200" t="s">
        <v>1119</v>
      </c>
      <c r="C47" s="194">
        <v>38</v>
      </c>
      <c r="D47" s="201">
        <f>D29-D46</f>
        <v>0</v>
      </c>
      <c r="E47" s="201">
        <f>E29-E46</f>
        <v>0</v>
      </c>
    </row>
    <row r="48" spans="1:5" x14ac:dyDescent="0.2">
      <c r="A48" s="192" t="s">
        <v>247</v>
      </c>
      <c r="B48" s="200" t="s">
        <v>208</v>
      </c>
      <c r="C48" s="194">
        <v>39</v>
      </c>
      <c r="D48" s="201"/>
      <c r="E48" s="201"/>
    </row>
    <row r="49" spans="1:5" x14ac:dyDescent="0.2">
      <c r="A49" s="196" t="s">
        <v>737</v>
      </c>
      <c r="B49" s="197" t="s">
        <v>209</v>
      </c>
      <c r="C49" s="198">
        <v>40</v>
      </c>
      <c r="D49" s="310"/>
      <c r="E49" s="310"/>
    </row>
    <row r="50" spans="1:5" x14ac:dyDescent="0.2">
      <c r="A50" s="196" t="s">
        <v>1017</v>
      </c>
      <c r="B50" s="197" t="s">
        <v>210</v>
      </c>
      <c r="C50" s="198">
        <v>41</v>
      </c>
      <c r="D50" s="199">
        <f>i.04131a!C24-i.04131a!C96</f>
        <v>0</v>
      </c>
      <c r="E50" s="199">
        <f>i.04131a!D24-i.04131a!D96</f>
        <v>0</v>
      </c>
    </row>
    <row r="51" spans="1:5" x14ac:dyDescent="0.2">
      <c r="A51" s="196" t="s">
        <v>1018</v>
      </c>
      <c r="B51" s="197" t="s">
        <v>211</v>
      </c>
      <c r="C51" s="198">
        <v>42</v>
      </c>
      <c r="D51" s="310"/>
      <c r="E51" s="310"/>
    </row>
    <row r="52" spans="1:5" ht="25.5" x14ac:dyDescent="0.2">
      <c r="A52" s="196" t="s">
        <v>1019</v>
      </c>
      <c r="B52" s="197" t="s">
        <v>212</v>
      </c>
      <c r="C52" s="198">
        <v>43</v>
      </c>
      <c r="D52" s="199">
        <f>i.04131a!C21-i.04131a!C93</f>
        <v>0</v>
      </c>
      <c r="E52" s="199">
        <f>i.04131a!D21-i.04131a!D93</f>
        <v>0</v>
      </c>
    </row>
    <row r="53" spans="1:5" ht="25.5" x14ac:dyDescent="0.2">
      <c r="A53" s="196" t="s">
        <v>1020</v>
      </c>
      <c r="B53" s="197" t="s">
        <v>213</v>
      </c>
      <c r="C53" s="198">
        <v>44</v>
      </c>
      <c r="D53" s="310"/>
      <c r="E53" s="310"/>
    </row>
    <row r="54" spans="1:5" x14ac:dyDescent="0.2">
      <c r="A54" s="196" t="s">
        <v>1021</v>
      </c>
      <c r="B54" s="197" t="s">
        <v>214</v>
      </c>
      <c r="C54" s="198">
        <v>45</v>
      </c>
      <c r="D54" s="310"/>
      <c r="E54" s="310"/>
    </row>
    <row r="55" spans="1:5" x14ac:dyDescent="0.2">
      <c r="A55" s="196" t="s">
        <v>1022</v>
      </c>
      <c r="B55" s="197" t="s">
        <v>215</v>
      </c>
      <c r="C55" s="198">
        <v>46</v>
      </c>
      <c r="D55" s="310"/>
      <c r="E55" s="310"/>
    </row>
    <row r="56" spans="1:5" x14ac:dyDescent="0.2">
      <c r="A56" s="196" t="s">
        <v>1023</v>
      </c>
      <c r="B56" s="197" t="s">
        <v>735</v>
      </c>
      <c r="C56" s="198">
        <v>47</v>
      </c>
      <c r="D56" s="199">
        <f>i.04131a!C22+i.04131a!C23+i.04131a!C25+i.04131a!C26-i.04131a!C91-i.04131a!C92-i.04131a!C94-i.04131a!C95-i.04131a!C97-i.04131a!C98</f>
        <v>0</v>
      </c>
      <c r="E56" s="199">
        <f>i.04131a!D22+i.04131a!D23+i.04131a!D25+i.04131a!D26-i.04131a!D91-i.04131a!D92-i.04131a!D94-i.04131a!D95-i.04131a!D97-i.04131a!D98</f>
        <v>0</v>
      </c>
    </row>
    <row r="57" spans="1:5" ht="25.5" x14ac:dyDescent="0.2">
      <c r="A57" s="192" t="s">
        <v>1024</v>
      </c>
      <c r="B57" s="200" t="s">
        <v>736</v>
      </c>
      <c r="C57" s="194">
        <v>48</v>
      </c>
      <c r="D57" s="201">
        <f>SUM(D49:D56)</f>
        <v>0</v>
      </c>
      <c r="E57" s="201">
        <f>SUM(E49:E56)</f>
        <v>0</v>
      </c>
    </row>
    <row r="58" spans="1:5" x14ac:dyDescent="0.2">
      <c r="A58" s="192" t="s">
        <v>248</v>
      </c>
      <c r="B58" s="200" t="s">
        <v>1105</v>
      </c>
      <c r="C58" s="194">
        <v>49</v>
      </c>
      <c r="D58" s="201">
        <f>D47-D57</f>
        <v>0</v>
      </c>
      <c r="E58" s="201">
        <f>E47-E57</f>
        <v>0</v>
      </c>
    </row>
    <row r="59" spans="1:5" x14ac:dyDescent="0.2">
      <c r="A59" s="196" t="s">
        <v>738</v>
      </c>
      <c r="B59" s="197" t="s">
        <v>217</v>
      </c>
      <c r="C59" s="198">
        <v>50</v>
      </c>
      <c r="D59" s="199">
        <f>i.04131a!C99</f>
        <v>0</v>
      </c>
      <c r="E59" s="199">
        <f>i.04131a!D99</f>
        <v>0</v>
      </c>
    </row>
    <row r="60" spans="1:5" x14ac:dyDescent="0.2">
      <c r="A60" s="192" t="s">
        <v>249</v>
      </c>
      <c r="B60" s="200" t="s">
        <v>1106</v>
      </c>
      <c r="C60" s="194">
        <v>51</v>
      </c>
      <c r="D60" s="201">
        <f>D58-D59</f>
        <v>0</v>
      </c>
      <c r="E60" s="201">
        <f>E58-E59</f>
        <v>0</v>
      </c>
    </row>
    <row r="61" spans="1:5" x14ac:dyDescent="0.2">
      <c r="A61" s="196" t="s">
        <v>1025</v>
      </c>
      <c r="B61" s="197" t="s">
        <v>218</v>
      </c>
      <c r="C61" s="198">
        <v>52</v>
      </c>
      <c r="D61" s="310"/>
      <c r="E61" s="310"/>
    </row>
    <row r="62" spans="1:5" x14ac:dyDescent="0.2">
      <c r="A62" s="192" t="s">
        <v>250</v>
      </c>
      <c r="B62" s="200" t="s">
        <v>1107</v>
      </c>
      <c r="C62" s="194">
        <v>53</v>
      </c>
      <c r="D62" s="201">
        <f>D60-D61</f>
        <v>0</v>
      </c>
      <c r="E62" s="201">
        <f>E60-E61</f>
        <v>0</v>
      </c>
    </row>
    <row r="63" spans="1:5" x14ac:dyDescent="0.2">
      <c r="A63" s="196" t="s">
        <v>1026</v>
      </c>
      <c r="B63" s="197" t="s">
        <v>219</v>
      </c>
      <c r="C63" s="198">
        <v>54</v>
      </c>
      <c r="D63" s="310"/>
      <c r="E63" s="310"/>
    </row>
    <row r="64" spans="1:5" x14ac:dyDescent="0.2">
      <c r="A64" s="192" t="s">
        <v>251</v>
      </c>
      <c r="B64" s="200" t="s">
        <v>1108</v>
      </c>
      <c r="C64" s="194">
        <v>55</v>
      </c>
      <c r="D64" s="201">
        <f>D62-D63</f>
        <v>0</v>
      </c>
      <c r="E64" s="201">
        <f>E62-E63</f>
        <v>0</v>
      </c>
    </row>
    <row r="65" spans="1:5" x14ac:dyDescent="0.2">
      <c r="A65" s="196" t="s">
        <v>1027</v>
      </c>
      <c r="B65" s="197" t="s">
        <v>220</v>
      </c>
      <c r="C65" s="198">
        <v>56</v>
      </c>
      <c r="D65" s="310"/>
      <c r="E65" s="310"/>
    </row>
    <row r="67" spans="1:5" x14ac:dyDescent="0.2">
      <c r="B67" s="2" t="s">
        <v>285</v>
      </c>
      <c r="C67" s="395"/>
      <c r="D67" s="4"/>
      <c r="E67" s="4"/>
    </row>
    <row r="68" spans="1:5" x14ac:dyDescent="0.2">
      <c r="B68" s="5"/>
      <c r="C68" s="395"/>
      <c r="D68" s="4"/>
      <c r="E68" s="4"/>
    </row>
    <row r="69" spans="1:5" x14ac:dyDescent="0.2">
      <c r="B69" s="5" t="s">
        <v>286</v>
      </c>
      <c r="C69" s="395"/>
      <c r="D69" s="4"/>
      <c r="E69" s="4"/>
    </row>
    <row r="70" spans="1:5" x14ac:dyDescent="0.2">
      <c r="B70" s="5"/>
      <c r="C70" s="395"/>
      <c r="D70" s="4"/>
      <c r="E70" s="4"/>
    </row>
    <row r="71" spans="1:5" x14ac:dyDescent="0.2">
      <c r="B71" s="6" t="s">
        <v>287</v>
      </c>
      <c r="C71" s="520" t="s">
        <v>288</v>
      </c>
      <c r="D71" s="520"/>
      <c r="E71" s="4" t="s">
        <v>289</v>
      </c>
    </row>
    <row r="72" spans="1:5" x14ac:dyDescent="0.2">
      <c r="B72" s="5"/>
      <c r="C72" s="520"/>
      <c r="D72" s="520"/>
      <c r="E72" s="4"/>
    </row>
    <row r="73" spans="1:5" x14ac:dyDescent="0.2">
      <c r="B73" s="6" t="s">
        <v>290</v>
      </c>
      <c r="C73" s="520" t="s">
        <v>291</v>
      </c>
      <c r="D73" s="520"/>
      <c r="E73" s="4" t="s">
        <v>292</v>
      </c>
    </row>
    <row r="74" spans="1:5" x14ac:dyDescent="0.2">
      <c r="B74" s="5"/>
      <c r="C74" s="520"/>
      <c r="D74" s="520"/>
      <c r="E74" s="4"/>
    </row>
    <row r="75" spans="1:5" x14ac:dyDescent="0.2">
      <c r="B75" s="6" t="s">
        <v>293</v>
      </c>
      <c r="C75" s="520" t="s">
        <v>288</v>
      </c>
      <c r="D75" s="520"/>
      <c r="E75" s="4" t="s">
        <v>292</v>
      </c>
    </row>
  </sheetData>
  <sheetProtection password="CA9F" sheet="1" objects="1" scenarios="1"/>
  <mergeCells count="9">
    <mergeCell ref="C73:D73"/>
    <mergeCell ref="C74:D74"/>
    <mergeCell ref="C75:D75"/>
    <mergeCell ref="C1:E2"/>
    <mergeCell ref="A4:E4"/>
    <mergeCell ref="A6:B6"/>
    <mergeCell ref="D6:E6"/>
    <mergeCell ref="C71:D71"/>
    <mergeCell ref="C72:D72"/>
  </mergeCell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5"/>
  <sheetViews>
    <sheetView zoomScaleNormal="100" zoomScalePageLayoutView="60" workbookViewId="0">
      <selection activeCell="G31" sqref="G31"/>
    </sheetView>
  </sheetViews>
  <sheetFormatPr defaultRowHeight="12.75" x14ac:dyDescent="0.2"/>
  <cols>
    <col min="1" max="1" width="11.5703125" style="287"/>
    <col min="2" max="2" width="26.5703125" style="287"/>
    <col min="3" max="3" width="10.140625" style="287" customWidth="1"/>
    <col min="4" max="7" width="26.7109375" style="287" customWidth="1"/>
    <col min="8" max="1025" width="11.5703125" style="287"/>
    <col min="1026" max="16384" width="9.140625" style="287"/>
  </cols>
  <sheetData>
    <row r="1" spans="1:9" x14ac:dyDescent="0.2">
      <c r="A1" s="556"/>
      <c r="B1" s="557"/>
      <c r="C1" s="205"/>
      <c r="D1" s="206"/>
      <c r="E1" s="558" t="s">
        <v>747</v>
      </c>
      <c r="F1" s="558"/>
      <c r="G1" s="558"/>
      <c r="H1" s="5"/>
      <c r="I1" s="5"/>
    </row>
    <row r="2" spans="1:9" ht="24.75" customHeight="1" x14ac:dyDescent="0.2">
      <c r="A2" s="207"/>
      <c r="B2" s="21"/>
      <c r="C2" s="205"/>
      <c r="D2" s="206"/>
      <c r="E2" s="558"/>
      <c r="F2" s="558"/>
      <c r="G2" s="558"/>
      <c r="H2" s="5"/>
      <c r="I2" s="5"/>
    </row>
    <row r="3" spans="1:9" x14ac:dyDescent="0.2">
      <c r="A3" s="559" t="s">
        <v>748</v>
      </c>
      <c r="B3" s="560"/>
      <c r="C3" s="560"/>
      <c r="D3" s="560"/>
      <c r="E3" s="560"/>
      <c r="F3" s="560"/>
      <c r="G3" s="560"/>
      <c r="H3" s="560"/>
      <c r="I3" s="560"/>
    </row>
    <row r="4" spans="1:9" x14ac:dyDescent="0.2">
      <c r="A4" s="208"/>
      <c r="B4" s="5"/>
      <c r="C4" s="209"/>
      <c r="D4" s="210"/>
      <c r="E4" s="210"/>
      <c r="F4" s="210"/>
      <c r="G4" s="210"/>
      <c r="H4" s="210"/>
      <c r="I4" s="210"/>
    </row>
    <row r="5" spans="1:9" x14ac:dyDescent="0.2">
      <c r="A5" s="561" t="s">
        <v>277</v>
      </c>
      <c r="B5" s="561"/>
      <c r="C5" s="561"/>
      <c r="D5" s="561"/>
      <c r="F5" s="562" t="s">
        <v>742</v>
      </c>
      <c r="G5" s="562"/>
      <c r="H5" s="211"/>
      <c r="I5" s="211"/>
    </row>
    <row r="6" spans="1:9" x14ac:dyDescent="0.2">
      <c r="E6" s="212"/>
      <c r="F6" s="555" t="s">
        <v>279</v>
      </c>
      <c r="G6" s="555"/>
      <c r="H6" s="211"/>
      <c r="I6" s="211"/>
    </row>
    <row r="7" spans="1:9" x14ac:dyDescent="0.2">
      <c r="A7" s="545" t="s">
        <v>280</v>
      </c>
      <c r="B7" s="545" t="s">
        <v>743</v>
      </c>
      <c r="C7" s="545" t="s">
        <v>295</v>
      </c>
      <c r="D7" s="547" t="s">
        <v>173</v>
      </c>
      <c r="E7" s="535"/>
      <c r="F7" s="535"/>
      <c r="G7" s="536"/>
    </row>
    <row r="8" spans="1:9" x14ac:dyDescent="0.2">
      <c r="A8" s="553"/>
      <c r="B8" s="553"/>
      <c r="C8" s="553"/>
      <c r="D8" s="24" t="s">
        <v>221</v>
      </c>
      <c r="E8" s="24" t="s">
        <v>744</v>
      </c>
      <c r="F8" s="24" t="s">
        <v>222</v>
      </c>
      <c r="G8" s="24" t="s">
        <v>745</v>
      </c>
    </row>
    <row r="9" spans="1:9" x14ac:dyDescent="0.2">
      <c r="A9" s="317" t="s">
        <v>282</v>
      </c>
      <c r="B9" s="318" t="s">
        <v>283</v>
      </c>
      <c r="C9" s="318" t="s">
        <v>297</v>
      </c>
      <c r="D9" s="24">
        <v>1</v>
      </c>
      <c r="E9" s="24">
        <v>2</v>
      </c>
      <c r="F9" s="24">
        <v>3</v>
      </c>
      <c r="G9" s="24">
        <v>4</v>
      </c>
    </row>
    <row r="10" spans="1:9" ht="25.5" x14ac:dyDescent="0.2">
      <c r="A10" s="314">
        <v>1</v>
      </c>
      <c r="B10" s="213" t="s">
        <v>187</v>
      </c>
      <c r="C10" s="315">
        <v>1</v>
      </c>
      <c r="D10" s="312"/>
      <c r="E10" s="312"/>
      <c r="F10" s="312"/>
      <c r="G10" s="313">
        <f>+D10+E10-F10</f>
        <v>0</v>
      </c>
      <c r="H10" s="288">
        <f>G10-i.04130!E79</f>
        <v>0</v>
      </c>
    </row>
    <row r="11" spans="1:9" ht="25.5" x14ac:dyDescent="0.2">
      <c r="A11" s="316">
        <v>2</v>
      </c>
      <c r="B11" s="213" t="s">
        <v>188</v>
      </c>
      <c r="C11" s="315">
        <f>+C10+1</f>
        <v>2</v>
      </c>
      <c r="D11" s="312"/>
      <c r="E11" s="312"/>
      <c r="F11" s="312"/>
      <c r="G11" s="313">
        <f t="shared" ref="G11:G13" si="0">+D11+E11-F11</f>
        <v>0</v>
      </c>
      <c r="H11" s="288">
        <f>G11-i.04130!E80</f>
        <v>0</v>
      </c>
    </row>
    <row r="12" spans="1:9" x14ac:dyDescent="0.2">
      <c r="A12" s="316">
        <v>3</v>
      </c>
      <c r="B12" s="213" t="s">
        <v>881</v>
      </c>
      <c r="C12" s="315">
        <v>3</v>
      </c>
      <c r="D12" s="312"/>
      <c r="E12" s="312"/>
      <c r="F12" s="312"/>
      <c r="G12" s="313">
        <f>D12+E12+F12</f>
        <v>0</v>
      </c>
      <c r="H12" s="288">
        <f>G12-i.04130!E81</f>
        <v>0</v>
      </c>
    </row>
    <row r="13" spans="1:9" x14ac:dyDescent="0.2">
      <c r="A13" s="316">
        <v>4</v>
      </c>
      <c r="B13" s="213" t="s">
        <v>177</v>
      </c>
      <c r="C13" s="315">
        <v>4</v>
      </c>
      <c r="D13" s="312"/>
      <c r="E13" s="312"/>
      <c r="F13" s="312"/>
      <c r="G13" s="313">
        <f t="shared" si="0"/>
        <v>0</v>
      </c>
      <c r="H13" s="288">
        <f>G13-i.04130!E82</f>
        <v>0</v>
      </c>
    </row>
    <row r="14" spans="1:9" x14ac:dyDescent="0.2">
      <c r="A14" s="554" t="s">
        <v>746</v>
      </c>
      <c r="B14" s="536"/>
      <c r="C14" s="24">
        <v>5</v>
      </c>
      <c r="D14" s="313">
        <f>SUM(D10:D13)</f>
        <v>0</v>
      </c>
      <c r="E14" s="313">
        <f>SUM(E10:E13)</f>
        <v>0</v>
      </c>
      <c r="F14" s="313">
        <f>SUM(F10:F13)</f>
        <v>0</v>
      </c>
      <c r="G14" s="313">
        <f>SUM(G10:G13)</f>
        <v>0</v>
      </c>
    </row>
    <row r="16" spans="1:9" x14ac:dyDescent="0.2">
      <c r="D16" s="288">
        <f>D14-i.04130!D83</f>
        <v>0</v>
      </c>
      <c r="G16" s="288">
        <f>G14-i.04130!E83</f>
        <v>0</v>
      </c>
    </row>
    <row r="17" spans="2:5" x14ac:dyDescent="0.2">
      <c r="B17" s="2" t="s">
        <v>285</v>
      </c>
      <c r="C17" s="272"/>
      <c r="D17" s="4"/>
      <c r="E17" s="4"/>
    </row>
    <row r="18" spans="2:5" x14ac:dyDescent="0.2">
      <c r="B18" s="5"/>
      <c r="C18" s="272"/>
      <c r="D18" s="4"/>
      <c r="E18" s="4"/>
    </row>
    <row r="19" spans="2:5" x14ac:dyDescent="0.2">
      <c r="B19" s="5" t="s">
        <v>286</v>
      </c>
      <c r="C19" s="272"/>
      <c r="D19" s="4"/>
      <c r="E19" s="4"/>
    </row>
    <row r="20" spans="2:5" x14ac:dyDescent="0.2">
      <c r="B20" s="5"/>
      <c r="C20" s="272"/>
      <c r="D20" s="4"/>
      <c r="E20" s="4"/>
    </row>
    <row r="21" spans="2:5" x14ac:dyDescent="0.2">
      <c r="B21" s="6" t="s">
        <v>287</v>
      </c>
      <c r="C21" s="520" t="s">
        <v>288</v>
      </c>
      <c r="D21" s="520"/>
      <c r="E21" s="4" t="s">
        <v>289</v>
      </c>
    </row>
    <row r="22" spans="2:5" x14ac:dyDescent="0.2">
      <c r="B22" s="5"/>
      <c r="C22" s="520"/>
      <c r="D22" s="520"/>
      <c r="E22" s="4"/>
    </row>
    <row r="23" spans="2:5" x14ac:dyDescent="0.2">
      <c r="B23" s="6" t="s">
        <v>290</v>
      </c>
      <c r="C23" s="520" t="s">
        <v>291</v>
      </c>
      <c r="D23" s="520"/>
      <c r="E23" s="4" t="s">
        <v>292</v>
      </c>
    </row>
    <row r="24" spans="2:5" x14ac:dyDescent="0.2">
      <c r="B24" s="5"/>
      <c r="C24" s="520"/>
      <c r="D24" s="520"/>
      <c r="E24" s="4"/>
    </row>
    <row r="25" spans="2:5" x14ac:dyDescent="0.2">
      <c r="B25" s="6" t="s">
        <v>293</v>
      </c>
      <c r="C25" s="520" t="s">
        <v>288</v>
      </c>
      <c r="D25" s="520"/>
      <c r="E25" s="4" t="s">
        <v>292</v>
      </c>
    </row>
  </sheetData>
  <sheetProtection password="CA9F" sheet="1" objects="1" scenarios="1"/>
  <mergeCells count="16">
    <mergeCell ref="F6:G6"/>
    <mergeCell ref="A1:B1"/>
    <mergeCell ref="E1:G2"/>
    <mergeCell ref="A3:I3"/>
    <mergeCell ref="A5:D5"/>
    <mergeCell ref="F5:G5"/>
    <mergeCell ref="C22:D22"/>
    <mergeCell ref="C23:D23"/>
    <mergeCell ref="C24:D24"/>
    <mergeCell ref="C25:D25"/>
    <mergeCell ref="A7:A8"/>
    <mergeCell ref="B7:B8"/>
    <mergeCell ref="C7:C8"/>
    <mergeCell ref="D7:G7"/>
    <mergeCell ref="A14:B14"/>
    <mergeCell ref="C21:D21"/>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47"/>
  <sheetViews>
    <sheetView topLeftCell="A13" zoomScaleNormal="100" zoomScalePageLayoutView="60" workbookViewId="0">
      <selection activeCell="C18" sqref="C18"/>
    </sheetView>
  </sheetViews>
  <sheetFormatPr defaultRowHeight="12.75" x14ac:dyDescent="0.2"/>
  <cols>
    <col min="1" max="1" width="11.5703125" style="287"/>
    <col min="2" max="2" width="96.7109375" style="287" customWidth="1"/>
    <col min="3" max="3" width="9.28515625" style="287" customWidth="1"/>
    <col min="4" max="11" width="24.140625" style="287" customWidth="1"/>
    <col min="12" max="1025" width="11.5703125" style="287"/>
    <col min="1026" max="16384" width="9.140625" style="287"/>
  </cols>
  <sheetData>
    <row r="1" spans="1:11" x14ac:dyDescent="0.2">
      <c r="A1" s="325"/>
      <c r="B1" s="326"/>
      <c r="C1" s="326" t="s">
        <v>0</v>
      </c>
      <c r="D1" s="326" t="s">
        <v>0</v>
      </c>
      <c r="E1" s="326" t="s">
        <v>0</v>
      </c>
      <c r="F1" s="326" t="s">
        <v>0</v>
      </c>
      <c r="G1" s="326"/>
      <c r="H1" s="326"/>
      <c r="I1" s="326" t="s">
        <v>0</v>
      </c>
      <c r="J1" s="326" t="s">
        <v>0</v>
      </c>
      <c r="K1" s="273"/>
    </row>
    <row r="2" spans="1:11" x14ac:dyDescent="0.2">
      <c r="A2" s="325"/>
      <c r="B2" s="326"/>
      <c r="C2" s="326" t="s">
        <v>0</v>
      </c>
      <c r="D2" s="326" t="s">
        <v>0</v>
      </c>
      <c r="E2" s="326" t="s">
        <v>0</v>
      </c>
      <c r="F2" s="326" t="s">
        <v>0</v>
      </c>
      <c r="G2" s="326"/>
      <c r="H2" s="326"/>
      <c r="I2" s="563" t="s">
        <v>780</v>
      </c>
      <c r="J2" s="563"/>
      <c r="K2" s="563"/>
    </row>
    <row r="3" spans="1:11" x14ac:dyDescent="0.2">
      <c r="A3" s="325"/>
      <c r="B3" s="326"/>
      <c r="C3" s="326" t="s">
        <v>0</v>
      </c>
      <c r="D3" s="326" t="s">
        <v>0</v>
      </c>
      <c r="E3" s="326" t="s">
        <v>0</v>
      </c>
      <c r="F3" s="326" t="s">
        <v>0</v>
      </c>
      <c r="G3" s="326"/>
      <c r="H3" s="326"/>
      <c r="I3" s="563"/>
      <c r="J3" s="563"/>
      <c r="K3" s="563"/>
    </row>
    <row r="4" spans="1:11" x14ac:dyDescent="0.2">
      <c r="A4" s="325"/>
      <c r="B4" s="326"/>
      <c r="C4" s="326" t="s">
        <v>0</v>
      </c>
      <c r="D4" s="326" t="s">
        <v>0</v>
      </c>
      <c r="E4" s="326" t="s">
        <v>0</v>
      </c>
      <c r="F4" s="326" t="s">
        <v>0</v>
      </c>
      <c r="G4" s="326"/>
      <c r="H4" s="326"/>
      <c r="I4" s="563"/>
      <c r="J4" s="563"/>
      <c r="K4" s="563"/>
    </row>
    <row r="5" spans="1:11" x14ac:dyDescent="0.2">
      <c r="A5" s="325"/>
      <c r="B5" s="273"/>
      <c r="C5" s="327" t="s">
        <v>778</v>
      </c>
      <c r="D5" s="326"/>
      <c r="E5" s="326"/>
      <c r="F5" s="326"/>
      <c r="G5" s="326"/>
      <c r="H5" s="326"/>
      <c r="I5" s="326"/>
      <c r="J5" s="326"/>
      <c r="K5" s="273"/>
    </row>
    <row r="6" spans="1:11" x14ac:dyDescent="0.2">
      <c r="A6" s="273" t="s">
        <v>779</v>
      </c>
      <c r="B6" s="273"/>
      <c r="C6" s="273"/>
      <c r="D6" s="273"/>
      <c r="E6" s="273"/>
      <c r="F6" s="273"/>
      <c r="G6" s="273"/>
      <c r="H6" s="273"/>
      <c r="I6" s="273"/>
      <c r="J6" s="562" t="s">
        <v>742</v>
      </c>
      <c r="K6" s="562"/>
    </row>
    <row r="7" spans="1:11" x14ac:dyDescent="0.2">
      <c r="A7" s="273"/>
      <c r="B7" s="273"/>
      <c r="C7" s="273"/>
      <c r="D7" s="273"/>
      <c r="E7" s="273"/>
      <c r="F7" s="273"/>
      <c r="G7" s="273"/>
      <c r="H7" s="273"/>
      <c r="I7" s="273"/>
      <c r="J7" s="562" t="s">
        <v>279</v>
      </c>
      <c r="K7" s="562"/>
    </row>
    <row r="8" spans="1:11" ht="25.5" x14ac:dyDescent="0.2">
      <c r="A8" s="320" t="s">
        <v>749</v>
      </c>
      <c r="B8" s="56" t="s">
        <v>750</v>
      </c>
      <c r="C8" s="320" t="s">
        <v>295</v>
      </c>
      <c r="D8" s="320" t="s">
        <v>223</v>
      </c>
      <c r="E8" s="320" t="s">
        <v>224</v>
      </c>
      <c r="F8" s="320" t="s">
        <v>225</v>
      </c>
      <c r="G8" s="320" t="s">
        <v>226</v>
      </c>
      <c r="H8" s="328" t="s">
        <v>182</v>
      </c>
      <c r="I8" s="56" t="s">
        <v>183</v>
      </c>
      <c r="J8" s="56" t="s">
        <v>184</v>
      </c>
      <c r="K8" s="320" t="s">
        <v>185</v>
      </c>
    </row>
    <row r="9" spans="1:11" x14ac:dyDescent="0.2">
      <c r="A9" s="320" t="s">
        <v>282</v>
      </c>
      <c r="B9" s="320" t="s">
        <v>283</v>
      </c>
      <c r="C9" s="320" t="s">
        <v>297</v>
      </c>
      <c r="D9" s="320">
        <v>1</v>
      </c>
      <c r="E9" s="320">
        <v>2</v>
      </c>
      <c r="F9" s="320">
        <v>3</v>
      </c>
      <c r="G9" s="320">
        <v>4</v>
      </c>
      <c r="H9" s="329">
        <v>5</v>
      </c>
      <c r="I9" s="330">
        <v>6</v>
      </c>
      <c r="J9" s="330">
        <v>7</v>
      </c>
      <c r="K9" s="320">
        <v>8</v>
      </c>
    </row>
    <row r="10" spans="1:11" ht="26.25" customHeight="1" x14ac:dyDescent="0.2">
      <c r="A10" s="564" t="s">
        <v>227</v>
      </c>
      <c r="B10" s="322" t="s">
        <v>751</v>
      </c>
      <c r="C10" s="323">
        <v>1</v>
      </c>
      <c r="D10" s="319"/>
      <c r="E10" s="319"/>
      <c r="F10" s="319"/>
      <c r="G10" s="319"/>
      <c r="H10" s="319"/>
      <c r="I10" s="319"/>
      <c r="J10" s="319"/>
      <c r="K10" s="319"/>
    </row>
    <row r="11" spans="1:11" x14ac:dyDescent="0.2">
      <c r="A11" s="564"/>
      <c r="B11" s="322" t="s">
        <v>752</v>
      </c>
      <c r="C11" s="323">
        <v>2</v>
      </c>
      <c r="D11" s="319"/>
      <c r="E11" s="319"/>
      <c r="F11" s="319"/>
      <c r="G11" s="319"/>
      <c r="H11" s="319"/>
      <c r="I11" s="319"/>
      <c r="J11" s="319"/>
      <c r="K11" s="319"/>
    </row>
    <row r="12" spans="1:11" x14ac:dyDescent="0.2">
      <c r="A12" s="564"/>
      <c r="B12" s="322" t="s">
        <v>753</v>
      </c>
      <c r="C12" s="323">
        <v>3</v>
      </c>
      <c r="D12" s="319"/>
      <c r="E12" s="319"/>
      <c r="F12" s="319"/>
      <c r="G12" s="319"/>
      <c r="H12" s="319"/>
      <c r="I12" s="319"/>
      <c r="J12" s="319"/>
      <c r="K12" s="319"/>
    </row>
    <row r="13" spans="1:11" x14ac:dyDescent="0.2">
      <c r="A13" s="564"/>
      <c r="B13" s="322" t="s">
        <v>754</v>
      </c>
      <c r="C13" s="323">
        <v>4</v>
      </c>
      <c r="D13" s="319"/>
      <c r="E13" s="319"/>
      <c r="F13" s="319"/>
      <c r="G13" s="319"/>
      <c r="H13" s="319"/>
      <c r="I13" s="319"/>
      <c r="J13" s="319"/>
      <c r="K13" s="319"/>
    </row>
    <row r="14" spans="1:11" x14ac:dyDescent="0.2">
      <c r="A14" s="564"/>
      <c r="B14" s="322" t="s">
        <v>755</v>
      </c>
      <c r="C14" s="323">
        <v>5</v>
      </c>
      <c r="D14" s="319"/>
      <c r="E14" s="319"/>
      <c r="F14" s="319"/>
      <c r="G14" s="319"/>
      <c r="H14" s="319"/>
      <c r="I14" s="319"/>
      <c r="J14" s="319"/>
      <c r="K14" s="319"/>
    </row>
    <row r="15" spans="1:11" x14ac:dyDescent="0.2">
      <c r="A15" s="564"/>
      <c r="B15" s="322" t="s">
        <v>756</v>
      </c>
      <c r="C15" s="323">
        <v>6</v>
      </c>
      <c r="D15" s="319"/>
      <c r="E15" s="319"/>
      <c r="F15" s="319"/>
      <c r="G15" s="319"/>
      <c r="H15" s="319"/>
      <c r="I15" s="319"/>
      <c r="J15" s="319"/>
      <c r="K15" s="319"/>
    </row>
    <row r="16" spans="1:11" x14ac:dyDescent="0.2">
      <c r="A16" s="564"/>
      <c r="B16" s="322" t="s">
        <v>757</v>
      </c>
      <c r="C16" s="323">
        <v>7</v>
      </c>
      <c r="D16" s="319"/>
      <c r="E16" s="319"/>
      <c r="F16" s="319"/>
      <c r="G16" s="319"/>
      <c r="H16" s="319"/>
      <c r="I16" s="319"/>
      <c r="J16" s="319"/>
      <c r="K16" s="319"/>
    </row>
    <row r="17" spans="1:11" x14ac:dyDescent="0.2">
      <c r="A17" s="564"/>
      <c r="B17" s="322" t="s">
        <v>758</v>
      </c>
      <c r="C17" s="323">
        <v>8</v>
      </c>
      <c r="D17" s="319"/>
      <c r="E17" s="319"/>
      <c r="F17" s="319"/>
      <c r="G17" s="319"/>
      <c r="H17" s="319"/>
      <c r="I17" s="319"/>
      <c r="J17" s="319"/>
      <c r="K17" s="319"/>
    </row>
    <row r="18" spans="1:11" x14ac:dyDescent="0.2">
      <c r="A18" s="564"/>
      <c r="B18" s="322" t="s">
        <v>759</v>
      </c>
      <c r="C18" s="323">
        <v>9</v>
      </c>
      <c r="D18" s="319"/>
      <c r="E18" s="319"/>
      <c r="F18" s="319"/>
      <c r="G18" s="319"/>
      <c r="H18" s="319"/>
      <c r="I18" s="319"/>
      <c r="J18" s="319"/>
      <c r="K18" s="319"/>
    </row>
    <row r="19" spans="1:11" x14ac:dyDescent="0.2">
      <c r="A19" s="564"/>
      <c r="B19" s="322" t="s">
        <v>760</v>
      </c>
      <c r="C19" s="323">
        <v>10</v>
      </c>
      <c r="D19" s="319"/>
      <c r="E19" s="319"/>
      <c r="F19" s="319"/>
      <c r="G19" s="319"/>
      <c r="H19" s="319"/>
      <c r="I19" s="319"/>
      <c r="J19" s="319"/>
      <c r="K19" s="319"/>
    </row>
    <row r="20" spans="1:11" x14ac:dyDescent="0.2">
      <c r="A20" s="564"/>
      <c r="B20" s="322" t="s">
        <v>761</v>
      </c>
      <c r="C20" s="323">
        <v>11</v>
      </c>
      <c r="D20" s="319"/>
      <c r="E20" s="319"/>
      <c r="F20" s="319"/>
      <c r="G20" s="319"/>
      <c r="H20" s="319"/>
      <c r="I20" s="319"/>
      <c r="J20" s="319"/>
      <c r="K20" s="319"/>
    </row>
    <row r="21" spans="1:11" x14ac:dyDescent="0.2">
      <c r="A21" s="564"/>
      <c r="B21" s="322" t="s">
        <v>762</v>
      </c>
      <c r="C21" s="323">
        <v>12</v>
      </c>
      <c r="D21" s="319"/>
      <c r="E21" s="319"/>
      <c r="F21" s="319"/>
      <c r="G21" s="319"/>
      <c r="H21" s="319"/>
      <c r="I21" s="319"/>
      <c r="J21" s="319"/>
      <c r="K21" s="319"/>
    </row>
    <row r="22" spans="1:11" x14ac:dyDescent="0.2">
      <c r="A22" s="564"/>
      <c r="B22" s="322" t="s">
        <v>763</v>
      </c>
      <c r="C22" s="323">
        <v>13</v>
      </c>
      <c r="D22" s="319"/>
      <c r="E22" s="319"/>
      <c r="F22" s="319"/>
      <c r="G22" s="319"/>
      <c r="H22" s="319"/>
      <c r="I22" s="319"/>
      <c r="J22" s="319"/>
      <c r="K22" s="319"/>
    </row>
    <row r="23" spans="1:11" x14ac:dyDescent="0.2">
      <c r="A23" s="564"/>
      <c r="B23" s="324" t="s">
        <v>764</v>
      </c>
      <c r="C23" s="323">
        <v>14</v>
      </c>
      <c r="D23" s="319"/>
      <c r="E23" s="319"/>
      <c r="F23" s="319"/>
      <c r="G23" s="319"/>
      <c r="H23" s="319"/>
      <c r="I23" s="319"/>
      <c r="J23" s="319"/>
      <c r="K23" s="319"/>
    </row>
    <row r="24" spans="1:11" x14ac:dyDescent="0.2">
      <c r="A24" s="564"/>
      <c r="B24" s="324" t="s">
        <v>765</v>
      </c>
      <c r="C24" s="323">
        <v>15</v>
      </c>
      <c r="D24" s="319"/>
      <c r="E24" s="319"/>
      <c r="F24" s="319"/>
      <c r="G24" s="319"/>
      <c r="H24" s="319"/>
      <c r="I24" s="319"/>
      <c r="J24" s="319"/>
      <c r="K24" s="319"/>
    </row>
    <row r="25" spans="1:11" x14ac:dyDescent="0.2">
      <c r="A25" s="564"/>
      <c r="B25" s="324" t="s">
        <v>766</v>
      </c>
      <c r="C25" s="323">
        <v>16</v>
      </c>
      <c r="D25" s="319"/>
      <c r="E25" s="319"/>
      <c r="F25" s="319"/>
      <c r="G25" s="319"/>
      <c r="H25" s="319"/>
      <c r="I25" s="319"/>
      <c r="J25" s="319"/>
      <c r="K25" s="319"/>
    </row>
    <row r="26" spans="1:11" ht="25.5" x14ac:dyDescent="0.2">
      <c r="A26" s="564"/>
      <c r="B26" s="324" t="s">
        <v>767</v>
      </c>
      <c r="C26" s="323">
        <v>17</v>
      </c>
      <c r="D26" s="319"/>
      <c r="E26" s="319"/>
      <c r="F26" s="319"/>
      <c r="G26" s="319"/>
      <c r="H26" s="319"/>
      <c r="I26" s="319"/>
      <c r="J26" s="319"/>
      <c r="K26" s="319"/>
    </row>
    <row r="27" spans="1:11" x14ac:dyDescent="0.2">
      <c r="A27" s="564"/>
      <c r="B27" s="324" t="s">
        <v>768</v>
      </c>
      <c r="C27" s="323">
        <v>18</v>
      </c>
      <c r="D27" s="319"/>
      <c r="E27" s="319"/>
      <c r="F27" s="319"/>
      <c r="G27" s="319"/>
      <c r="H27" s="319"/>
      <c r="I27" s="319"/>
      <c r="J27" s="319"/>
      <c r="K27" s="319"/>
    </row>
    <row r="28" spans="1:11" x14ac:dyDescent="0.2">
      <c r="A28" s="564" t="s">
        <v>228</v>
      </c>
      <c r="B28" s="322" t="s">
        <v>769</v>
      </c>
      <c r="C28" s="323">
        <v>19</v>
      </c>
      <c r="D28" s="319"/>
      <c r="E28" s="319"/>
      <c r="F28" s="319"/>
      <c r="G28" s="319"/>
      <c r="H28" s="319"/>
      <c r="I28" s="319"/>
      <c r="J28" s="319"/>
      <c r="K28" s="319"/>
    </row>
    <row r="29" spans="1:11" x14ac:dyDescent="0.2">
      <c r="A29" s="564"/>
      <c r="B29" s="322" t="s">
        <v>770</v>
      </c>
      <c r="C29" s="323">
        <v>20</v>
      </c>
      <c r="D29" s="319"/>
      <c r="E29" s="319"/>
      <c r="F29" s="319"/>
      <c r="G29" s="319"/>
      <c r="H29" s="319"/>
      <c r="I29" s="319"/>
      <c r="J29" s="319"/>
      <c r="K29" s="319"/>
    </row>
    <row r="30" spans="1:11" x14ac:dyDescent="0.2">
      <c r="A30" s="564"/>
      <c r="B30" s="322" t="s">
        <v>771</v>
      </c>
      <c r="C30" s="323">
        <v>21</v>
      </c>
      <c r="D30" s="319"/>
      <c r="E30" s="319"/>
      <c r="F30" s="319"/>
      <c r="G30" s="319"/>
      <c r="H30" s="319"/>
      <c r="I30" s="319"/>
      <c r="J30" s="319"/>
      <c r="K30" s="319"/>
    </row>
    <row r="31" spans="1:11" x14ac:dyDescent="0.2">
      <c r="A31" s="564"/>
      <c r="B31" s="322" t="s">
        <v>772</v>
      </c>
      <c r="C31" s="323">
        <v>22</v>
      </c>
      <c r="D31" s="319"/>
      <c r="E31" s="319"/>
      <c r="F31" s="319"/>
      <c r="G31" s="319"/>
      <c r="H31" s="319"/>
      <c r="I31" s="319"/>
      <c r="J31" s="319"/>
      <c r="K31" s="319"/>
    </row>
    <row r="32" spans="1:11" x14ac:dyDescent="0.2">
      <c r="A32" s="564"/>
      <c r="B32" s="322" t="s">
        <v>773</v>
      </c>
      <c r="C32" s="323">
        <v>23</v>
      </c>
      <c r="D32" s="319"/>
      <c r="E32" s="319"/>
      <c r="F32" s="319"/>
      <c r="G32" s="319"/>
      <c r="H32" s="319"/>
      <c r="I32" s="319"/>
      <c r="J32" s="319"/>
      <c r="K32" s="319"/>
    </row>
    <row r="33" spans="1:11" x14ac:dyDescent="0.2">
      <c r="A33" s="564"/>
      <c r="B33" s="322" t="s">
        <v>774</v>
      </c>
      <c r="C33" s="323">
        <v>24</v>
      </c>
      <c r="D33" s="319"/>
      <c r="E33" s="319"/>
      <c r="F33" s="319"/>
      <c r="G33" s="319"/>
      <c r="H33" s="319"/>
      <c r="I33" s="319"/>
      <c r="J33" s="319"/>
      <c r="K33" s="319"/>
    </row>
    <row r="34" spans="1:11" x14ac:dyDescent="0.2">
      <c r="A34" s="564"/>
      <c r="B34" s="322" t="s">
        <v>775</v>
      </c>
      <c r="C34" s="323">
        <v>25</v>
      </c>
      <c r="D34" s="319"/>
      <c r="E34" s="319"/>
      <c r="F34" s="319"/>
      <c r="G34" s="319"/>
      <c r="H34" s="319"/>
      <c r="I34" s="319"/>
      <c r="J34" s="319"/>
      <c r="K34" s="319"/>
    </row>
    <row r="35" spans="1:11" x14ac:dyDescent="0.2">
      <c r="A35" s="564"/>
      <c r="B35" s="322" t="s">
        <v>776</v>
      </c>
      <c r="C35" s="323">
        <v>26</v>
      </c>
      <c r="D35" s="319"/>
      <c r="E35" s="319"/>
      <c r="F35" s="319"/>
      <c r="G35" s="319"/>
      <c r="H35" s="319"/>
      <c r="I35" s="319"/>
      <c r="J35" s="319"/>
      <c r="K35" s="319"/>
    </row>
    <row r="36" spans="1:11" x14ac:dyDescent="0.2">
      <c r="A36" s="565" t="s">
        <v>777</v>
      </c>
      <c r="B36" s="565"/>
      <c r="C36" s="320">
        <v>27</v>
      </c>
      <c r="D36" s="321">
        <f>SUM(D10:D35)</f>
        <v>0</v>
      </c>
      <c r="E36" s="321">
        <f t="shared" ref="E36:K36" si="0">SUM(E10:E35)</f>
        <v>0</v>
      </c>
      <c r="F36" s="321">
        <f t="shared" si="0"/>
        <v>0</v>
      </c>
      <c r="G36" s="321">
        <f t="shared" si="0"/>
        <v>0</v>
      </c>
      <c r="H36" s="321">
        <f t="shared" si="0"/>
        <v>0</v>
      </c>
      <c r="I36" s="321">
        <f t="shared" si="0"/>
        <v>0</v>
      </c>
      <c r="J36" s="321">
        <f t="shared" si="0"/>
        <v>0</v>
      </c>
      <c r="K36" s="321">
        <f t="shared" si="0"/>
        <v>0</v>
      </c>
    </row>
    <row r="38" spans="1:11" x14ac:dyDescent="0.2">
      <c r="D38" s="289"/>
      <c r="E38" s="289"/>
      <c r="F38" s="288">
        <f>F36-i.04131!E10</f>
        <v>0</v>
      </c>
      <c r="G38" s="289"/>
      <c r="H38" s="288">
        <f>H36-i.04131!E11</f>
        <v>0</v>
      </c>
      <c r="I38" s="288">
        <f>I36-i.04131!E12</f>
        <v>0</v>
      </c>
      <c r="J38" s="288">
        <f>J36-i.04131!E13</f>
        <v>0</v>
      </c>
      <c r="K38" s="288">
        <f>K36-i.04131!E17</f>
        <v>0</v>
      </c>
    </row>
    <row r="39" spans="1:11" x14ac:dyDescent="0.2">
      <c r="B39" s="2" t="s">
        <v>285</v>
      </c>
      <c r="C39" s="272"/>
      <c r="D39" s="4"/>
      <c r="E39" s="4"/>
    </row>
    <row r="40" spans="1:11" x14ac:dyDescent="0.2">
      <c r="B40" s="5"/>
      <c r="C40" s="272"/>
      <c r="D40" s="4"/>
      <c r="E40" s="4"/>
    </row>
    <row r="41" spans="1:11" x14ac:dyDescent="0.2">
      <c r="B41" s="5" t="s">
        <v>286</v>
      </c>
      <c r="C41" s="272"/>
      <c r="D41" s="4"/>
      <c r="E41" s="4"/>
    </row>
    <row r="42" spans="1:11" x14ac:dyDescent="0.2">
      <c r="B42" s="5"/>
      <c r="C42" s="272"/>
      <c r="D42" s="4"/>
      <c r="E42" s="4"/>
    </row>
    <row r="43" spans="1:11" x14ac:dyDescent="0.2">
      <c r="B43" s="6" t="s">
        <v>287</v>
      </c>
      <c r="C43" s="520" t="s">
        <v>288</v>
      </c>
      <c r="D43" s="520"/>
      <c r="E43" s="4" t="s">
        <v>289</v>
      </c>
    </row>
    <row r="44" spans="1:11" x14ac:dyDescent="0.2">
      <c r="B44" s="5"/>
      <c r="C44" s="520"/>
      <c r="D44" s="520"/>
      <c r="E44" s="4"/>
    </row>
    <row r="45" spans="1:11" x14ac:dyDescent="0.2">
      <c r="B45" s="6" t="s">
        <v>290</v>
      </c>
      <c r="C45" s="520" t="s">
        <v>291</v>
      </c>
      <c r="D45" s="520"/>
      <c r="E45" s="4" t="s">
        <v>292</v>
      </c>
    </row>
    <row r="46" spans="1:11" x14ac:dyDescent="0.2">
      <c r="B46" s="5"/>
      <c r="C46" s="520"/>
      <c r="D46" s="520"/>
      <c r="E46" s="4"/>
    </row>
    <row r="47" spans="1:11" x14ac:dyDescent="0.2">
      <c r="B47" s="6" t="s">
        <v>293</v>
      </c>
      <c r="C47" s="520" t="s">
        <v>288</v>
      </c>
      <c r="D47" s="520"/>
      <c r="E47" s="4" t="s">
        <v>292</v>
      </c>
    </row>
  </sheetData>
  <sheetProtection password="CA9F" sheet="1" objects="1" scenarios="1"/>
  <mergeCells count="11">
    <mergeCell ref="C47:D47"/>
    <mergeCell ref="A28:A35"/>
    <mergeCell ref="A36:B36"/>
    <mergeCell ref="A10:A27"/>
    <mergeCell ref="J6:K6"/>
    <mergeCell ref="J7:K7"/>
    <mergeCell ref="I2:K4"/>
    <mergeCell ref="C43:D43"/>
    <mergeCell ref="C44:D44"/>
    <mergeCell ref="C45:D45"/>
    <mergeCell ref="C46:D46"/>
  </mergeCell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74E0E-7C1F-483D-B5F8-279BF7980DF1}">
  <dimension ref="A1:E86"/>
  <sheetViews>
    <sheetView workbookViewId="0">
      <selection activeCell="D73" sqref="D73"/>
    </sheetView>
  </sheetViews>
  <sheetFormatPr defaultRowHeight="12.75" x14ac:dyDescent="0.2"/>
  <cols>
    <col min="1" max="1" width="5" style="287" customWidth="1"/>
    <col min="2" max="2" width="49.7109375" style="287" customWidth="1"/>
    <col min="3" max="3" width="30.140625" style="287" customWidth="1"/>
    <col min="4" max="4" width="18.28515625" style="287" customWidth="1"/>
    <col min="5" max="16384" width="9.140625" style="287"/>
  </cols>
  <sheetData>
    <row r="1" spans="1:5" ht="12.75" customHeight="1" x14ac:dyDescent="0.2">
      <c r="C1" s="566" t="s">
        <v>883</v>
      </c>
      <c r="D1" s="566"/>
    </row>
    <row r="2" spans="1:5" ht="32.25" customHeight="1" x14ac:dyDescent="0.2">
      <c r="C2" s="566"/>
      <c r="D2" s="566"/>
    </row>
    <row r="3" spans="1:5" x14ac:dyDescent="0.2">
      <c r="A3" s="567" t="s">
        <v>882</v>
      </c>
      <c r="B3" s="567"/>
      <c r="C3" s="567"/>
      <c r="D3" s="567"/>
    </row>
    <row r="4" spans="1:5" x14ac:dyDescent="0.2">
      <c r="A4" s="74"/>
      <c r="B4" s="352"/>
      <c r="C4" s="226"/>
      <c r="D4" s="227"/>
    </row>
    <row r="5" spans="1:5" x14ac:dyDescent="0.2">
      <c r="A5" s="74"/>
      <c r="B5" s="352"/>
      <c r="C5" s="226"/>
      <c r="D5" s="227"/>
    </row>
    <row r="6" spans="1:5" ht="25.5" x14ac:dyDescent="0.2">
      <c r="A6" s="65" t="s">
        <v>779</v>
      </c>
      <c r="B6" s="64"/>
      <c r="C6" s="64"/>
      <c r="D6" s="400" t="s">
        <v>742</v>
      </c>
    </row>
    <row r="7" spans="1:5" x14ac:dyDescent="0.2">
      <c r="B7" s="66"/>
      <c r="C7" s="66"/>
      <c r="D7" s="400" t="s">
        <v>279</v>
      </c>
    </row>
    <row r="8" spans="1:5" x14ac:dyDescent="0.2">
      <c r="A8" s="353"/>
      <c r="B8" s="354" t="s">
        <v>884</v>
      </c>
      <c r="C8" s="355" t="s">
        <v>885</v>
      </c>
      <c r="D8" s="233" t="s">
        <v>886</v>
      </c>
    </row>
    <row r="9" spans="1:5" x14ac:dyDescent="0.2">
      <c r="A9" s="354" t="s">
        <v>282</v>
      </c>
      <c r="B9" s="354" t="s">
        <v>283</v>
      </c>
      <c r="C9" s="356">
        <v>1</v>
      </c>
      <c r="D9" s="233">
        <v>2</v>
      </c>
    </row>
    <row r="10" spans="1:5" ht="25.5" x14ac:dyDescent="0.2">
      <c r="A10" s="357" t="s">
        <v>789</v>
      </c>
      <c r="B10" s="357" t="s">
        <v>887</v>
      </c>
      <c r="C10" s="358">
        <f>C11+C12+C13+C14+C15+C16+C17+C18+C19+C20+C21+C22+C23+C24+C25+C26+C27+C28+C29+C30</f>
        <v>0</v>
      </c>
      <c r="D10" s="359" t="e">
        <f>C10/C76</f>
        <v>#DIV/0!</v>
      </c>
      <c r="E10" s="289" t="e">
        <f>IF(D10&gt;1/3,"","журамд заасан хувиас дутуу байршуулсан")</f>
        <v>#DIV/0!</v>
      </c>
    </row>
    <row r="11" spans="1:5" x14ac:dyDescent="0.2">
      <c r="A11" s="351">
        <v>1.1000000000000001</v>
      </c>
      <c r="B11" s="342" t="str">
        <f>"Хаан банк"</f>
        <v>Хаан банк</v>
      </c>
      <c r="C11" s="67"/>
      <c r="D11" s="350" t="e">
        <f>C11/$C$10</f>
        <v>#DIV/0!</v>
      </c>
      <c r="E11" s="289" t="e">
        <f>IF(D11&lt;=0.25,"","журамд заасан хувиас хэтрүүлж байршуулсан")</f>
        <v>#DIV/0!</v>
      </c>
    </row>
    <row r="12" spans="1:5" x14ac:dyDescent="0.2">
      <c r="A12" s="351">
        <v>1.2</v>
      </c>
      <c r="B12" s="342" t="str">
        <f>"Голомт банк"</f>
        <v>Голомт банк</v>
      </c>
      <c r="C12" s="67"/>
      <c r="D12" s="350" t="e">
        <f t="shared" ref="D12:D30" si="0">C12/$C$10</f>
        <v>#DIV/0!</v>
      </c>
      <c r="E12" s="289" t="e">
        <f t="shared" ref="E12:E30" si="1">IF(D12&lt;=0.25,"","журамд заасан хувиас хэтрүүлж байршуулсан")</f>
        <v>#DIV/0!</v>
      </c>
    </row>
    <row r="13" spans="1:5" x14ac:dyDescent="0.2">
      <c r="A13" s="351">
        <v>1.3</v>
      </c>
      <c r="B13" s="342" t="str">
        <f>"Худалдаа хөгжлийн банк"</f>
        <v>Худалдаа хөгжлийн банк</v>
      </c>
      <c r="C13" s="67"/>
      <c r="D13" s="350" t="e">
        <f t="shared" si="0"/>
        <v>#DIV/0!</v>
      </c>
      <c r="E13" s="289" t="e">
        <f t="shared" si="1"/>
        <v>#DIV/0!</v>
      </c>
    </row>
    <row r="14" spans="1:5" x14ac:dyDescent="0.2">
      <c r="A14" s="351">
        <v>1.4</v>
      </c>
      <c r="B14" s="342" t="str">
        <f>"Төрийн банк"</f>
        <v>Төрийн банк</v>
      </c>
      <c r="C14" s="67"/>
      <c r="D14" s="350" t="e">
        <f t="shared" si="0"/>
        <v>#DIV/0!</v>
      </c>
      <c r="E14" s="289" t="e">
        <f t="shared" si="1"/>
        <v>#DIV/0!</v>
      </c>
    </row>
    <row r="15" spans="1:5" x14ac:dyDescent="0.2">
      <c r="A15" s="351">
        <v>1.5</v>
      </c>
      <c r="B15" s="342" t="str">
        <f>"Хас банк"</f>
        <v>Хас банк</v>
      </c>
      <c r="C15" s="67"/>
      <c r="D15" s="350" t="e">
        <f t="shared" si="0"/>
        <v>#DIV/0!</v>
      </c>
      <c r="E15" s="289" t="e">
        <f t="shared" si="1"/>
        <v>#DIV/0!</v>
      </c>
    </row>
    <row r="16" spans="1:5" x14ac:dyDescent="0.2">
      <c r="A16" s="351">
        <v>1.6</v>
      </c>
      <c r="B16" s="342" t="str">
        <f>"Улаанбаатар хотын банк"</f>
        <v>Улаанбаатар хотын банк</v>
      </c>
      <c r="C16" s="67"/>
      <c r="D16" s="350" t="e">
        <f t="shared" si="0"/>
        <v>#DIV/0!</v>
      </c>
      <c r="E16" s="289" t="e">
        <f t="shared" si="1"/>
        <v>#DIV/0!</v>
      </c>
    </row>
    <row r="17" spans="1:5" x14ac:dyDescent="0.2">
      <c r="A17" s="351">
        <v>1.7</v>
      </c>
      <c r="B17" s="342" t="str">
        <f>"Капитал банк"</f>
        <v>Капитал банк</v>
      </c>
      <c r="C17" s="67"/>
      <c r="D17" s="350" t="e">
        <f t="shared" si="0"/>
        <v>#DIV/0!</v>
      </c>
      <c r="E17" s="289" t="e">
        <f t="shared" si="1"/>
        <v>#DIV/0!</v>
      </c>
    </row>
    <row r="18" spans="1:5" x14ac:dyDescent="0.2">
      <c r="A18" s="351">
        <v>1.8</v>
      </c>
      <c r="B18" s="342" t="str">
        <f>"Үндэсний хөрөнгө оруулалтын банк"</f>
        <v>Үндэсний хөрөнгө оруулалтын банк</v>
      </c>
      <c r="C18" s="67"/>
      <c r="D18" s="350" t="e">
        <f t="shared" si="0"/>
        <v>#DIV/0!</v>
      </c>
      <c r="E18" s="289" t="e">
        <f t="shared" si="1"/>
        <v>#DIV/0!</v>
      </c>
    </row>
    <row r="19" spans="1:5" x14ac:dyDescent="0.2">
      <c r="A19" s="351">
        <v>1.9</v>
      </c>
      <c r="B19" s="342" t="str">
        <f>"Капитрон банк"</f>
        <v>Капитрон банк</v>
      </c>
      <c r="C19" s="67"/>
      <c r="D19" s="350" t="e">
        <f t="shared" si="0"/>
        <v>#DIV/0!</v>
      </c>
      <c r="E19" s="289" t="e">
        <f t="shared" si="1"/>
        <v>#DIV/0!</v>
      </c>
    </row>
    <row r="20" spans="1:5" x14ac:dyDescent="0.2">
      <c r="A20" s="341">
        <v>1.1000000000000001</v>
      </c>
      <c r="B20" s="342" t="str">
        <f>"Ариг банк"</f>
        <v>Ариг банк</v>
      </c>
      <c r="C20" s="67"/>
      <c r="D20" s="350" t="e">
        <f t="shared" si="0"/>
        <v>#DIV/0!</v>
      </c>
      <c r="E20" s="289" t="e">
        <f t="shared" si="1"/>
        <v>#DIV/0!</v>
      </c>
    </row>
    <row r="21" spans="1:5" x14ac:dyDescent="0.2">
      <c r="A21" s="351">
        <v>1.1100000000000001</v>
      </c>
      <c r="B21" s="342" t="str">
        <f>"Кредит банк"</f>
        <v>Кредит банк</v>
      </c>
      <c r="C21" s="67"/>
      <c r="D21" s="350" t="e">
        <f t="shared" si="0"/>
        <v>#DIV/0!</v>
      </c>
      <c r="E21" s="289" t="e">
        <f t="shared" si="1"/>
        <v>#DIV/0!</v>
      </c>
    </row>
    <row r="22" spans="1:5" x14ac:dyDescent="0.2">
      <c r="A22" s="351">
        <v>1.1200000000000001</v>
      </c>
      <c r="B22" s="342" t="str">
        <f>"Тээвэр Хөгжлийн банк"</f>
        <v>Тээвэр Хөгжлийн банк</v>
      </c>
      <c r="C22" s="67"/>
      <c r="D22" s="350" t="e">
        <f t="shared" si="0"/>
        <v>#DIV/0!</v>
      </c>
      <c r="E22" s="289" t="e">
        <f t="shared" si="1"/>
        <v>#DIV/0!</v>
      </c>
    </row>
    <row r="23" spans="1:5" x14ac:dyDescent="0.2">
      <c r="A23" s="351">
        <v>1.1299999999999999</v>
      </c>
      <c r="B23" s="342" t="str">
        <f>"Чингис хаан банк"</f>
        <v>Чингис хаан банк</v>
      </c>
      <c r="C23" s="67"/>
      <c r="D23" s="350" t="e">
        <f t="shared" si="0"/>
        <v>#DIV/0!</v>
      </c>
      <c r="E23" s="289" t="e">
        <f t="shared" si="1"/>
        <v>#DIV/0!</v>
      </c>
    </row>
    <row r="24" spans="1:5" x14ac:dyDescent="0.2">
      <c r="A24" s="351">
        <v>1.1399999999999999</v>
      </c>
      <c r="B24" s="342" t="str">
        <f>"Богд банк"</f>
        <v>Богд банк</v>
      </c>
      <c r="C24" s="67"/>
      <c r="D24" s="350" t="e">
        <f t="shared" si="0"/>
        <v>#DIV/0!</v>
      </c>
      <c r="E24" s="289" t="e">
        <f t="shared" si="1"/>
        <v>#DIV/0!</v>
      </c>
    </row>
    <row r="25" spans="1:5" x14ac:dyDescent="0.2">
      <c r="A25" s="351">
        <v>1.1499999999999999</v>
      </c>
      <c r="B25" s="68"/>
      <c r="C25" s="67"/>
      <c r="D25" s="350" t="e">
        <f t="shared" si="0"/>
        <v>#DIV/0!</v>
      </c>
      <c r="E25" s="289" t="e">
        <f t="shared" si="1"/>
        <v>#DIV/0!</v>
      </c>
    </row>
    <row r="26" spans="1:5" x14ac:dyDescent="0.2">
      <c r="A26" s="351">
        <v>1.1599999999999999</v>
      </c>
      <c r="B26" s="68"/>
      <c r="C26" s="67"/>
      <c r="D26" s="350" t="e">
        <f t="shared" si="0"/>
        <v>#DIV/0!</v>
      </c>
      <c r="E26" s="289" t="e">
        <f t="shared" si="1"/>
        <v>#DIV/0!</v>
      </c>
    </row>
    <row r="27" spans="1:5" x14ac:dyDescent="0.2">
      <c r="A27" s="351">
        <v>1.17</v>
      </c>
      <c r="B27" s="68"/>
      <c r="C27" s="67"/>
      <c r="D27" s="350" t="e">
        <f t="shared" si="0"/>
        <v>#DIV/0!</v>
      </c>
      <c r="E27" s="289" t="e">
        <f t="shared" si="1"/>
        <v>#DIV/0!</v>
      </c>
    </row>
    <row r="28" spans="1:5" x14ac:dyDescent="0.2">
      <c r="A28" s="351">
        <v>1.18</v>
      </c>
      <c r="B28" s="68"/>
      <c r="C28" s="67"/>
      <c r="D28" s="350" t="e">
        <f t="shared" si="0"/>
        <v>#DIV/0!</v>
      </c>
      <c r="E28" s="289" t="e">
        <f t="shared" si="1"/>
        <v>#DIV/0!</v>
      </c>
    </row>
    <row r="29" spans="1:5" x14ac:dyDescent="0.2">
      <c r="A29" s="351">
        <v>1.19</v>
      </c>
      <c r="B29" s="68"/>
      <c r="C29" s="67"/>
      <c r="D29" s="350" t="e">
        <f t="shared" si="0"/>
        <v>#DIV/0!</v>
      </c>
      <c r="E29" s="289" t="e">
        <f t="shared" si="1"/>
        <v>#DIV/0!</v>
      </c>
    </row>
    <row r="30" spans="1:5" x14ac:dyDescent="0.2">
      <c r="A30" s="351" t="s">
        <v>790</v>
      </c>
      <c r="B30" s="68"/>
      <c r="C30" s="67"/>
      <c r="D30" s="350" t="e">
        <f t="shared" si="0"/>
        <v>#DIV/0!</v>
      </c>
      <c r="E30" s="289" t="e">
        <f t="shared" si="1"/>
        <v>#DIV/0!</v>
      </c>
    </row>
    <row r="31" spans="1:5" ht="38.25" x14ac:dyDescent="0.2">
      <c r="A31" s="332" t="s">
        <v>791</v>
      </c>
      <c r="B31" s="346" t="s">
        <v>888</v>
      </c>
      <c r="C31" s="347">
        <f>C32+C47+C62+C63+C64+C65+C66+C67+C73+C74+C75</f>
        <v>0</v>
      </c>
      <c r="D31" s="348" t="e">
        <f>C31/C76</f>
        <v>#DIV/0!</v>
      </c>
      <c r="E31" s="289"/>
    </row>
    <row r="32" spans="1:5" x14ac:dyDescent="0.2">
      <c r="A32" s="349">
        <v>2.1</v>
      </c>
      <c r="B32" s="343" t="s">
        <v>906</v>
      </c>
      <c r="C32" s="344">
        <f>SUM(C33:C46)</f>
        <v>0</v>
      </c>
      <c r="D32" s="336" t="e">
        <f>C32/$C$76</f>
        <v>#DIV/0!</v>
      </c>
      <c r="E32" s="289"/>
    </row>
    <row r="33" spans="1:5" x14ac:dyDescent="0.2">
      <c r="A33" s="345" t="s">
        <v>348</v>
      </c>
      <c r="B33" s="342" t="str">
        <f>"Хаан банк"</f>
        <v>Хаан банк</v>
      </c>
      <c r="C33" s="69"/>
      <c r="D33" s="336" t="e">
        <f t="shared" ref="D33:D75" si="2">C33/$C$76</f>
        <v>#DIV/0!</v>
      </c>
      <c r="E33" s="289" t="e">
        <f>IF(D33&lt;=0.2,"","журамд заасан хувиас хэтрүүлж байршуулсан")</f>
        <v>#DIV/0!</v>
      </c>
    </row>
    <row r="34" spans="1:5" x14ac:dyDescent="0.2">
      <c r="A34" s="345" t="s">
        <v>350</v>
      </c>
      <c r="B34" s="342" t="str">
        <f>"Голомт банк"</f>
        <v>Голомт банк</v>
      </c>
      <c r="C34" s="69"/>
      <c r="D34" s="336" t="e">
        <f t="shared" si="2"/>
        <v>#DIV/0!</v>
      </c>
      <c r="E34" s="289" t="e">
        <f t="shared" ref="E34:E46" si="3">IF(D34&lt;=0.2,"","журамд заасан хувиас хэтрүүлж байршуулсан")</f>
        <v>#DIV/0!</v>
      </c>
    </row>
    <row r="35" spans="1:5" x14ac:dyDescent="0.2">
      <c r="A35" s="345" t="s">
        <v>352</v>
      </c>
      <c r="B35" s="342" t="str">
        <f>"Худалдаа хөгжлийн банк"</f>
        <v>Худалдаа хөгжлийн банк</v>
      </c>
      <c r="C35" s="69"/>
      <c r="D35" s="336" t="e">
        <f t="shared" si="2"/>
        <v>#DIV/0!</v>
      </c>
      <c r="E35" s="289" t="e">
        <f t="shared" si="3"/>
        <v>#DIV/0!</v>
      </c>
    </row>
    <row r="36" spans="1:5" x14ac:dyDescent="0.2">
      <c r="A36" s="345" t="s">
        <v>354</v>
      </c>
      <c r="B36" s="342" t="str">
        <f>"Төрийн банк"</f>
        <v>Төрийн банк</v>
      </c>
      <c r="C36" s="69"/>
      <c r="D36" s="336" t="e">
        <f t="shared" si="2"/>
        <v>#DIV/0!</v>
      </c>
      <c r="E36" s="289" t="e">
        <f t="shared" si="3"/>
        <v>#DIV/0!</v>
      </c>
    </row>
    <row r="37" spans="1:5" x14ac:dyDescent="0.2">
      <c r="A37" s="279" t="s">
        <v>356</v>
      </c>
      <c r="B37" s="342" t="str">
        <f>"Хас банк"</f>
        <v>Хас банк</v>
      </c>
      <c r="C37" s="69"/>
      <c r="D37" s="336" t="e">
        <f t="shared" si="2"/>
        <v>#DIV/0!</v>
      </c>
      <c r="E37" s="289" t="e">
        <f t="shared" si="3"/>
        <v>#DIV/0!</v>
      </c>
    </row>
    <row r="38" spans="1:5" x14ac:dyDescent="0.2">
      <c r="A38" s="279" t="s">
        <v>358</v>
      </c>
      <c r="B38" s="342" t="str">
        <f>"Улаанбаатар хотын банк"</f>
        <v>Улаанбаатар хотын банк</v>
      </c>
      <c r="C38" s="69"/>
      <c r="D38" s="336" t="e">
        <f>C38/$C$76</f>
        <v>#DIV/0!</v>
      </c>
      <c r="E38" s="289" t="e">
        <f t="shared" si="3"/>
        <v>#DIV/0!</v>
      </c>
    </row>
    <row r="39" spans="1:5" x14ac:dyDescent="0.2">
      <c r="A39" s="279" t="s">
        <v>360</v>
      </c>
      <c r="B39" s="342" t="str">
        <f>"Капитал банк"</f>
        <v>Капитал банк</v>
      </c>
      <c r="C39" s="69"/>
      <c r="D39" s="336" t="e">
        <f t="shared" si="2"/>
        <v>#DIV/0!</v>
      </c>
      <c r="E39" s="289" t="e">
        <f t="shared" si="3"/>
        <v>#DIV/0!</v>
      </c>
    </row>
    <row r="40" spans="1:5" x14ac:dyDescent="0.2">
      <c r="A40" s="279" t="s">
        <v>656</v>
      </c>
      <c r="B40" s="342" t="str">
        <f>"Үндэсний хөрөнгө оруулалтын банк"</f>
        <v>Үндэсний хөрөнгө оруулалтын банк</v>
      </c>
      <c r="C40" s="69"/>
      <c r="D40" s="336" t="e">
        <f t="shared" si="2"/>
        <v>#DIV/0!</v>
      </c>
      <c r="E40" s="289" t="e">
        <f t="shared" si="3"/>
        <v>#DIV/0!</v>
      </c>
    </row>
    <row r="41" spans="1:5" x14ac:dyDescent="0.2">
      <c r="A41" s="279" t="s">
        <v>889</v>
      </c>
      <c r="B41" s="342" t="str">
        <f>"Капитрон банк"</f>
        <v>Капитрон банк</v>
      </c>
      <c r="C41" s="69"/>
      <c r="D41" s="336" t="e">
        <f t="shared" si="2"/>
        <v>#DIV/0!</v>
      </c>
      <c r="E41" s="289" t="e">
        <f t="shared" si="3"/>
        <v>#DIV/0!</v>
      </c>
    </row>
    <row r="42" spans="1:5" ht="15.75" customHeight="1" x14ac:dyDescent="0.2">
      <c r="A42" s="279" t="s">
        <v>890</v>
      </c>
      <c r="B42" s="342" t="str">
        <f>"Ариг банк"</f>
        <v>Ариг банк</v>
      </c>
      <c r="C42" s="69"/>
      <c r="D42" s="336" t="e">
        <f t="shared" si="2"/>
        <v>#DIV/0!</v>
      </c>
      <c r="E42" s="289" t="e">
        <f t="shared" si="3"/>
        <v>#DIV/0!</v>
      </c>
    </row>
    <row r="43" spans="1:5" ht="13.5" customHeight="1" x14ac:dyDescent="0.2">
      <c r="A43" s="279" t="s">
        <v>891</v>
      </c>
      <c r="B43" s="342" t="str">
        <f>"Кредит банк"</f>
        <v>Кредит банк</v>
      </c>
      <c r="C43" s="69"/>
      <c r="D43" s="336" t="e">
        <f t="shared" si="2"/>
        <v>#DIV/0!</v>
      </c>
      <c r="E43" s="289" t="e">
        <f t="shared" si="3"/>
        <v>#DIV/0!</v>
      </c>
    </row>
    <row r="44" spans="1:5" ht="13.5" customHeight="1" x14ac:dyDescent="0.2">
      <c r="A44" s="279" t="s">
        <v>892</v>
      </c>
      <c r="B44" s="342" t="str">
        <f>"Тээвэр Хөгжлийн банк"</f>
        <v>Тээвэр Хөгжлийн банк</v>
      </c>
      <c r="C44" s="69"/>
      <c r="D44" s="336" t="e">
        <f t="shared" si="2"/>
        <v>#DIV/0!</v>
      </c>
      <c r="E44" s="289" t="e">
        <f t="shared" si="3"/>
        <v>#DIV/0!</v>
      </c>
    </row>
    <row r="45" spans="1:5" ht="13.5" customHeight="1" x14ac:dyDescent="0.2">
      <c r="A45" s="279" t="s">
        <v>893</v>
      </c>
      <c r="B45" s="342" t="str">
        <f>"Чингис хаан банк"</f>
        <v>Чингис хаан банк</v>
      </c>
      <c r="C45" s="69"/>
      <c r="D45" s="336" t="e">
        <f t="shared" si="2"/>
        <v>#DIV/0!</v>
      </c>
      <c r="E45" s="289" t="e">
        <f t="shared" si="3"/>
        <v>#DIV/0!</v>
      </c>
    </row>
    <row r="46" spans="1:5" ht="13.5" customHeight="1" x14ac:dyDescent="0.2">
      <c r="A46" s="279" t="s">
        <v>894</v>
      </c>
      <c r="B46" s="342" t="str">
        <f>"Богд банк"</f>
        <v>Богд банк</v>
      </c>
      <c r="C46" s="69"/>
      <c r="D46" s="336" t="e">
        <f t="shared" si="2"/>
        <v>#DIV/0!</v>
      </c>
      <c r="E46" s="289" t="e">
        <f t="shared" si="3"/>
        <v>#DIV/0!</v>
      </c>
    </row>
    <row r="47" spans="1:5" x14ac:dyDescent="0.2">
      <c r="A47" s="337">
        <v>2.2000000000000002</v>
      </c>
      <c r="B47" s="343" t="s">
        <v>907</v>
      </c>
      <c r="C47" s="344">
        <f>SUM(C48:C61)</f>
        <v>0</v>
      </c>
      <c r="D47" s="336" t="e">
        <f t="shared" si="2"/>
        <v>#DIV/0!</v>
      </c>
      <c r="E47" s="289"/>
    </row>
    <row r="48" spans="1:5" x14ac:dyDescent="0.2">
      <c r="A48" s="341" t="s">
        <v>362</v>
      </c>
      <c r="B48" s="342" t="str">
        <f>"Хаан банк"</f>
        <v>Хаан банк</v>
      </c>
      <c r="C48" s="69"/>
      <c r="D48" s="336" t="e">
        <f t="shared" si="2"/>
        <v>#DIV/0!</v>
      </c>
      <c r="E48" s="289" t="e">
        <f>IF(D48&lt;=0.2,"","журамд заасан хувиас хэтрүүлж байршуулсан")</f>
        <v>#DIV/0!</v>
      </c>
    </row>
    <row r="49" spans="1:5" x14ac:dyDescent="0.2">
      <c r="A49" s="341" t="s">
        <v>364</v>
      </c>
      <c r="B49" s="342" t="str">
        <f>"Голомт банк"</f>
        <v>Голомт банк</v>
      </c>
      <c r="C49" s="69"/>
      <c r="D49" s="336" t="e">
        <f t="shared" si="2"/>
        <v>#DIV/0!</v>
      </c>
      <c r="E49" s="289" t="e">
        <f t="shared" ref="E49:E61" si="4">IF(D49&lt;=0.2,"","журамд заасан хувиас хэтрүүлж байршуулсан")</f>
        <v>#DIV/0!</v>
      </c>
    </row>
    <row r="50" spans="1:5" x14ac:dyDescent="0.2">
      <c r="A50" s="341" t="s">
        <v>366</v>
      </c>
      <c r="B50" s="342" t="str">
        <f>"Худалдаа хөгжлийн банк"</f>
        <v>Худалдаа хөгжлийн банк</v>
      </c>
      <c r="C50" s="69"/>
      <c r="D50" s="336" t="e">
        <f t="shared" si="2"/>
        <v>#DIV/0!</v>
      </c>
      <c r="E50" s="289" t="e">
        <f t="shared" si="4"/>
        <v>#DIV/0!</v>
      </c>
    </row>
    <row r="51" spans="1:5" x14ac:dyDescent="0.2">
      <c r="A51" s="341" t="s">
        <v>368</v>
      </c>
      <c r="B51" s="342" t="str">
        <f>"Төрийн банк"</f>
        <v>Төрийн банк</v>
      </c>
      <c r="C51" s="69"/>
      <c r="D51" s="336" t="e">
        <f t="shared" si="2"/>
        <v>#DIV/0!</v>
      </c>
      <c r="E51" s="289" t="e">
        <f t="shared" si="4"/>
        <v>#DIV/0!</v>
      </c>
    </row>
    <row r="52" spans="1:5" x14ac:dyDescent="0.2">
      <c r="A52" s="341" t="s">
        <v>370</v>
      </c>
      <c r="B52" s="342" t="str">
        <f>"Хас банк"</f>
        <v>Хас банк</v>
      </c>
      <c r="C52" s="69"/>
      <c r="D52" s="336" t="e">
        <f t="shared" si="2"/>
        <v>#DIV/0!</v>
      </c>
      <c r="E52" s="289" t="e">
        <f t="shared" si="4"/>
        <v>#DIV/0!</v>
      </c>
    </row>
    <row r="53" spans="1:5" x14ac:dyDescent="0.2">
      <c r="A53" s="341" t="s">
        <v>644</v>
      </c>
      <c r="B53" s="342" t="str">
        <f>"Улаанбаатар хотын банк"</f>
        <v>Улаанбаатар хотын банк</v>
      </c>
      <c r="C53" s="69"/>
      <c r="D53" s="336" t="e">
        <f t="shared" si="2"/>
        <v>#DIV/0!</v>
      </c>
      <c r="E53" s="289" t="e">
        <f t="shared" si="4"/>
        <v>#DIV/0!</v>
      </c>
    </row>
    <row r="54" spans="1:5" x14ac:dyDescent="0.2">
      <c r="A54" s="341" t="s">
        <v>645</v>
      </c>
      <c r="B54" s="342" t="str">
        <f>"Капитал банк"</f>
        <v>Капитал банк</v>
      </c>
      <c r="C54" s="69"/>
      <c r="D54" s="336" t="e">
        <f t="shared" si="2"/>
        <v>#DIV/0!</v>
      </c>
      <c r="E54" s="289" t="e">
        <f t="shared" si="4"/>
        <v>#DIV/0!</v>
      </c>
    </row>
    <row r="55" spans="1:5" x14ac:dyDescent="0.2">
      <c r="A55" s="341" t="s">
        <v>646</v>
      </c>
      <c r="B55" s="342" t="str">
        <f>"Үндэсний хөрөнгө оруулалтын банк"</f>
        <v>Үндэсний хөрөнгө оруулалтын банк</v>
      </c>
      <c r="C55" s="69"/>
      <c r="D55" s="336" t="e">
        <f t="shared" si="2"/>
        <v>#DIV/0!</v>
      </c>
      <c r="E55" s="289" t="e">
        <f t="shared" si="4"/>
        <v>#DIV/0!</v>
      </c>
    </row>
    <row r="56" spans="1:5" x14ac:dyDescent="0.2">
      <c r="A56" s="341" t="s">
        <v>658</v>
      </c>
      <c r="B56" s="342" t="str">
        <f>"Капитрон банк"</f>
        <v>Капитрон банк</v>
      </c>
      <c r="C56" s="69"/>
      <c r="D56" s="336" t="e">
        <f t="shared" si="2"/>
        <v>#DIV/0!</v>
      </c>
      <c r="E56" s="289" t="e">
        <f t="shared" si="4"/>
        <v>#DIV/0!</v>
      </c>
    </row>
    <row r="57" spans="1:5" ht="12.75" customHeight="1" x14ac:dyDescent="0.2">
      <c r="A57" s="341" t="s">
        <v>895</v>
      </c>
      <c r="B57" s="342" t="str">
        <f>"Ариг банк"</f>
        <v>Ариг банк</v>
      </c>
      <c r="C57" s="69"/>
      <c r="D57" s="336" t="e">
        <f t="shared" si="2"/>
        <v>#DIV/0!</v>
      </c>
      <c r="E57" s="289" t="e">
        <f t="shared" si="4"/>
        <v>#DIV/0!</v>
      </c>
    </row>
    <row r="58" spans="1:5" ht="12.75" customHeight="1" x14ac:dyDescent="0.2">
      <c r="A58" s="341" t="s">
        <v>896</v>
      </c>
      <c r="B58" s="342" t="str">
        <f>"Кредит банк"</f>
        <v>Кредит банк</v>
      </c>
      <c r="C58" s="69"/>
      <c r="D58" s="336" t="e">
        <f t="shared" si="2"/>
        <v>#DIV/0!</v>
      </c>
      <c r="E58" s="289" t="e">
        <f t="shared" si="4"/>
        <v>#DIV/0!</v>
      </c>
    </row>
    <row r="59" spans="1:5" ht="12.75" customHeight="1" x14ac:dyDescent="0.2">
      <c r="A59" s="341" t="s">
        <v>897</v>
      </c>
      <c r="B59" s="342" t="str">
        <f>"Тээвэр Хөгжлийн банк"</f>
        <v>Тээвэр Хөгжлийн банк</v>
      </c>
      <c r="C59" s="69"/>
      <c r="D59" s="336" t="e">
        <f t="shared" si="2"/>
        <v>#DIV/0!</v>
      </c>
      <c r="E59" s="289" t="e">
        <f t="shared" si="4"/>
        <v>#DIV/0!</v>
      </c>
    </row>
    <row r="60" spans="1:5" ht="12.75" customHeight="1" x14ac:dyDescent="0.2">
      <c r="A60" s="341" t="s">
        <v>898</v>
      </c>
      <c r="B60" s="342" t="str">
        <f>"Чингис хаан банк"</f>
        <v>Чингис хаан банк</v>
      </c>
      <c r="C60" s="69"/>
      <c r="D60" s="336" t="e">
        <f t="shared" si="2"/>
        <v>#DIV/0!</v>
      </c>
      <c r="E60" s="289" t="e">
        <f t="shared" si="4"/>
        <v>#DIV/0!</v>
      </c>
    </row>
    <row r="61" spans="1:5" ht="12.75" customHeight="1" x14ac:dyDescent="0.2">
      <c r="A61" s="341" t="s">
        <v>899</v>
      </c>
      <c r="B61" s="342" t="str">
        <f>"Богд банк"</f>
        <v>Богд банк</v>
      </c>
      <c r="C61" s="69"/>
      <c r="D61" s="336" t="e">
        <f t="shared" si="2"/>
        <v>#DIV/0!</v>
      </c>
      <c r="E61" s="289" t="e">
        <f t="shared" si="4"/>
        <v>#DIV/0!</v>
      </c>
    </row>
    <row r="62" spans="1:5" x14ac:dyDescent="0.2">
      <c r="A62" s="337">
        <v>2.2999999999999998</v>
      </c>
      <c r="B62" s="338" t="s">
        <v>917</v>
      </c>
      <c r="C62" s="69"/>
      <c r="D62" s="336" t="e">
        <f t="shared" si="2"/>
        <v>#DIV/0!</v>
      </c>
      <c r="E62" s="289"/>
    </row>
    <row r="63" spans="1:5" x14ac:dyDescent="0.2">
      <c r="A63" s="337">
        <v>2.4</v>
      </c>
      <c r="B63" s="338" t="s">
        <v>916</v>
      </c>
      <c r="C63" s="69"/>
      <c r="D63" s="336" t="e">
        <f t="shared" si="2"/>
        <v>#DIV/0!</v>
      </c>
      <c r="E63" s="289" t="e">
        <f>IF(D63&lt;=0.6,"","журамд заасан хувиас хэтрүүлж байршуулсан")</f>
        <v>#DIV/0!</v>
      </c>
    </row>
    <row r="64" spans="1:5" x14ac:dyDescent="0.2">
      <c r="A64" s="337">
        <v>2.5</v>
      </c>
      <c r="B64" s="340" t="s">
        <v>915</v>
      </c>
      <c r="C64" s="69"/>
      <c r="D64" s="336" t="e">
        <f t="shared" si="2"/>
        <v>#DIV/0!</v>
      </c>
      <c r="E64" s="289" t="e">
        <f>IF(D64&lt;=0.2,"","журамд заасан хувиас хэтрүүлж байршуулсан")</f>
        <v>#DIV/0!</v>
      </c>
    </row>
    <row r="65" spans="1:5" x14ac:dyDescent="0.2">
      <c r="A65" s="337">
        <v>2.6</v>
      </c>
      <c r="B65" s="340" t="s">
        <v>914</v>
      </c>
      <c r="C65" s="69"/>
      <c r="D65" s="336" t="e">
        <f t="shared" si="2"/>
        <v>#DIV/0!</v>
      </c>
      <c r="E65" s="289" t="e">
        <f>IF(D65&lt;=0.2,"","журамд заасан хувиас хэтрүүлж байршуулсан")</f>
        <v>#DIV/0!</v>
      </c>
    </row>
    <row r="66" spans="1:5" x14ac:dyDescent="0.2">
      <c r="A66" s="337">
        <v>2.7</v>
      </c>
      <c r="B66" s="340" t="s">
        <v>913</v>
      </c>
      <c r="C66" s="69"/>
      <c r="D66" s="336" t="e">
        <f t="shared" si="2"/>
        <v>#DIV/0!</v>
      </c>
      <c r="E66" s="289" t="e">
        <f>IF(D66&lt;=0.1,"","журамд заасан хувиас хэтрүүлж байршуулсан")</f>
        <v>#DIV/0!</v>
      </c>
    </row>
    <row r="67" spans="1:5" x14ac:dyDescent="0.2">
      <c r="A67" s="337">
        <v>2.8</v>
      </c>
      <c r="B67" s="338" t="s">
        <v>912</v>
      </c>
      <c r="C67" s="344">
        <f>C68+C69+C70+C71+C72</f>
        <v>0</v>
      </c>
      <c r="D67" s="336" t="e">
        <f t="shared" si="2"/>
        <v>#DIV/0!</v>
      </c>
      <c r="E67" s="289" t="e">
        <f>IF(D67&lt;=0.1,"","журамд заасан хувиас хэтрүүлж байршуулсан")</f>
        <v>#DIV/0!</v>
      </c>
    </row>
    <row r="68" spans="1:5" x14ac:dyDescent="0.2">
      <c r="A68" s="341" t="s">
        <v>900</v>
      </c>
      <c r="B68" s="331" t="s">
        <v>908</v>
      </c>
      <c r="C68" s="69"/>
      <c r="D68" s="336" t="e">
        <f t="shared" si="2"/>
        <v>#DIV/0!</v>
      </c>
      <c r="E68" s="289" t="e">
        <f t="shared" ref="E68:E74" si="5">IF(D68&lt;=0.05,"","журамд заасан хувиас хэтрүүлж байршуулсан")</f>
        <v>#DIV/0!</v>
      </c>
    </row>
    <row r="69" spans="1:5" x14ac:dyDescent="0.2">
      <c r="A69" s="341" t="s">
        <v>901</v>
      </c>
      <c r="B69" s="331" t="s">
        <v>908</v>
      </c>
      <c r="C69" s="69"/>
      <c r="D69" s="336" t="e">
        <f t="shared" si="2"/>
        <v>#DIV/0!</v>
      </c>
      <c r="E69" s="289" t="e">
        <f t="shared" si="5"/>
        <v>#DIV/0!</v>
      </c>
    </row>
    <row r="70" spans="1:5" x14ac:dyDescent="0.2">
      <c r="A70" s="341" t="s">
        <v>902</v>
      </c>
      <c r="B70" s="331" t="s">
        <v>908</v>
      </c>
      <c r="C70" s="69"/>
      <c r="D70" s="336" t="e">
        <f t="shared" si="2"/>
        <v>#DIV/0!</v>
      </c>
      <c r="E70" s="289" t="e">
        <f t="shared" si="5"/>
        <v>#DIV/0!</v>
      </c>
    </row>
    <row r="71" spans="1:5" x14ac:dyDescent="0.2">
      <c r="A71" s="341" t="s">
        <v>903</v>
      </c>
      <c r="B71" s="331" t="s">
        <v>908</v>
      </c>
      <c r="C71" s="69"/>
      <c r="D71" s="336" t="e">
        <f t="shared" si="2"/>
        <v>#DIV/0!</v>
      </c>
      <c r="E71" s="289" t="e">
        <f t="shared" si="5"/>
        <v>#DIV/0!</v>
      </c>
    </row>
    <row r="72" spans="1:5" x14ac:dyDescent="0.2">
      <c r="A72" s="341" t="s">
        <v>904</v>
      </c>
      <c r="B72" s="331" t="s">
        <v>908</v>
      </c>
      <c r="C72" s="69"/>
      <c r="D72" s="336" t="e">
        <f t="shared" si="2"/>
        <v>#DIV/0!</v>
      </c>
      <c r="E72" s="289" t="e">
        <f t="shared" si="5"/>
        <v>#DIV/0!</v>
      </c>
    </row>
    <row r="73" spans="1:5" x14ac:dyDescent="0.2">
      <c r="A73" s="337">
        <v>2.9</v>
      </c>
      <c r="B73" s="338" t="s">
        <v>909</v>
      </c>
      <c r="C73" s="70"/>
      <c r="D73" s="336" t="e">
        <f t="shared" si="2"/>
        <v>#DIV/0!</v>
      </c>
      <c r="E73" s="289" t="e">
        <f t="shared" si="5"/>
        <v>#DIV/0!</v>
      </c>
    </row>
    <row r="74" spans="1:5" ht="25.5" x14ac:dyDescent="0.2">
      <c r="A74" s="339">
        <v>2.1</v>
      </c>
      <c r="B74" s="340" t="s">
        <v>911</v>
      </c>
      <c r="C74" s="70"/>
      <c r="D74" s="336" t="e">
        <f t="shared" si="2"/>
        <v>#DIV/0!</v>
      </c>
      <c r="E74" s="289" t="e">
        <f t="shared" si="5"/>
        <v>#DIV/0!</v>
      </c>
    </row>
    <row r="75" spans="1:5" ht="25.5" x14ac:dyDescent="0.2">
      <c r="A75" s="339">
        <v>2.11</v>
      </c>
      <c r="B75" s="340" t="s">
        <v>910</v>
      </c>
      <c r="C75" s="70"/>
      <c r="D75" s="336" t="e">
        <f t="shared" si="2"/>
        <v>#DIV/0!</v>
      </c>
      <c r="E75" s="289" t="e">
        <f>IF(D75&lt;=0.1,"","журамд заасан хувиас хэтрүүлж байршуулсан")</f>
        <v>#DIV/0!</v>
      </c>
    </row>
    <row r="76" spans="1:5" ht="38.25" x14ac:dyDescent="0.2">
      <c r="A76" s="332" t="s">
        <v>792</v>
      </c>
      <c r="B76" s="333" t="s">
        <v>905</v>
      </c>
      <c r="C76" s="334">
        <f>C31+C10</f>
        <v>0</v>
      </c>
      <c r="D76" s="335" t="e">
        <f>C76/C76</f>
        <v>#DIV/0!</v>
      </c>
      <c r="E76" s="289"/>
    </row>
    <row r="77" spans="1:5" x14ac:dyDescent="0.2">
      <c r="A77" s="74"/>
      <c r="B77" s="225"/>
      <c r="C77" s="226"/>
      <c r="D77" s="227"/>
    </row>
    <row r="78" spans="1:5" x14ac:dyDescent="0.2">
      <c r="A78" s="71"/>
      <c r="B78" s="2" t="s">
        <v>285</v>
      </c>
      <c r="C78" s="395"/>
      <c r="D78" s="4"/>
      <c r="E78" s="4"/>
    </row>
    <row r="79" spans="1:5" x14ac:dyDescent="0.2">
      <c r="A79" s="71"/>
      <c r="B79" s="5"/>
      <c r="C79" s="395"/>
      <c r="D79" s="4"/>
      <c r="E79" s="4"/>
    </row>
    <row r="80" spans="1:5" x14ac:dyDescent="0.2">
      <c r="A80" s="71"/>
      <c r="B80" s="5" t="s">
        <v>286</v>
      </c>
      <c r="C80" s="395"/>
      <c r="D80" s="4"/>
      <c r="E80" s="4"/>
    </row>
    <row r="81" spans="1:5" x14ac:dyDescent="0.2">
      <c r="A81" s="71"/>
      <c r="B81" s="5"/>
      <c r="C81" s="395"/>
      <c r="D81" s="4"/>
      <c r="E81" s="4"/>
    </row>
    <row r="82" spans="1:5" x14ac:dyDescent="0.2">
      <c r="A82" s="71"/>
      <c r="B82" s="6" t="s">
        <v>287</v>
      </c>
      <c r="C82" s="520" t="s">
        <v>288</v>
      </c>
      <c r="D82" s="520"/>
      <c r="E82" s="4" t="s">
        <v>289</v>
      </c>
    </row>
    <row r="83" spans="1:5" x14ac:dyDescent="0.2">
      <c r="A83" s="72"/>
      <c r="B83" s="5"/>
      <c r="C83" s="520"/>
      <c r="D83" s="520"/>
      <c r="E83" s="4"/>
    </row>
    <row r="84" spans="1:5" x14ac:dyDescent="0.2">
      <c r="A84" s="73"/>
      <c r="B84" s="6" t="s">
        <v>290</v>
      </c>
      <c r="C84" s="520" t="s">
        <v>291</v>
      </c>
      <c r="D84" s="520"/>
      <c r="E84" s="4" t="s">
        <v>292</v>
      </c>
    </row>
    <row r="85" spans="1:5" x14ac:dyDescent="0.2">
      <c r="A85" s="74"/>
      <c r="B85" s="5"/>
      <c r="C85" s="520"/>
      <c r="D85" s="520"/>
      <c r="E85" s="4"/>
    </row>
    <row r="86" spans="1:5" x14ac:dyDescent="0.2">
      <c r="A86" s="74"/>
      <c r="B86" s="6" t="s">
        <v>293</v>
      </c>
      <c r="C86" s="520" t="s">
        <v>288</v>
      </c>
      <c r="D86" s="520"/>
      <c r="E86" s="4" t="s">
        <v>292</v>
      </c>
    </row>
  </sheetData>
  <sheetProtection password="CA9F" sheet="1" objects="1" scenarios="1"/>
  <mergeCells count="7">
    <mergeCell ref="C83:D83"/>
    <mergeCell ref="C84:D84"/>
    <mergeCell ref="C85:D85"/>
    <mergeCell ref="C86:D86"/>
    <mergeCell ref="C1:D2"/>
    <mergeCell ref="C82:D82"/>
    <mergeCell ref="A3:D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DDA3C-AB59-4CAB-A680-DCB44ACF73D9}">
  <sheetPr>
    <pageSetUpPr fitToPage="1"/>
  </sheetPr>
  <dimension ref="A1:H97"/>
  <sheetViews>
    <sheetView zoomScaleNormal="100" workbookViewId="0">
      <selection activeCell="F85" sqref="F85"/>
    </sheetView>
  </sheetViews>
  <sheetFormatPr defaultRowHeight="12.75" x14ac:dyDescent="0.2"/>
  <cols>
    <col min="1" max="1" width="4.85546875" style="121" customWidth="1"/>
    <col min="2" max="2" width="35.5703125" style="81" customWidth="1"/>
    <col min="3" max="3" width="6.28515625" style="75" customWidth="1"/>
    <col min="4" max="6" width="26.42578125" style="75" customWidth="1"/>
    <col min="7" max="256" width="9.140625" style="75"/>
    <col min="257" max="257" width="4.85546875" style="75" customWidth="1"/>
    <col min="258" max="258" width="35.5703125" style="75" customWidth="1"/>
    <col min="259" max="259" width="6.28515625" style="75" customWidth="1"/>
    <col min="260" max="260" width="16.5703125" style="75" customWidth="1"/>
    <col min="261" max="262" width="16.28515625" style="75" customWidth="1"/>
    <col min="263" max="512" width="9.140625" style="75"/>
    <col min="513" max="513" width="4.85546875" style="75" customWidth="1"/>
    <col min="514" max="514" width="35.5703125" style="75" customWidth="1"/>
    <col min="515" max="515" width="6.28515625" style="75" customWidth="1"/>
    <col min="516" max="516" width="16.5703125" style="75" customWidth="1"/>
    <col min="517" max="518" width="16.28515625" style="75" customWidth="1"/>
    <col min="519" max="768" width="9.140625" style="75"/>
    <col min="769" max="769" width="4.85546875" style="75" customWidth="1"/>
    <col min="770" max="770" width="35.5703125" style="75" customWidth="1"/>
    <col min="771" max="771" width="6.28515625" style="75" customWidth="1"/>
    <col min="772" max="772" width="16.5703125" style="75" customWidth="1"/>
    <col min="773" max="774" width="16.28515625" style="75" customWidth="1"/>
    <col min="775" max="1024" width="9.140625" style="75"/>
    <col min="1025" max="1025" width="4.85546875" style="75" customWidth="1"/>
    <col min="1026" max="1026" width="35.5703125" style="75" customWidth="1"/>
    <col min="1027" max="1027" width="6.28515625" style="75" customWidth="1"/>
    <col min="1028" max="1028" width="16.5703125" style="75" customWidth="1"/>
    <col min="1029" max="1030" width="16.28515625" style="75" customWidth="1"/>
    <col min="1031" max="1280" width="9.140625" style="75"/>
    <col min="1281" max="1281" width="4.85546875" style="75" customWidth="1"/>
    <col min="1282" max="1282" width="35.5703125" style="75" customWidth="1"/>
    <col min="1283" max="1283" width="6.28515625" style="75" customWidth="1"/>
    <col min="1284" max="1284" width="16.5703125" style="75" customWidth="1"/>
    <col min="1285" max="1286" width="16.28515625" style="75" customWidth="1"/>
    <col min="1287" max="1536" width="9.140625" style="75"/>
    <col min="1537" max="1537" width="4.85546875" style="75" customWidth="1"/>
    <col min="1538" max="1538" width="35.5703125" style="75" customWidth="1"/>
    <col min="1539" max="1539" width="6.28515625" style="75" customWidth="1"/>
    <col min="1540" max="1540" width="16.5703125" style="75" customWidth="1"/>
    <col min="1541" max="1542" width="16.28515625" style="75" customWidth="1"/>
    <col min="1543" max="1792" width="9.140625" style="75"/>
    <col min="1793" max="1793" width="4.85546875" style="75" customWidth="1"/>
    <col min="1794" max="1794" width="35.5703125" style="75" customWidth="1"/>
    <col min="1795" max="1795" width="6.28515625" style="75" customWidth="1"/>
    <col min="1796" max="1796" width="16.5703125" style="75" customWidth="1"/>
    <col min="1797" max="1798" width="16.28515625" style="75" customWidth="1"/>
    <col min="1799" max="2048" width="9.140625" style="75"/>
    <col min="2049" max="2049" width="4.85546875" style="75" customWidth="1"/>
    <col min="2050" max="2050" width="35.5703125" style="75" customWidth="1"/>
    <col min="2051" max="2051" width="6.28515625" style="75" customWidth="1"/>
    <col min="2052" max="2052" width="16.5703125" style="75" customWidth="1"/>
    <col min="2053" max="2054" width="16.28515625" style="75" customWidth="1"/>
    <col min="2055" max="2304" width="9.140625" style="75"/>
    <col min="2305" max="2305" width="4.85546875" style="75" customWidth="1"/>
    <col min="2306" max="2306" width="35.5703125" style="75" customWidth="1"/>
    <col min="2307" max="2307" width="6.28515625" style="75" customWidth="1"/>
    <col min="2308" max="2308" width="16.5703125" style="75" customWidth="1"/>
    <col min="2309" max="2310" width="16.28515625" style="75" customWidth="1"/>
    <col min="2311" max="2560" width="9.140625" style="75"/>
    <col min="2561" max="2561" width="4.85546875" style="75" customWidth="1"/>
    <col min="2562" max="2562" width="35.5703125" style="75" customWidth="1"/>
    <col min="2563" max="2563" width="6.28515625" style="75" customWidth="1"/>
    <col min="2564" max="2564" width="16.5703125" style="75" customWidth="1"/>
    <col min="2565" max="2566" width="16.28515625" style="75" customWidth="1"/>
    <col min="2567" max="2816" width="9.140625" style="75"/>
    <col min="2817" max="2817" width="4.85546875" style="75" customWidth="1"/>
    <col min="2818" max="2818" width="35.5703125" style="75" customWidth="1"/>
    <col min="2819" max="2819" width="6.28515625" style="75" customWidth="1"/>
    <col min="2820" max="2820" width="16.5703125" style="75" customWidth="1"/>
    <col min="2821" max="2822" width="16.28515625" style="75" customWidth="1"/>
    <col min="2823" max="3072" width="9.140625" style="75"/>
    <col min="3073" max="3073" width="4.85546875" style="75" customWidth="1"/>
    <col min="3074" max="3074" width="35.5703125" style="75" customWidth="1"/>
    <col min="3075" max="3075" width="6.28515625" style="75" customWidth="1"/>
    <col min="3076" max="3076" width="16.5703125" style="75" customWidth="1"/>
    <col min="3077" max="3078" width="16.28515625" style="75" customWidth="1"/>
    <col min="3079" max="3328" width="9.140625" style="75"/>
    <col min="3329" max="3329" width="4.85546875" style="75" customWidth="1"/>
    <col min="3330" max="3330" width="35.5703125" style="75" customWidth="1"/>
    <col min="3331" max="3331" width="6.28515625" style="75" customWidth="1"/>
    <col min="3332" max="3332" width="16.5703125" style="75" customWidth="1"/>
    <col min="3333" max="3334" width="16.28515625" style="75" customWidth="1"/>
    <col min="3335" max="3584" width="9.140625" style="75"/>
    <col min="3585" max="3585" width="4.85546875" style="75" customWidth="1"/>
    <col min="3586" max="3586" width="35.5703125" style="75" customWidth="1"/>
    <col min="3587" max="3587" width="6.28515625" style="75" customWidth="1"/>
    <col min="3588" max="3588" width="16.5703125" style="75" customWidth="1"/>
    <col min="3589" max="3590" width="16.28515625" style="75" customWidth="1"/>
    <col min="3591" max="3840" width="9.140625" style="75"/>
    <col min="3841" max="3841" width="4.85546875" style="75" customWidth="1"/>
    <col min="3842" max="3842" width="35.5703125" style="75" customWidth="1"/>
    <col min="3843" max="3843" width="6.28515625" style="75" customWidth="1"/>
    <col min="3844" max="3844" width="16.5703125" style="75" customWidth="1"/>
    <col min="3845" max="3846" width="16.28515625" style="75" customWidth="1"/>
    <col min="3847" max="4096" width="9.140625" style="75"/>
    <col min="4097" max="4097" width="4.85546875" style="75" customWidth="1"/>
    <col min="4098" max="4098" width="35.5703125" style="75" customWidth="1"/>
    <col min="4099" max="4099" width="6.28515625" style="75" customWidth="1"/>
    <col min="4100" max="4100" width="16.5703125" style="75" customWidth="1"/>
    <col min="4101" max="4102" width="16.28515625" style="75" customWidth="1"/>
    <col min="4103" max="4352" width="9.140625" style="75"/>
    <col min="4353" max="4353" width="4.85546875" style="75" customWidth="1"/>
    <col min="4354" max="4354" width="35.5703125" style="75" customWidth="1"/>
    <col min="4355" max="4355" width="6.28515625" style="75" customWidth="1"/>
    <col min="4356" max="4356" width="16.5703125" style="75" customWidth="1"/>
    <col min="4357" max="4358" width="16.28515625" style="75" customWidth="1"/>
    <col min="4359" max="4608" width="9.140625" style="75"/>
    <col min="4609" max="4609" width="4.85546875" style="75" customWidth="1"/>
    <col min="4610" max="4610" width="35.5703125" style="75" customWidth="1"/>
    <col min="4611" max="4611" width="6.28515625" style="75" customWidth="1"/>
    <col min="4612" max="4612" width="16.5703125" style="75" customWidth="1"/>
    <col min="4613" max="4614" width="16.28515625" style="75" customWidth="1"/>
    <col min="4615" max="4864" width="9.140625" style="75"/>
    <col min="4865" max="4865" width="4.85546875" style="75" customWidth="1"/>
    <col min="4866" max="4866" width="35.5703125" style="75" customWidth="1"/>
    <col min="4867" max="4867" width="6.28515625" style="75" customWidth="1"/>
    <col min="4868" max="4868" width="16.5703125" style="75" customWidth="1"/>
    <col min="4869" max="4870" width="16.28515625" style="75" customWidth="1"/>
    <col min="4871" max="5120" width="9.140625" style="75"/>
    <col min="5121" max="5121" width="4.85546875" style="75" customWidth="1"/>
    <col min="5122" max="5122" width="35.5703125" style="75" customWidth="1"/>
    <col min="5123" max="5123" width="6.28515625" style="75" customWidth="1"/>
    <col min="5124" max="5124" width="16.5703125" style="75" customWidth="1"/>
    <col min="5125" max="5126" width="16.28515625" style="75" customWidth="1"/>
    <col min="5127" max="5376" width="9.140625" style="75"/>
    <col min="5377" max="5377" width="4.85546875" style="75" customWidth="1"/>
    <col min="5378" max="5378" width="35.5703125" style="75" customWidth="1"/>
    <col min="5379" max="5379" width="6.28515625" style="75" customWidth="1"/>
    <col min="5380" max="5380" width="16.5703125" style="75" customWidth="1"/>
    <col min="5381" max="5382" width="16.28515625" style="75" customWidth="1"/>
    <col min="5383" max="5632" width="9.140625" style="75"/>
    <col min="5633" max="5633" width="4.85546875" style="75" customWidth="1"/>
    <col min="5634" max="5634" width="35.5703125" style="75" customWidth="1"/>
    <col min="5635" max="5635" width="6.28515625" style="75" customWidth="1"/>
    <col min="5636" max="5636" width="16.5703125" style="75" customWidth="1"/>
    <col min="5637" max="5638" width="16.28515625" style="75" customWidth="1"/>
    <col min="5639" max="5888" width="9.140625" style="75"/>
    <col min="5889" max="5889" width="4.85546875" style="75" customWidth="1"/>
    <col min="5890" max="5890" width="35.5703125" style="75" customWidth="1"/>
    <col min="5891" max="5891" width="6.28515625" style="75" customWidth="1"/>
    <col min="5892" max="5892" width="16.5703125" style="75" customWidth="1"/>
    <col min="5893" max="5894" width="16.28515625" style="75" customWidth="1"/>
    <col min="5895" max="6144" width="9.140625" style="75"/>
    <col min="6145" max="6145" width="4.85546875" style="75" customWidth="1"/>
    <col min="6146" max="6146" width="35.5703125" style="75" customWidth="1"/>
    <col min="6147" max="6147" width="6.28515625" style="75" customWidth="1"/>
    <col min="6148" max="6148" width="16.5703125" style="75" customWidth="1"/>
    <col min="6149" max="6150" width="16.28515625" style="75" customWidth="1"/>
    <col min="6151" max="6400" width="9.140625" style="75"/>
    <col min="6401" max="6401" width="4.85546875" style="75" customWidth="1"/>
    <col min="6402" max="6402" width="35.5703125" style="75" customWidth="1"/>
    <col min="6403" max="6403" width="6.28515625" style="75" customWidth="1"/>
    <col min="6404" max="6404" width="16.5703125" style="75" customWidth="1"/>
    <col min="6405" max="6406" width="16.28515625" style="75" customWidth="1"/>
    <col min="6407" max="6656" width="9.140625" style="75"/>
    <col min="6657" max="6657" width="4.85546875" style="75" customWidth="1"/>
    <col min="6658" max="6658" width="35.5703125" style="75" customWidth="1"/>
    <col min="6659" max="6659" width="6.28515625" style="75" customWidth="1"/>
    <col min="6660" max="6660" width="16.5703125" style="75" customWidth="1"/>
    <col min="6661" max="6662" width="16.28515625" style="75" customWidth="1"/>
    <col min="6663" max="6912" width="9.140625" style="75"/>
    <col min="6913" max="6913" width="4.85546875" style="75" customWidth="1"/>
    <col min="6914" max="6914" width="35.5703125" style="75" customWidth="1"/>
    <col min="6915" max="6915" width="6.28515625" style="75" customWidth="1"/>
    <col min="6916" max="6916" width="16.5703125" style="75" customWidth="1"/>
    <col min="6917" max="6918" width="16.28515625" style="75" customWidth="1"/>
    <col min="6919" max="7168" width="9.140625" style="75"/>
    <col min="7169" max="7169" width="4.85546875" style="75" customWidth="1"/>
    <col min="7170" max="7170" width="35.5703125" style="75" customWidth="1"/>
    <col min="7171" max="7171" width="6.28515625" style="75" customWidth="1"/>
    <col min="7172" max="7172" width="16.5703125" style="75" customWidth="1"/>
    <col min="7173" max="7174" width="16.28515625" style="75" customWidth="1"/>
    <col min="7175" max="7424" width="9.140625" style="75"/>
    <col min="7425" max="7425" width="4.85546875" style="75" customWidth="1"/>
    <col min="7426" max="7426" width="35.5703125" style="75" customWidth="1"/>
    <col min="7427" max="7427" width="6.28515625" style="75" customWidth="1"/>
    <col min="7428" max="7428" width="16.5703125" style="75" customWidth="1"/>
    <col min="7429" max="7430" width="16.28515625" style="75" customWidth="1"/>
    <col min="7431" max="7680" width="9.140625" style="75"/>
    <col min="7681" max="7681" width="4.85546875" style="75" customWidth="1"/>
    <col min="7682" max="7682" width="35.5703125" style="75" customWidth="1"/>
    <col min="7683" max="7683" width="6.28515625" style="75" customWidth="1"/>
    <col min="7684" max="7684" width="16.5703125" style="75" customWidth="1"/>
    <col min="7685" max="7686" width="16.28515625" style="75" customWidth="1"/>
    <col min="7687" max="7936" width="9.140625" style="75"/>
    <col min="7937" max="7937" width="4.85546875" style="75" customWidth="1"/>
    <col min="7938" max="7938" width="35.5703125" style="75" customWidth="1"/>
    <col min="7939" max="7939" width="6.28515625" style="75" customWidth="1"/>
    <col min="7940" max="7940" width="16.5703125" style="75" customWidth="1"/>
    <col min="7941" max="7942" width="16.28515625" style="75" customWidth="1"/>
    <col min="7943" max="8192" width="9.140625" style="75"/>
    <col min="8193" max="8193" width="4.85546875" style="75" customWidth="1"/>
    <col min="8194" max="8194" width="35.5703125" style="75" customWidth="1"/>
    <col min="8195" max="8195" width="6.28515625" style="75" customWidth="1"/>
    <col min="8196" max="8196" width="16.5703125" style="75" customWidth="1"/>
    <col min="8197" max="8198" width="16.28515625" style="75" customWidth="1"/>
    <col min="8199" max="8448" width="9.140625" style="75"/>
    <col min="8449" max="8449" width="4.85546875" style="75" customWidth="1"/>
    <col min="8450" max="8450" width="35.5703125" style="75" customWidth="1"/>
    <col min="8451" max="8451" width="6.28515625" style="75" customWidth="1"/>
    <col min="8452" max="8452" width="16.5703125" style="75" customWidth="1"/>
    <col min="8453" max="8454" width="16.28515625" style="75" customWidth="1"/>
    <col min="8455" max="8704" width="9.140625" style="75"/>
    <col min="8705" max="8705" width="4.85546875" style="75" customWidth="1"/>
    <col min="8706" max="8706" width="35.5703125" style="75" customWidth="1"/>
    <col min="8707" max="8707" width="6.28515625" style="75" customWidth="1"/>
    <col min="8708" max="8708" width="16.5703125" style="75" customWidth="1"/>
    <col min="8709" max="8710" width="16.28515625" style="75" customWidth="1"/>
    <col min="8711" max="8960" width="9.140625" style="75"/>
    <col min="8961" max="8961" width="4.85546875" style="75" customWidth="1"/>
    <col min="8962" max="8962" width="35.5703125" style="75" customWidth="1"/>
    <col min="8963" max="8963" width="6.28515625" style="75" customWidth="1"/>
    <col min="8964" max="8964" width="16.5703125" style="75" customWidth="1"/>
    <col min="8965" max="8966" width="16.28515625" style="75" customWidth="1"/>
    <col min="8967" max="9216" width="9.140625" style="75"/>
    <col min="9217" max="9217" width="4.85546875" style="75" customWidth="1"/>
    <col min="9218" max="9218" width="35.5703125" style="75" customWidth="1"/>
    <col min="9219" max="9219" width="6.28515625" style="75" customWidth="1"/>
    <col min="9220" max="9220" width="16.5703125" style="75" customWidth="1"/>
    <col min="9221" max="9222" width="16.28515625" style="75" customWidth="1"/>
    <col min="9223" max="9472" width="9.140625" style="75"/>
    <col min="9473" max="9473" width="4.85546875" style="75" customWidth="1"/>
    <col min="9474" max="9474" width="35.5703125" style="75" customWidth="1"/>
    <col min="9475" max="9475" width="6.28515625" style="75" customWidth="1"/>
    <col min="9476" max="9476" width="16.5703125" style="75" customWidth="1"/>
    <col min="9477" max="9478" width="16.28515625" style="75" customWidth="1"/>
    <col min="9479" max="9728" width="9.140625" style="75"/>
    <col min="9729" max="9729" width="4.85546875" style="75" customWidth="1"/>
    <col min="9730" max="9730" width="35.5703125" style="75" customWidth="1"/>
    <col min="9731" max="9731" width="6.28515625" style="75" customWidth="1"/>
    <col min="9732" max="9732" width="16.5703125" style="75" customWidth="1"/>
    <col min="9733" max="9734" width="16.28515625" style="75" customWidth="1"/>
    <col min="9735" max="9984" width="9.140625" style="75"/>
    <col min="9985" max="9985" width="4.85546875" style="75" customWidth="1"/>
    <col min="9986" max="9986" width="35.5703125" style="75" customWidth="1"/>
    <col min="9987" max="9987" width="6.28515625" style="75" customWidth="1"/>
    <col min="9988" max="9988" width="16.5703125" style="75" customWidth="1"/>
    <col min="9989" max="9990" width="16.28515625" style="75" customWidth="1"/>
    <col min="9991" max="10240" width="9.140625" style="75"/>
    <col min="10241" max="10241" width="4.85546875" style="75" customWidth="1"/>
    <col min="10242" max="10242" width="35.5703125" style="75" customWidth="1"/>
    <col min="10243" max="10243" width="6.28515625" style="75" customWidth="1"/>
    <col min="10244" max="10244" width="16.5703125" style="75" customWidth="1"/>
    <col min="10245" max="10246" width="16.28515625" style="75" customWidth="1"/>
    <col min="10247" max="10496" width="9.140625" style="75"/>
    <col min="10497" max="10497" width="4.85546875" style="75" customWidth="1"/>
    <col min="10498" max="10498" width="35.5703125" style="75" customWidth="1"/>
    <col min="10499" max="10499" width="6.28515625" style="75" customWidth="1"/>
    <col min="10500" max="10500" width="16.5703125" style="75" customWidth="1"/>
    <col min="10501" max="10502" width="16.28515625" style="75" customWidth="1"/>
    <col min="10503" max="10752" width="9.140625" style="75"/>
    <col min="10753" max="10753" width="4.85546875" style="75" customWidth="1"/>
    <col min="10754" max="10754" width="35.5703125" style="75" customWidth="1"/>
    <col min="10755" max="10755" width="6.28515625" style="75" customWidth="1"/>
    <col min="10756" max="10756" width="16.5703125" style="75" customWidth="1"/>
    <col min="10757" max="10758" width="16.28515625" style="75" customWidth="1"/>
    <col min="10759" max="11008" width="9.140625" style="75"/>
    <col min="11009" max="11009" width="4.85546875" style="75" customWidth="1"/>
    <col min="11010" max="11010" width="35.5703125" style="75" customWidth="1"/>
    <col min="11011" max="11011" width="6.28515625" style="75" customWidth="1"/>
    <col min="11012" max="11012" width="16.5703125" style="75" customWidth="1"/>
    <col min="11013" max="11014" width="16.28515625" style="75" customWidth="1"/>
    <col min="11015" max="11264" width="9.140625" style="75"/>
    <col min="11265" max="11265" width="4.85546875" style="75" customWidth="1"/>
    <col min="11266" max="11266" width="35.5703125" style="75" customWidth="1"/>
    <col min="11267" max="11267" width="6.28515625" style="75" customWidth="1"/>
    <col min="11268" max="11268" width="16.5703125" style="75" customWidth="1"/>
    <col min="11269" max="11270" width="16.28515625" style="75" customWidth="1"/>
    <col min="11271" max="11520" width="9.140625" style="75"/>
    <col min="11521" max="11521" width="4.85546875" style="75" customWidth="1"/>
    <col min="11522" max="11522" width="35.5703125" style="75" customWidth="1"/>
    <col min="11523" max="11523" width="6.28515625" style="75" customWidth="1"/>
    <col min="11524" max="11524" width="16.5703125" style="75" customWidth="1"/>
    <col min="11525" max="11526" width="16.28515625" style="75" customWidth="1"/>
    <col min="11527" max="11776" width="9.140625" style="75"/>
    <col min="11777" max="11777" width="4.85546875" style="75" customWidth="1"/>
    <col min="11778" max="11778" width="35.5703125" style="75" customWidth="1"/>
    <col min="11779" max="11779" width="6.28515625" style="75" customWidth="1"/>
    <col min="11780" max="11780" width="16.5703125" style="75" customWidth="1"/>
    <col min="11781" max="11782" width="16.28515625" style="75" customWidth="1"/>
    <col min="11783" max="12032" width="9.140625" style="75"/>
    <col min="12033" max="12033" width="4.85546875" style="75" customWidth="1"/>
    <col min="12034" max="12034" width="35.5703125" style="75" customWidth="1"/>
    <col min="12035" max="12035" width="6.28515625" style="75" customWidth="1"/>
    <col min="12036" max="12036" width="16.5703125" style="75" customWidth="1"/>
    <col min="12037" max="12038" width="16.28515625" style="75" customWidth="1"/>
    <col min="12039" max="12288" width="9.140625" style="75"/>
    <col min="12289" max="12289" width="4.85546875" style="75" customWidth="1"/>
    <col min="12290" max="12290" width="35.5703125" style="75" customWidth="1"/>
    <col min="12291" max="12291" width="6.28515625" style="75" customWidth="1"/>
    <col min="12292" max="12292" width="16.5703125" style="75" customWidth="1"/>
    <col min="12293" max="12294" width="16.28515625" style="75" customWidth="1"/>
    <col min="12295" max="12544" width="9.140625" style="75"/>
    <col min="12545" max="12545" width="4.85546875" style="75" customWidth="1"/>
    <col min="12546" max="12546" width="35.5703125" style="75" customWidth="1"/>
    <col min="12547" max="12547" width="6.28515625" style="75" customWidth="1"/>
    <col min="12548" max="12548" width="16.5703125" style="75" customWidth="1"/>
    <col min="12549" max="12550" width="16.28515625" style="75" customWidth="1"/>
    <col min="12551" max="12800" width="9.140625" style="75"/>
    <col min="12801" max="12801" width="4.85546875" style="75" customWidth="1"/>
    <col min="12802" max="12802" width="35.5703125" style="75" customWidth="1"/>
    <col min="12803" max="12803" width="6.28515625" style="75" customWidth="1"/>
    <col min="12804" max="12804" width="16.5703125" style="75" customWidth="1"/>
    <col min="12805" max="12806" width="16.28515625" style="75" customWidth="1"/>
    <col min="12807" max="13056" width="9.140625" style="75"/>
    <col min="13057" max="13057" width="4.85546875" style="75" customWidth="1"/>
    <col min="13058" max="13058" width="35.5703125" style="75" customWidth="1"/>
    <col min="13059" max="13059" width="6.28515625" style="75" customWidth="1"/>
    <col min="13060" max="13060" width="16.5703125" style="75" customWidth="1"/>
    <col min="13061" max="13062" width="16.28515625" style="75" customWidth="1"/>
    <col min="13063" max="13312" width="9.140625" style="75"/>
    <col min="13313" max="13313" width="4.85546875" style="75" customWidth="1"/>
    <col min="13314" max="13314" width="35.5703125" style="75" customWidth="1"/>
    <col min="13315" max="13315" width="6.28515625" style="75" customWidth="1"/>
    <col min="13316" max="13316" width="16.5703125" style="75" customWidth="1"/>
    <col min="13317" max="13318" width="16.28515625" style="75" customWidth="1"/>
    <col min="13319" max="13568" width="9.140625" style="75"/>
    <col min="13569" max="13569" width="4.85546875" style="75" customWidth="1"/>
    <col min="13570" max="13570" width="35.5703125" style="75" customWidth="1"/>
    <col min="13571" max="13571" width="6.28515625" style="75" customWidth="1"/>
    <col min="13572" max="13572" width="16.5703125" style="75" customWidth="1"/>
    <col min="13573" max="13574" width="16.28515625" style="75" customWidth="1"/>
    <col min="13575" max="13824" width="9.140625" style="75"/>
    <col min="13825" max="13825" width="4.85546875" style="75" customWidth="1"/>
    <col min="13826" max="13826" width="35.5703125" style="75" customWidth="1"/>
    <col min="13827" max="13827" width="6.28515625" style="75" customWidth="1"/>
    <col min="13828" max="13828" width="16.5703125" style="75" customWidth="1"/>
    <col min="13829" max="13830" width="16.28515625" style="75" customWidth="1"/>
    <col min="13831" max="14080" width="9.140625" style="75"/>
    <col min="14081" max="14081" width="4.85546875" style="75" customWidth="1"/>
    <col min="14082" max="14082" width="35.5703125" style="75" customWidth="1"/>
    <col min="14083" max="14083" width="6.28515625" style="75" customWidth="1"/>
    <col min="14084" max="14084" width="16.5703125" style="75" customWidth="1"/>
    <col min="14085" max="14086" width="16.28515625" style="75" customWidth="1"/>
    <col min="14087" max="14336" width="9.140625" style="75"/>
    <col min="14337" max="14337" width="4.85546875" style="75" customWidth="1"/>
    <col min="14338" max="14338" width="35.5703125" style="75" customWidth="1"/>
    <col min="14339" max="14339" width="6.28515625" style="75" customWidth="1"/>
    <col min="14340" max="14340" width="16.5703125" style="75" customWidth="1"/>
    <col min="14341" max="14342" width="16.28515625" style="75" customWidth="1"/>
    <col min="14343" max="14592" width="9.140625" style="75"/>
    <col min="14593" max="14593" width="4.85546875" style="75" customWidth="1"/>
    <col min="14594" max="14594" width="35.5703125" style="75" customWidth="1"/>
    <col min="14595" max="14595" width="6.28515625" style="75" customWidth="1"/>
    <col min="14596" max="14596" width="16.5703125" style="75" customWidth="1"/>
    <col min="14597" max="14598" width="16.28515625" style="75" customWidth="1"/>
    <col min="14599" max="14848" width="9.140625" style="75"/>
    <col min="14849" max="14849" width="4.85546875" style="75" customWidth="1"/>
    <col min="14850" max="14850" width="35.5703125" style="75" customWidth="1"/>
    <col min="14851" max="14851" width="6.28515625" style="75" customWidth="1"/>
    <col min="14852" max="14852" width="16.5703125" style="75" customWidth="1"/>
    <col min="14853" max="14854" width="16.28515625" style="75" customWidth="1"/>
    <col min="14855" max="15104" width="9.140625" style="75"/>
    <col min="15105" max="15105" width="4.85546875" style="75" customWidth="1"/>
    <col min="15106" max="15106" width="35.5703125" style="75" customWidth="1"/>
    <col min="15107" max="15107" width="6.28515625" style="75" customWidth="1"/>
    <col min="15108" max="15108" width="16.5703125" style="75" customWidth="1"/>
    <col min="15109" max="15110" width="16.28515625" style="75" customWidth="1"/>
    <col min="15111" max="15360" width="9.140625" style="75"/>
    <col min="15361" max="15361" width="4.85546875" style="75" customWidth="1"/>
    <col min="15362" max="15362" width="35.5703125" style="75" customWidth="1"/>
    <col min="15363" max="15363" width="6.28515625" style="75" customWidth="1"/>
    <col min="15364" max="15364" width="16.5703125" style="75" customWidth="1"/>
    <col min="15365" max="15366" width="16.28515625" style="75" customWidth="1"/>
    <col min="15367" max="15616" width="9.140625" style="75"/>
    <col min="15617" max="15617" width="4.85546875" style="75" customWidth="1"/>
    <col min="15618" max="15618" width="35.5703125" style="75" customWidth="1"/>
    <col min="15619" max="15619" width="6.28515625" style="75" customWidth="1"/>
    <col min="15620" max="15620" width="16.5703125" style="75" customWidth="1"/>
    <col min="15621" max="15622" width="16.28515625" style="75" customWidth="1"/>
    <col min="15623" max="15872" width="9.140625" style="75"/>
    <col min="15873" max="15873" width="4.85546875" style="75" customWidth="1"/>
    <col min="15874" max="15874" width="35.5703125" style="75" customWidth="1"/>
    <col min="15875" max="15875" width="6.28515625" style="75" customWidth="1"/>
    <col min="15876" max="15876" width="16.5703125" style="75" customWidth="1"/>
    <col min="15877" max="15878" width="16.28515625" style="75" customWidth="1"/>
    <col min="15879" max="16128" width="9.140625" style="75"/>
    <col min="16129" max="16129" width="4.85546875" style="75" customWidth="1"/>
    <col min="16130" max="16130" width="35.5703125" style="75" customWidth="1"/>
    <col min="16131" max="16131" width="6.28515625" style="75" customWidth="1"/>
    <col min="16132" max="16132" width="16.5703125" style="75" customWidth="1"/>
    <col min="16133" max="16134" width="16.28515625" style="75" customWidth="1"/>
    <col min="16135" max="16384" width="9.140625" style="75"/>
  </cols>
  <sheetData>
    <row r="1" spans="1:8" ht="42" customHeight="1" x14ac:dyDescent="0.2">
      <c r="A1" s="568" t="s">
        <v>918</v>
      </c>
      <c r="B1" s="568"/>
      <c r="C1" s="568"/>
      <c r="D1" s="568"/>
      <c r="E1" s="568"/>
      <c r="F1" s="568"/>
      <c r="G1" s="568"/>
    </row>
    <row r="2" spans="1:8" x14ac:dyDescent="0.2">
      <c r="A2" s="569" t="s">
        <v>919</v>
      </c>
      <c r="B2" s="569"/>
      <c r="C2" s="569"/>
      <c r="D2" s="569"/>
      <c r="E2" s="569"/>
      <c r="F2" s="569"/>
      <c r="G2" s="569"/>
    </row>
    <row r="3" spans="1:8" x14ac:dyDescent="0.2">
      <c r="A3" s="76"/>
      <c r="B3" s="77"/>
      <c r="C3" s="78"/>
      <c r="D3" s="78"/>
      <c r="E3" s="78"/>
      <c r="F3" s="78"/>
    </row>
    <row r="4" spans="1:8" ht="25.5" customHeight="1" x14ac:dyDescent="0.2">
      <c r="A4" s="570" t="s">
        <v>779</v>
      </c>
      <c r="B4" s="570"/>
      <c r="C4" s="570"/>
      <c r="D4" s="570"/>
      <c r="E4" s="79"/>
      <c r="F4" s="562" t="s">
        <v>742</v>
      </c>
      <c r="G4" s="562"/>
      <c r="H4" s="79"/>
    </row>
    <row r="5" spans="1:8" x14ac:dyDescent="0.2">
      <c r="A5" s="80"/>
      <c r="C5" s="274"/>
      <c r="D5" s="82"/>
      <c r="E5" s="82"/>
      <c r="F5" s="555" t="s">
        <v>279</v>
      </c>
      <c r="G5" s="555"/>
      <c r="H5" s="79"/>
    </row>
    <row r="6" spans="1:8" s="87" customFormat="1" ht="25.5" x14ac:dyDescent="0.2">
      <c r="A6" s="83"/>
      <c r="B6" s="84" t="s">
        <v>465</v>
      </c>
      <c r="C6" s="85" t="s">
        <v>920</v>
      </c>
      <c r="D6" s="86" t="s">
        <v>20</v>
      </c>
      <c r="E6" s="86" t="s">
        <v>21</v>
      </c>
      <c r="F6" s="86" t="s">
        <v>22</v>
      </c>
      <c r="G6" s="86" t="s">
        <v>23</v>
      </c>
    </row>
    <row r="7" spans="1:8" s="87" customFormat="1" x14ac:dyDescent="0.2">
      <c r="A7" s="88" t="s">
        <v>282</v>
      </c>
      <c r="B7" s="86" t="s">
        <v>283</v>
      </c>
      <c r="C7" s="86" t="s">
        <v>297</v>
      </c>
      <c r="D7" s="86">
        <v>1</v>
      </c>
      <c r="E7" s="86">
        <v>2</v>
      </c>
      <c r="F7" s="89">
        <v>3</v>
      </c>
      <c r="G7" s="86">
        <v>4</v>
      </c>
    </row>
    <row r="8" spans="1:8" s="87" customFormat="1" x14ac:dyDescent="0.2">
      <c r="A8" s="83">
        <v>1</v>
      </c>
      <c r="B8" s="84" t="s">
        <v>121</v>
      </c>
      <c r="C8" s="86">
        <v>1</v>
      </c>
      <c r="D8" s="90"/>
      <c r="E8" s="91">
        <v>0</v>
      </c>
      <c r="F8" s="92">
        <f>SUM(D8+E8)</f>
        <v>0</v>
      </c>
      <c r="G8" s="93" t="e">
        <f t="shared" ref="G8:G39" si="0">F8/$F$84</f>
        <v>#DIV/0!</v>
      </c>
      <c r="H8" s="94" t="e">
        <f>+IF(G8&lt;0.02, "","журамд заасан хувиас хэтрүүлж байршуулсан")</f>
        <v>#DIV/0!</v>
      </c>
    </row>
    <row r="9" spans="1:8" s="87" customFormat="1" x14ac:dyDescent="0.2">
      <c r="A9" s="83">
        <v>2</v>
      </c>
      <c r="B9" s="95" t="s">
        <v>921</v>
      </c>
      <c r="C9" s="86">
        <f>C8+1</f>
        <v>2</v>
      </c>
      <c r="D9" s="96">
        <f>SUM(D10:D21)</f>
        <v>0</v>
      </c>
      <c r="E9" s="96">
        <f>SUM(E10:E21)</f>
        <v>0</v>
      </c>
      <c r="F9" s="92">
        <f>SUM(D9+E9)</f>
        <v>0</v>
      </c>
      <c r="G9" s="93" t="e">
        <f t="shared" si="0"/>
        <v>#DIV/0!</v>
      </c>
    </row>
    <row r="10" spans="1:8" s="87" customFormat="1" x14ac:dyDescent="0.2">
      <c r="A10" s="97" t="s">
        <v>618</v>
      </c>
      <c r="B10" s="98" t="str">
        <f>"Ариг банк"</f>
        <v>Ариг банк</v>
      </c>
      <c r="C10" s="99">
        <f t="shared" ref="C10:C60" si="1">C9+1</f>
        <v>3</v>
      </c>
      <c r="D10" s="100"/>
      <c r="E10" s="101"/>
      <c r="F10" s="102">
        <f>SUM(D10+E10)</f>
        <v>0</v>
      </c>
      <c r="G10" s="93" t="e">
        <f t="shared" si="0"/>
        <v>#DIV/0!</v>
      </c>
    </row>
    <row r="11" spans="1:8" s="87" customFormat="1" x14ac:dyDescent="0.2">
      <c r="A11" s="97" t="s">
        <v>643</v>
      </c>
      <c r="B11" s="98" t="str">
        <f>"Богд банк"</f>
        <v>Богд банк</v>
      </c>
      <c r="C11" s="99">
        <f t="shared" si="1"/>
        <v>4</v>
      </c>
      <c r="D11" s="100"/>
      <c r="E11" s="101"/>
      <c r="F11" s="102">
        <f t="shared" ref="F11:F60" si="2">SUM(D11+E11)</f>
        <v>0</v>
      </c>
      <c r="G11" s="93" t="e">
        <f t="shared" si="0"/>
        <v>#DIV/0!</v>
      </c>
    </row>
    <row r="12" spans="1:8" s="87" customFormat="1" x14ac:dyDescent="0.2">
      <c r="A12" s="97" t="s">
        <v>647</v>
      </c>
      <c r="B12" s="98" t="str">
        <f>"Голомт банк"</f>
        <v>Голомт банк</v>
      </c>
      <c r="C12" s="99">
        <f t="shared" si="1"/>
        <v>5</v>
      </c>
      <c r="D12" s="100"/>
      <c r="E12" s="101"/>
      <c r="F12" s="102">
        <f t="shared" si="2"/>
        <v>0</v>
      </c>
      <c r="G12" s="93" t="e">
        <f t="shared" si="0"/>
        <v>#DIV/0!</v>
      </c>
    </row>
    <row r="13" spans="1:8" s="87" customFormat="1" x14ac:dyDescent="0.2">
      <c r="A13" s="97" t="s">
        <v>922</v>
      </c>
      <c r="B13" s="98" t="str">
        <f>"Капитрон банк"</f>
        <v>Капитрон банк</v>
      </c>
      <c r="C13" s="99">
        <f t="shared" si="1"/>
        <v>6</v>
      </c>
      <c r="D13" s="100"/>
      <c r="E13" s="101"/>
      <c r="F13" s="102">
        <f t="shared" si="2"/>
        <v>0</v>
      </c>
      <c r="G13" s="93" t="e">
        <f t="shared" si="0"/>
        <v>#DIV/0!</v>
      </c>
    </row>
    <row r="14" spans="1:8" s="87" customFormat="1" x14ac:dyDescent="0.2">
      <c r="A14" s="97" t="s">
        <v>923</v>
      </c>
      <c r="B14" s="98" t="str">
        <f>"Кредит банк"</f>
        <v>Кредит банк</v>
      </c>
      <c r="C14" s="99">
        <f t="shared" si="1"/>
        <v>7</v>
      </c>
      <c r="D14" s="100"/>
      <c r="E14" s="101"/>
      <c r="F14" s="102">
        <f t="shared" si="2"/>
        <v>0</v>
      </c>
      <c r="G14" s="93" t="e">
        <f t="shared" si="0"/>
        <v>#DIV/0!</v>
      </c>
    </row>
    <row r="15" spans="1:8" s="87" customFormat="1" x14ac:dyDescent="0.2">
      <c r="A15" s="97" t="s">
        <v>924</v>
      </c>
      <c r="B15" s="98" t="str">
        <f>"Төрийн банк"</f>
        <v>Төрийн банк</v>
      </c>
      <c r="C15" s="99">
        <f t="shared" si="1"/>
        <v>8</v>
      </c>
      <c r="D15" s="100"/>
      <c r="E15" s="101"/>
      <c r="F15" s="102">
        <f t="shared" si="2"/>
        <v>0</v>
      </c>
      <c r="G15" s="93" t="e">
        <f t="shared" si="0"/>
        <v>#DIV/0!</v>
      </c>
    </row>
    <row r="16" spans="1:8" s="87" customFormat="1" x14ac:dyDescent="0.2">
      <c r="A16" s="97" t="s">
        <v>925</v>
      </c>
      <c r="B16" s="98" t="str">
        <f>"Тээвэр Хөгжлийн банк"</f>
        <v>Тээвэр Хөгжлийн банк</v>
      </c>
      <c r="C16" s="99">
        <f t="shared" si="1"/>
        <v>9</v>
      </c>
      <c r="D16" s="100"/>
      <c r="E16" s="101"/>
      <c r="F16" s="102">
        <f t="shared" si="2"/>
        <v>0</v>
      </c>
      <c r="G16" s="93" t="e">
        <f t="shared" si="0"/>
        <v>#DIV/0!</v>
      </c>
    </row>
    <row r="17" spans="1:7" s="87" customFormat="1" x14ac:dyDescent="0.2">
      <c r="A17" s="97" t="s">
        <v>926</v>
      </c>
      <c r="B17" s="98" t="str">
        <f>"Үндэсний хөрөнгө оруулалтын банк"</f>
        <v>Үндэсний хөрөнгө оруулалтын банк</v>
      </c>
      <c r="C17" s="99">
        <f t="shared" si="1"/>
        <v>10</v>
      </c>
      <c r="D17" s="100"/>
      <c r="E17" s="101"/>
      <c r="F17" s="102">
        <f t="shared" si="2"/>
        <v>0</v>
      </c>
      <c r="G17" s="93" t="e">
        <f t="shared" si="0"/>
        <v>#DIV/0!</v>
      </c>
    </row>
    <row r="18" spans="1:7" s="87" customFormat="1" x14ac:dyDescent="0.2">
      <c r="A18" s="97" t="s">
        <v>927</v>
      </c>
      <c r="B18" s="98" t="str">
        <f>"Хаан банк"</f>
        <v>Хаан банк</v>
      </c>
      <c r="C18" s="99">
        <f t="shared" si="1"/>
        <v>11</v>
      </c>
      <c r="D18" s="100"/>
      <c r="E18" s="101"/>
      <c r="F18" s="102">
        <f t="shared" si="2"/>
        <v>0</v>
      </c>
      <c r="G18" s="93" t="e">
        <f t="shared" si="0"/>
        <v>#DIV/0!</v>
      </c>
    </row>
    <row r="19" spans="1:7" s="87" customFormat="1" x14ac:dyDescent="0.2">
      <c r="A19" s="97" t="s">
        <v>928</v>
      </c>
      <c r="B19" s="98" t="str">
        <f>"Хас банк"</f>
        <v>Хас банк</v>
      </c>
      <c r="C19" s="99">
        <f t="shared" si="1"/>
        <v>12</v>
      </c>
      <c r="D19" s="100"/>
      <c r="E19" s="101"/>
      <c r="F19" s="102">
        <f t="shared" si="2"/>
        <v>0</v>
      </c>
      <c r="G19" s="93" t="e">
        <f t="shared" si="0"/>
        <v>#DIV/0!</v>
      </c>
    </row>
    <row r="20" spans="1:7" s="87" customFormat="1" x14ac:dyDescent="0.2">
      <c r="A20" s="97" t="s">
        <v>929</v>
      </c>
      <c r="B20" s="98" t="str">
        <f>"Худалдаа хөгжлийн банк"</f>
        <v>Худалдаа хөгжлийн банк</v>
      </c>
      <c r="C20" s="99">
        <f t="shared" si="1"/>
        <v>13</v>
      </c>
      <c r="D20" s="100"/>
      <c r="E20" s="101"/>
      <c r="F20" s="102">
        <f t="shared" si="2"/>
        <v>0</v>
      </c>
      <c r="G20" s="93" t="e">
        <f t="shared" si="0"/>
        <v>#DIV/0!</v>
      </c>
    </row>
    <row r="21" spans="1:7" s="87" customFormat="1" x14ac:dyDescent="0.2">
      <c r="A21" s="97" t="s">
        <v>930</v>
      </c>
      <c r="B21" s="98" t="str">
        <f>"Чингис хаан банк"</f>
        <v>Чингис хаан банк</v>
      </c>
      <c r="C21" s="99">
        <f t="shared" si="1"/>
        <v>14</v>
      </c>
      <c r="D21" s="100"/>
      <c r="E21" s="101"/>
      <c r="F21" s="102">
        <f t="shared" si="2"/>
        <v>0</v>
      </c>
      <c r="G21" s="93" t="e">
        <f t="shared" si="0"/>
        <v>#DIV/0!</v>
      </c>
    </row>
    <row r="22" spans="1:7" s="87" customFormat="1" ht="25.5" x14ac:dyDescent="0.2">
      <c r="A22" s="83">
        <f>+A9+1</f>
        <v>3</v>
      </c>
      <c r="B22" s="95" t="s">
        <v>931</v>
      </c>
      <c r="C22" s="86">
        <f>+C21+1</f>
        <v>15</v>
      </c>
      <c r="D22" s="96">
        <f>SUM(D23:D34)</f>
        <v>0</v>
      </c>
      <c r="E22" s="96">
        <f>SUM(E23:E34)</f>
        <v>0</v>
      </c>
      <c r="F22" s="92">
        <f t="shared" si="2"/>
        <v>0</v>
      </c>
      <c r="G22" s="93" t="e">
        <f t="shared" si="0"/>
        <v>#DIV/0!</v>
      </c>
    </row>
    <row r="23" spans="1:7" s="87" customFormat="1" x14ac:dyDescent="0.2">
      <c r="A23" s="97" t="s">
        <v>932</v>
      </c>
      <c r="B23" s="98" t="str">
        <f>"Ариг банк"</f>
        <v>Ариг банк</v>
      </c>
      <c r="C23" s="99">
        <f t="shared" si="1"/>
        <v>16</v>
      </c>
      <c r="D23" s="100"/>
      <c r="E23" s="103"/>
      <c r="F23" s="102">
        <f t="shared" si="2"/>
        <v>0</v>
      </c>
      <c r="G23" s="93" t="e">
        <f t="shared" si="0"/>
        <v>#DIV/0!</v>
      </c>
    </row>
    <row r="24" spans="1:7" s="87" customFormat="1" x14ac:dyDescent="0.2">
      <c r="A24" s="97" t="s">
        <v>933</v>
      </c>
      <c r="B24" s="98" t="str">
        <f>"Богд банк"</f>
        <v>Богд банк</v>
      </c>
      <c r="C24" s="99">
        <f t="shared" si="1"/>
        <v>17</v>
      </c>
      <c r="D24" s="100"/>
      <c r="E24" s="103"/>
      <c r="F24" s="102">
        <f t="shared" si="2"/>
        <v>0</v>
      </c>
      <c r="G24" s="93" t="e">
        <f t="shared" si="0"/>
        <v>#DIV/0!</v>
      </c>
    </row>
    <row r="25" spans="1:7" s="87" customFormat="1" x14ac:dyDescent="0.2">
      <c r="A25" s="97" t="s">
        <v>934</v>
      </c>
      <c r="B25" s="98" t="str">
        <f>"Голомт банк"</f>
        <v>Голомт банк</v>
      </c>
      <c r="C25" s="99">
        <f t="shared" si="1"/>
        <v>18</v>
      </c>
      <c r="D25" s="100"/>
      <c r="E25" s="103"/>
      <c r="F25" s="102">
        <f t="shared" si="2"/>
        <v>0</v>
      </c>
      <c r="G25" s="93" t="e">
        <f t="shared" si="0"/>
        <v>#DIV/0!</v>
      </c>
    </row>
    <row r="26" spans="1:7" s="87" customFormat="1" x14ac:dyDescent="0.2">
      <c r="A26" s="97" t="s">
        <v>935</v>
      </c>
      <c r="B26" s="98" t="str">
        <f>"Капитрон банк"</f>
        <v>Капитрон банк</v>
      </c>
      <c r="C26" s="99">
        <f t="shared" si="1"/>
        <v>19</v>
      </c>
      <c r="D26" s="100"/>
      <c r="E26" s="103"/>
      <c r="F26" s="102">
        <f t="shared" si="2"/>
        <v>0</v>
      </c>
      <c r="G26" s="93" t="e">
        <f t="shared" si="0"/>
        <v>#DIV/0!</v>
      </c>
    </row>
    <row r="27" spans="1:7" s="87" customFormat="1" x14ac:dyDescent="0.2">
      <c r="A27" s="97" t="s">
        <v>936</v>
      </c>
      <c r="B27" s="98" t="str">
        <f>"Кредит банк"</f>
        <v>Кредит банк</v>
      </c>
      <c r="C27" s="99">
        <f t="shared" si="1"/>
        <v>20</v>
      </c>
      <c r="D27" s="100"/>
      <c r="E27" s="103"/>
      <c r="F27" s="102">
        <f t="shared" si="2"/>
        <v>0</v>
      </c>
      <c r="G27" s="93" t="e">
        <f t="shared" si="0"/>
        <v>#DIV/0!</v>
      </c>
    </row>
    <row r="28" spans="1:7" s="87" customFormat="1" x14ac:dyDescent="0.2">
      <c r="A28" s="97" t="s">
        <v>937</v>
      </c>
      <c r="B28" s="98" t="str">
        <f>"Төрийн банк"</f>
        <v>Төрийн банк</v>
      </c>
      <c r="C28" s="99">
        <f t="shared" si="1"/>
        <v>21</v>
      </c>
      <c r="D28" s="100"/>
      <c r="E28" s="103"/>
      <c r="F28" s="102">
        <f t="shared" si="2"/>
        <v>0</v>
      </c>
      <c r="G28" s="93" t="e">
        <f t="shared" si="0"/>
        <v>#DIV/0!</v>
      </c>
    </row>
    <row r="29" spans="1:7" s="87" customFormat="1" x14ac:dyDescent="0.2">
      <c r="A29" s="97" t="s">
        <v>938</v>
      </c>
      <c r="B29" s="98" t="str">
        <f>"Тээвэр Хөгжлийн банк"</f>
        <v>Тээвэр Хөгжлийн банк</v>
      </c>
      <c r="C29" s="99">
        <f t="shared" si="1"/>
        <v>22</v>
      </c>
      <c r="D29" s="100"/>
      <c r="E29" s="103"/>
      <c r="F29" s="102">
        <f t="shared" si="2"/>
        <v>0</v>
      </c>
      <c r="G29" s="93" t="e">
        <f t="shared" si="0"/>
        <v>#DIV/0!</v>
      </c>
    </row>
    <row r="30" spans="1:7" s="87" customFormat="1" x14ac:dyDescent="0.2">
      <c r="A30" s="97" t="s">
        <v>939</v>
      </c>
      <c r="B30" s="98" t="str">
        <f>"Үндэсний хөрөнгө оруулалтын банк"</f>
        <v>Үндэсний хөрөнгө оруулалтын банк</v>
      </c>
      <c r="C30" s="99">
        <f t="shared" si="1"/>
        <v>23</v>
      </c>
      <c r="D30" s="100"/>
      <c r="E30" s="103"/>
      <c r="F30" s="102">
        <f t="shared" si="2"/>
        <v>0</v>
      </c>
      <c r="G30" s="93" t="e">
        <f t="shared" si="0"/>
        <v>#DIV/0!</v>
      </c>
    </row>
    <row r="31" spans="1:7" s="87" customFormat="1" x14ac:dyDescent="0.2">
      <c r="A31" s="97" t="s">
        <v>940</v>
      </c>
      <c r="B31" s="98" t="str">
        <f>"Хаан банк"</f>
        <v>Хаан банк</v>
      </c>
      <c r="C31" s="99">
        <f t="shared" si="1"/>
        <v>24</v>
      </c>
      <c r="D31" s="100"/>
      <c r="E31" s="103"/>
      <c r="F31" s="102">
        <f t="shared" si="2"/>
        <v>0</v>
      </c>
      <c r="G31" s="93" t="e">
        <f t="shared" si="0"/>
        <v>#DIV/0!</v>
      </c>
    </row>
    <row r="32" spans="1:7" s="87" customFormat="1" x14ac:dyDescent="0.2">
      <c r="A32" s="97" t="s">
        <v>941</v>
      </c>
      <c r="B32" s="98" t="str">
        <f>"Хас банк"</f>
        <v>Хас банк</v>
      </c>
      <c r="C32" s="99">
        <f t="shared" si="1"/>
        <v>25</v>
      </c>
      <c r="D32" s="100"/>
      <c r="E32" s="103"/>
      <c r="F32" s="102">
        <f t="shared" si="2"/>
        <v>0</v>
      </c>
      <c r="G32" s="93" t="e">
        <f t="shared" si="0"/>
        <v>#DIV/0!</v>
      </c>
    </row>
    <row r="33" spans="1:8" s="87" customFormat="1" x14ac:dyDescent="0.2">
      <c r="A33" s="97" t="s">
        <v>942</v>
      </c>
      <c r="B33" s="98" t="str">
        <f>"Худалдаа хөгжлийн банк"</f>
        <v>Худалдаа хөгжлийн банк</v>
      </c>
      <c r="C33" s="99">
        <f t="shared" si="1"/>
        <v>26</v>
      </c>
      <c r="D33" s="100"/>
      <c r="E33" s="103"/>
      <c r="F33" s="102">
        <f t="shared" si="2"/>
        <v>0</v>
      </c>
      <c r="G33" s="93" t="e">
        <f t="shared" si="0"/>
        <v>#DIV/0!</v>
      </c>
    </row>
    <row r="34" spans="1:8" s="87" customFormat="1" x14ac:dyDescent="0.2">
      <c r="A34" s="97" t="s">
        <v>943</v>
      </c>
      <c r="B34" s="98" t="str">
        <f>"Чингис хаан банк"</f>
        <v>Чингис хаан банк</v>
      </c>
      <c r="C34" s="99">
        <f t="shared" si="1"/>
        <v>27</v>
      </c>
      <c r="D34" s="100"/>
      <c r="E34" s="103"/>
      <c r="F34" s="102">
        <f t="shared" si="2"/>
        <v>0</v>
      </c>
      <c r="G34" s="93" t="e">
        <f t="shared" si="0"/>
        <v>#DIV/0!</v>
      </c>
    </row>
    <row r="35" spans="1:8" s="87" customFormat="1" ht="25.5" x14ac:dyDescent="0.2">
      <c r="A35" s="83">
        <v>4</v>
      </c>
      <c r="B35" s="95" t="s">
        <v>944</v>
      </c>
      <c r="C35" s="86">
        <f>+C34+1</f>
        <v>28</v>
      </c>
      <c r="D35" s="96">
        <f>SUM(D36:D47)</f>
        <v>0</v>
      </c>
      <c r="E35" s="96">
        <f>SUM(E36:E47)</f>
        <v>0</v>
      </c>
      <c r="F35" s="92">
        <f t="shared" si="2"/>
        <v>0</v>
      </c>
      <c r="G35" s="93" t="e">
        <f t="shared" si="0"/>
        <v>#DIV/0!</v>
      </c>
    </row>
    <row r="36" spans="1:8" s="87" customFormat="1" x14ac:dyDescent="0.2">
      <c r="A36" s="97" t="s">
        <v>726</v>
      </c>
      <c r="B36" s="98" t="str">
        <f>"Ариг банк"</f>
        <v>Ариг банк</v>
      </c>
      <c r="C36" s="99">
        <f t="shared" si="1"/>
        <v>29</v>
      </c>
      <c r="D36" s="103"/>
      <c r="E36" s="268"/>
      <c r="F36" s="102">
        <f t="shared" si="2"/>
        <v>0</v>
      </c>
      <c r="G36" s="93" t="e">
        <f t="shared" si="0"/>
        <v>#DIV/0!</v>
      </c>
    </row>
    <row r="37" spans="1:8" s="87" customFormat="1" x14ac:dyDescent="0.2">
      <c r="A37" s="97" t="s">
        <v>727</v>
      </c>
      <c r="B37" s="98" t="str">
        <f>"Богд банк"</f>
        <v>Богд банк</v>
      </c>
      <c r="C37" s="99">
        <f t="shared" si="1"/>
        <v>30</v>
      </c>
      <c r="D37" s="103"/>
      <c r="E37" s="268"/>
      <c r="F37" s="102">
        <f t="shared" si="2"/>
        <v>0</v>
      </c>
      <c r="G37" s="93" t="e">
        <f t="shared" si="0"/>
        <v>#DIV/0!</v>
      </c>
    </row>
    <row r="38" spans="1:8" s="87" customFormat="1" x14ac:dyDescent="0.2">
      <c r="A38" s="97" t="s">
        <v>728</v>
      </c>
      <c r="B38" s="98" t="str">
        <f>"Голомт банк"</f>
        <v>Голомт банк</v>
      </c>
      <c r="C38" s="104">
        <f t="shared" si="1"/>
        <v>31</v>
      </c>
      <c r="D38" s="103"/>
      <c r="E38" s="268"/>
      <c r="F38" s="102">
        <f t="shared" si="2"/>
        <v>0</v>
      </c>
      <c r="G38" s="93" t="e">
        <f t="shared" si="0"/>
        <v>#DIV/0!</v>
      </c>
    </row>
    <row r="39" spans="1:8" s="87" customFormat="1" x14ac:dyDescent="0.2">
      <c r="A39" s="97" t="s">
        <v>729</v>
      </c>
      <c r="B39" s="98" t="str">
        <f>"Капитрон банк"</f>
        <v>Капитрон банк</v>
      </c>
      <c r="C39" s="104">
        <f t="shared" si="1"/>
        <v>32</v>
      </c>
      <c r="D39" s="103"/>
      <c r="E39" s="268"/>
      <c r="F39" s="102">
        <f t="shared" si="2"/>
        <v>0</v>
      </c>
      <c r="G39" s="93" t="e">
        <f t="shared" si="0"/>
        <v>#DIV/0!</v>
      </c>
    </row>
    <row r="40" spans="1:8" s="87" customFormat="1" x14ac:dyDescent="0.2">
      <c r="A40" s="97" t="s">
        <v>945</v>
      </c>
      <c r="B40" s="98" t="str">
        <f>"Кредит банк"</f>
        <v>Кредит банк</v>
      </c>
      <c r="C40" s="104">
        <f t="shared" si="1"/>
        <v>33</v>
      </c>
      <c r="D40" s="103"/>
      <c r="E40" s="268"/>
      <c r="F40" s="102">
        <f t="shared" si="2"/>
        <v>0</v>
      </c>
      <c r="G40" s="93" t="e">
        <f t="shared" ref="G40:G67" si="3">F40/$F$84</f>
        <v>#DIV/0!</v>
      </c>
    </row>
    <row r="41" spans="1:8" s="87" customFormat="1" x14ac:dyDescent="0.2">
      <c r="A41" s="97" t="s">
        <v>946</v>
      </c>
      <c r="B41" s="98" t="str">
        <f>"Төрийн банк"</f>
        <v>Төрийн банк</v>
      </c>
      <c r="C41" s="99">
        <f t="shared" si="1"/>
        <v>34</v>
      </c>
      <c r="D41" s="103"/>
      <c r="E41" s="268"/>
      <c r="F41" s="102">
        <f t="shared" si="2"/>
        <v>0</v>
      </c>
      <c r="G41" s="93" t="e">
        <f t="shared" si="3"/>
        <v>#DIV/0!</v>
      </c>
    </row>
    <row r="42" spans="1:8" s="87" customFormat="1" x14ac:dyDescent="0.2">
      <c r="A42" s="97" t="s">
        <v>947</v>
      </c>
      <c r="B42" s="98" t="str">
        <f>"Тээвэр Хөгжлийн банк"</f>
        <v>Тээвэр Хөгжлийн банк</v>
      </c>
      <c r="C42" s="99">
        <f t="shared" si="1"/>
        <v>35</v>
      </c>
      <c r="D42" s="103"/>
      <c r="E42" s="268"/>
      <c r="F42" s="102">
        <f t="shared" si="2"/>
        <v>0</v>
      </c>
      <c r="G42" s="93" t="e">
        <f t="shared" si="3"/>
        <v>#DIV/0!</v>
      </c>
    </row>
    <row r="43" spans="1:8" s="87" customFormat="1" x14ac:dyDescent="0.2">
      <c r="A43" s="97" t="s">
        <v>948</v>
      </c>
      <c r="B43" s="98" t="str">
        <f>"Үндэсний хөрөнгө оруулалтын банк"</f>
        <v>Үндэсний хөрөнгө оруулалтын банк</v>
      </c>
      <c r="C43" s="104">
        <f t="shared" si="1"/>
        <v>36</v>
      </c>
      <c r="D43" s="103"/>
      <c r="E43" s="268"/>
      <c r="F43" s="102">
        <f t="shared" si="2"/>
        <v>0</v>
      </c>
      <c r="G43" s="93" t="e">
        <f t="shared" si="3"/>
        <v>#DIV/0!</v>
      </c>
    </row>
    <row r="44" spans="1:8" s="87" customFormat="1" x14ac:dyDescent="0.2">
      <c r="A44" s="97" t="s">
        <v>949</v>
      </c>
      <c r="B44" s="98" t="str">
        <f>"Хаан банк"</f>
        <v>Хаан банк</v>
      </c>
      <c r="C44" s="104">
        <f t="shared" si="1"/>
        <v>37</v>
      </c>
      <c r="D44" s="103"/>
      <c r="E44" s="268"/>
      <c r="F44" s="102">
        <f t="shared" si="2"/>
        <v>0</v>
      </c>
      <c r="G44" s="93" t="e">
        <f t="shared" si="3"/>
        <v>#DIV/0!</v>
      </c>
    </row>
    <row r="45" spans="1:8" s="87" customFormat="1" x14ac:dyDescent="0.2">
      <c r="A45" s="97" t="s">
        <v>950</v>
      </c>
      <c r="B45" s="98" t="str">
        <f>"Хас банк"</f>
        <v>Хас банк</v>
      </c>
      <c r="C45" s="99">
        <f t="shared" si="1"/>
        <v>38</v>
      </c>
      <c r="D45" s="103"/>
      <c r="E45" s="268"/>
      <c r="F45" s="102">
        <f t="shared" si="2"/>
        <v>0</v>
      </c>
      <c r="G45" s="93" t="e">
        <f t="shared" si="3"/>
        <v>#DIV/0!</v>
      </c>
    </row>
    <row r="46" spans="1:8" s="87" customFormat="1" x14ac:dyDescent="0.2">
      <c r="A46" s="97" t="s">
        <v>951</v>
      </c>
      <c r="B46" s="98" t="str">
        <f>"Худалдаа хөгжлийн банк"</f>
        <v>Худалдаа хөгжлийн банк</v>
      </c>
      <c r="C46" s="99">
        <f t="shared" si="1"/>
        <v>39</v>
      </c>
      <c r="D46" s="103"/>
      <c r="E46" s="268"/>
      <c r="F46" s="102">
        <f t="shared" si="2"/>
        <v>0</v>
      </c>
      <c r="G46" s="93" t="e">
        <f t="shared" si="3"/>
        <v>#DIV/0!</v>
      </c>
    </row>
    <row r="47" spans="1:8" s="87" customFormat="1" x14ac:dyDescent="0.2">
      <c r="A47" s="97" t="s">
        <v>952</v>
      </c>
      <c r="B47" s="98" t="str">
        <f>"Чингис хаан банк"</f>
        <v>Чингис хаан банк</v>
      </c>
      <c r="C47" s="99">
        <f t="shared" si="1"/>
        <v>40</v>
      </c>
      <c r="D47" s="103"/>
      <c r="E47" s="268"/>
      <c r="F47" s="102">
        <f t="shared" si="2"/>
        <v>0</v>
      </c>
      <c r="G47" s="93" t="e">
        <f t="shared" si="3"/>
        <v>#DIV/0!</v>
      </c>
    </row>
    <row r="48" spans="1:8" s="87" customFormat="1" ht="25.5" x14ac:dyDescent="0.2">
      <c r="A48" s="83">
        <v>5</v>
      </c>
      <c r="B48" s="95" t="s">
        <v>953</v>
      </c>
      <c r="C48" s="86">
        <f>+C47+1</f>
        <v>41</v>
      </c>
      <c r="D48" s="96">
        <f>SUM(D49:D60)</f>
        <v>0</v>
      </c>
      <c r="E48" s="96">
        <f>SUM(E49:E60)</f>
        <v>0</v>
      </c>
      <c r="F48" s="92">
        <f t="shared" si="2"/>
        <v>0</v>
      </c>
      <c r="G48" s="93" t="e">
        <f t="shared" si="3"/>
        <v>#DIV/0!</v>
      </c>
      <c r="H48" s="94" t="e">
        <f>+IF(G48&lt;0.8, "","журамд заасан хувиас хэтрүүлж байршуулсан")</f>
        <v>#DIV/0!</v>
      </c>
    </row>
    <row r="49" spans="1:8" s="87" customFormat="1" x14ac:dyDescent="0.2">
      <c r="A49" s="97" t="s">
        <v>730</v>
      </c>
      <c r="B49" s="98" t="str">
        <f>"Ариг банк"</f>
        <v>Ариг банк</v>
      </c>
      <c r="C49" s="99">
        <f t="shared" si="1"/>
        <v>42</v>
      </c>
      <c r="D49" s="103"/>
      <c r="E49" s="105"/>
      <c r="F49" s="102">
        <f t="shared" si="2"/>
        <v>0</v>
      </c>
      <c r="G49" s="93" t="e">
        <f t="shared" si="3"/>
        <v>#DIV/0!</v>
      </c>
    </row>
    <row r="50" spans="1:8" s="87" customFormat="1" x14ac:dyDescent="0.2">
      <c r="A50" s="97" t="s">
        <v>731</v>
      </c>
      <c r="B50" s="98" t="str">
        <f>"Богд банк"</f>
        <v>Богд банк</v>
      </c>
      <c r="C50" s="99">
        <f t="shared" si="1"/>
        <v>43</v>
      </c>
      <c r="D50" s="103"/>
      <c r="E50" s="105"/>
      <c r="F50" s="102">
        <f t="shared" si="2"/>
        <v>0</v>
      </c>
      <c r="G50" s="93" t="e">
        <f t="shared" si="3"/>
        <v>#DIV/0!</v>
      </c>
    </row>
    <row r="51" spans="1:8" s="87" customFormat="1" x14ac:dyDescent="0.2">
      <c r="A51" s="97" t="s">
        <v>733</v>
      </c>
      <c r="B51" s="98" t="str">
        <f>"Голомт банк"</f>
        <v>Голомт банк</v>
      </c>
      <c r="C51" s="99">
        <f t="shared" si="1"/>
        <v>44</v>
      </c>
      <c r="D51" s="103"/>
      <c r="E51" s="105"/>
      <c r="F51" s="102">
        <f t="shared" si="2"/>
        <v>0</v>
      </c>
      <c r="G51" s="93" t="e">
        <f t="shared" si="3"/>
        <v>#DIV/0!</v>
      </c>
    </row>
    <row r="52" spans="1:8" s="87" customFormat="1" x14ac:dyDescent="0.2">
      <c r="A52" s="97" t="s">
        <v>734</v>
      </c>
      <c r="B52" s="98" t="str">
        <f>"Капитрон банк"</f>
        <v>Капитрон банк</v>
      </c>
      <c r="C52" s="99">
        <f t="shared" si="1"/>
        <v>45</v>
      </c>
      <c r="D52" s="103"/>
      <c r="E52" s="105"/>
      <c r="F52" s="102">
        <f t="shared" si="2"/>
        <v>0</v>
      </c>
      <c r="G52" s="93" t="e">
        <f t="shared" si="3"/>
        <v>#DIV/0!</v>
      </c>
    </row>
    <row r="53" spans="1:8" s="87" customFormat="1" x14ac:dyDescent="0.2">
      <c r="A53" s="97" t="s">
        <v>954</v>
      </c>
      <c r="B53" s="98" t="str">
        <f>"Кредит банк"</f>
        <v>Кредит банк</v>
      </c>
      <c r="C53" s="99">
        <f t="shared" si="1"/>
        <v>46</v>
      </c>
      <c r="D53" s="103"/>
      <c r="E53" s="105"/>
      <c r="F53" s="102">
        <f t="shared" si="2"/>
        <v>0</v>
      </c>
      <c r="G53" s="93" t="e">
        <f t="shared" si="3"/>
        <v>#DIV/0!</v>
      </c>
    </row>
    <row r="54" spans="1:8" x14ac:dyDescent="0.2">
      <c r="A54" s="97" t="s">
        <v>955</v>
      </c>
      <c r="B54" s="98" t="str">
        <f>"Төрийн банк"</f>
        <v>Төрийн банк</v>
      </c>
      <c r="C54" s="99">
        <f t="shared" si="1"/>
        <v>47</v>
      </c>
      <c r="D54" s="103"/>
      <c r="E54" s="105"/>
      <c r="F54" s="102">
        <f t="shared" si="2"/>
        <v>0</v>
      </c>
      <c r="G54" s="93" t="e">
        <f t="shared" si="3"/>
        <v>#DIV/0!</v>
      </c>
    </row>
    <row r="55" spans="1:8" x14ac:dyDescent="0.2">
      <c r="A55" s="97" t="s">
        <v>956</v>
      </c>
      <c r="B55" s="98" t="str">
        <f>"Тээвэр Хөгжлийн банк"</f>
        <v>Тээвэр Хөгжлийн банк</v>
      </c>
      <c r="C55" s="99">
        <f t="shared" si="1"/>
        <v>48</v>
      </c>
      <c r="D55" s="103"/>
      <c r="E55" s="105"/>
      <c r="F55" s="102">
        <f t="shared" si="2"/>
        <v>0</v>
      </c>
      <c r="G55" s="93" t="e">
        <f t="shared" si="3"/>
        <v>#DIV/0!</v>
      </c>
    </row>
    <row r="56" spans="1:8" x14ac:dyDescent="0.2">
      <c r="A56" s="97" t="s">
        <v>957</v>
      </c>
      <c r="B56" s="98" t="str">
        <f>"Үндэсний хөрөнгө оруулалтын банк"</f>
        <v>Үндэсний хөрөнгө оруулалтын банк</v>
      </c>
      <c r="C56" s="99">
        <f t="shared" si="1"/>
        <v>49</v>
      </c>
      <c r="D56" s="103"/>
      <c r="E56" s="105"/>
      <c r="F56" s="102">
        <f t="shared" si="2"/>
        <v>0</v>
      </c>
      <c r="G56" s="93" t="e">
        <f t="shared" si="3"/>
        <v>#DIV/0!</v>
      </c>
    </row>
    <row r="57" spans="1:8" x14ac:dyDescent="0.2">
      <c r="A57" s="97" t="s">
        <v>958</v>
      </c>
      <c r="B57" s="98" t="str">
        <f>"Хаан банк"</f>
        <v>Хаан банк</v>
      </c>
      <c r="C57" s="99">
        <f t="shared" si="1"/>
        <v>50</v>
      </c>
      <c r="D57" s="103"/>
      <c r="E57" s="105"/>
      <c r="F57" s="102">
        <f t="shared" si="2"/>
        <v>0</v>
      </c>
      <c r="G57" s="93" t="e">
        <f t="shared" si="3"/>
        <v>#DIV/0!</v>
      </c>
    </row>
    <row r="58" spans="1:8" x14ac:dyDescent="0.2">
      <c r="A58" s="97" t="s">
        <v>959</v>
      </c>
      <c r="B58" s="98" t="str">
        <f>"Хас банк"</f>
        <v>Хас банк</v>
      </c>
      <c r="C58" s="99">
        <f t="shared" si="1"/>
        <v>51</v>
      </c>
      <c r="D58" s="103"/>
      <c r="E58" s="105"/>
      <c r="F58" s="102">
        <f t="shared" si="2"/>
        <v>0</v>
      </c>
      <c r="G58" s="93" t="e">
        <f t="shared" si="3"/>
        <v>#DIV/0!</v>
      </c>
    </row>
    <row r="59" spans="1:8" x14ac:dyDescent="0.2">
      <c r="A59" s="97" t="s">
        <v>960</v>
      </c>
      <c r="B59" s="98" t="str">
        <f>"Худалдаа хөгжлийн банк"</f>
        <v>Худалдаа хөгжлийн банк</v>
      </c>
      <c r="C59" s="99">
        <f t="shared" si="1"/>
        <v>52</v>
      </c>
      <c r="D59" s="103"/>
      <c r="E59" s="105"/>
      <c r="F59" s="102">
        <f t="shared" si="2"/>
        <v>0</v>
      </c>
      <c r="G59" s="93" t="e">
        <f t="shared" si="3"/>
        <v>#DIV/0!</v>
      </c>
    </row>
    <row r="60" spans="1:8" x14ac:dyDescent="0.2">
      <c r="A60" s="97" t="s">
        <v>961</v>
      </c>
      <c r="B60" s="98" t="str">
        <f>"Чингис хаан банк"</f>
        <v>Чингис хаан банк</v>
      </c>
      <c r="C60" s="99">
        <f t="shared" si="1"/>
        <v>53</v>
      </c>
      <c r="D60" s="103"/>
      <c r="E60" s="105"/>
      <c r="F60" s="102">
        <f t="shared" si="2"/>
        <v>0</v>
      </c>
      <c r="G60" s="93" t="e">
        <f t="shared" si="3"/>
        <v>#DIV/0!</v>
      </c>
    </row>
    <row r="61" spans="1:8" x14ac:dyDescent="0.2">
      <c r="A61" s="83">
        <f>+A48+1</f>
        <v>6</v>
      </c>
      <c r="B61" s="106" t="s">
        <v>962</v>
      </c>
      <c r="C61" s="86">
        <f>+C60+1</f>
        <v>54</v>
      </c>
      <c r="D61" s="96">
        <f>SUM(D62:D70)</f>
        <v>0</v>
      </c>
      <c r="E61" s="96">
        <f>SUM(E62:E70)</f>
        <v>0</v>
      </c>
      <c r="F61" s="92">
        <f t="shared" ref="F61:F82" si="4">SUM(D61+E61)</f>
        <v>0</v>
      </c>
      <c r="G61" s="93" t="e">
        <f t="shared" si="3"/>
        <v>#DIV/0!</v>
      </c>
    </row>
    <row r="62" spans="1:8" x14ac:dyDescent="0.2">
      <c r="A62" s="97" t="s">
        <v>963</v>
      </c>
      <c r="B62" s="107" t="s">
        <v>401</v>
      </c>
      <c r="C62" s="99">
        <f t="shared" ref="C62:C84" si="5">C61+1</f>
        <v>55</v>
      </c>
      <c r="D62" s="100"/>
      <c r="E62" s="100"/>
      <c r="F62" s="102">
        <f>SUM(D62+E62)</f>
        <v>0</v>
      </c>
      <c r="G62" s="93" t="e">
        <f t="shared" si="3"/>
        <v>#DIV/0!</v>
      </c>
    </row>
    <row r="63" spans="1:8" x14ac:dyDescent="0.2">
      <c r="A63" s="97" t="s">
        <v>964</v>
      </c>
      <c r="B63" s="107" t="s">
        <v>240</v>
      </c>
      <c r="C63" s="99">
        <f t="shared" si="5"/>
        <v>56</v>
      </c>
      <c r="D63" s="100"/>
      <c r="E63" s="100"/>
      <c r="F63" s="102">
        <f t="shared" si="4"/>
        <v>0</v>
      </c>
      <c r="G63" s="93" t="e">
        <f t="shared" si="3"/>
        <v>#DIV/0!</v>
      </c>
      <c r="H63" s="108" t="e">
        <f>+IF(G63&lt;0.6, "","журамд заасан хувиас хэтрүүлж байршуулсан")</f>
        <v>#DIV/0!</v>
      </c>
    </row>
    <row r="64" spans="1:8" x14ac:dyDescent="0.2">
      <c r="A64" s="97" t="s">
        <v>965</v>
      </c>
      <c r="B64" s="107" t="s">
        <v>246</v>
      </c>
      <c r="C64" s="99">
        <f t="shared" si="5"/>
        <v>57</v>
      </c>
      <c r="D64" s="100"/>
      <c r="E64" s="100"/>
      <c r="F64" s="102">
        <f t="shared" si="4"/>
        <v>0</v>
      </c>
      <c r="G64" s="93" t="e">
        <f t="shared" si="3"/>
        <v>#DIV/0!</v>
      </c>
      <c r="H64" s="108" t="e">
        <f>+IF(G64&lt;0.6, "","журамд заасан хувиас хэтрүүлж байршуулсан")</f>
        <v>#DIV/0!</v>
      </c>
    </row>
    <row r="65" spans="1:8" x14ac:dyDescent="0.2">
      <c r="A65" s="97" t="s">
        <v>966</v>
      </c>
      <c r="B65" s="107" t="s">
        <v>402</v>
      </c>
      <c r="C65" s="99">
        <f t="shared" si="5"/>
        <v>58</v>
      </c>
      <c r="D65" s="100"/>
      <c r="E65" s="100"/>
      <c r="F65" s="102">
        <f t="shared" si="4"/>
        <v>0</v>
      </c>
      <c r="G65" s="93" t="e">
        <f t="shared" si="3"/>
        <v>#DIV/0!</v>
      </c>
      <c r="H65" s="108" t="e">
        <f>+IF(G65&lt;0.6, "","журамд заасан хувиас хэтрүүлж байршуулсан")</f>
        <v>#DIV/0!</v>
      </c>
    </row>
    <row r="66" spans="1:8" x14ac:dyDescent="0.2">
      <c r="A66" s="97" t="s">
        <v>967</v>
      </c>
      <c r="B66" s="107" t="s">
        <v>403</v>
      </c>
      <c r="C66" s="99">
        <f t="shared" si="5"/>
        <v>59</v>
      </c>
      <c r="D66" s="100"/>
      <c r="E66" s="100"/>
      <c r="F66" s="102">
        <f t="shared" si="4"/>
        <v>0</v>
      </c>
      <c r="G66" s="93" t="e">
        <f t="shared" si="3"/>
        <v>#DIV/0!</v>
      </c>
      <c r="H66" s="108" t="e">
        <f>+IF(G66&lt;0.2, "","журамд заасан хувиас хэтрүүлж байршуулсан")</f>
        <v>#DIV/0!</v>
      </c>
    </row>
    <row r="67" spans="1:8" x14ac:dyDescent="0.2">
      <c r="A67" s="97" t="s">
        <v>968</v>
      </c>
      <c r="B67" s="107" t="s">
        <v>404</v>
      </c>
      <c r="C67" s="99">
        <f t="shared" si="5"/>
        <v>60</v>
      </c>
      <c r="D67" s="100"/>
      <c r="E67" s="100"/>
      <c r="F67" s="102">
        <f t="shared" si="4"/>
        <v>0</v>
      </c>
      <c r="G67" s="93" t="e">
        <f t="shared" si="3"/>
        <v>#DIV/0!</v>
      </c>
      <c r="H67" s="108" t="e">
        <f>+IF(G67&lt;0.1, "","журамд заасан хувиас хэтрүүлж байршуулсан")</f>
        <v>#DIV/0!</v>
      </c>
    </row>
    <row r="68" spans="1:8" x14ac:dyDescent="0.2">
      <c r="A68" s="97" t="s">
        <v>969</v>
      </c>
      <c r="B68" s="107" t="s">
        <v>405</v>
      </c>
      <c r="C68" s="99">
        <f t="shared" si="5"/>
        <v>61</v>
      </c>
      <c r="D68" s="100"/>
      <c r="E68" s="100"/>
      <c r="F68" s="102">
        <f t="shared" si="4"/>
        <v>0</v>
      </c>
      <c r="G68" s="93" t="e">
        <f t="shared" ref="G68:G84" si="6">F68/$F$84</f>
        <v>#DIV/0!</v>
      </c>
      <c r="H68" s="108" t="e">
        <f>+IF(G68&lt;0.05, "","журамд заасан хувиас хэтрүүлж байршуулсан")</f>
        <v>#DIV/0!</v>
      </c>
    </row>
    <row r="69" spans="1:8" ht="25.5" x14ac:dyDescent="0.2">
      <c r="A69" s="97" t="s">
        <v>970</v>
      </c>
      <c r="B69" s="107" t="s">
        <v>406</v>
      </c>
      <c r="C69" s="99">
        <f t="shared" si="5"/>
        <v>62</v>
      </c>
      <c r="D69" s="100"/>
      <c r="E69" s="100"/>
      <c r="F69" s="102">
        <f t="shared" si="4"/>
        <v>0</v>
      </c>
      <c r="G69" s="93" t="e">
        <f t="shared" si="6"/>
        <v>#DIV/0!</v>
      </c>
      <c r="H69" s="108" t="e">
        <f>+IF(G69&lt;0.2, "","журамд заасан хувиас хэтрүүлж байршуулсан")</f>
        <v>#DIV/0!</v>
      </c>
    </row>
    <row r="70" spans="1:8" x14ac:dyDescent="0.2">
      <c r="A70" s="97" t="s">
        <v>971</v>
      </c>
      <c r="B70" s="107" t="s">
        <v>735</v>
      </c>
      <c r="C70" s="99">
        <f t="shared" si="5"/>
        <v>63</v>
      </c>
      <c r="D70" s="100"/>
      <c r="E70" s="100"/>
      <c r="F70" s="102">
        <f t="shared" si="4"/>
        <v>0</v>
      </c>
      <c r="G70" s="93" t="e">
        <f t="shared" si="6"/>
        <v>#DIV/0!</v>
      </c>
    </row>
    <row r="71" spans="1:8" x14ac:dyDescent="0.2">
      <c r="A71" s="83">
        <f>+A61+1</f>
        <v>7</v>
      </c>
      <c r="B71" s="95" t="s">
        <v>244</v>
      </c>
      <c r="C71" s="86">
        <f t="shared" si="5"/>
        <v>64</v>
      </c>
      <c r="D71" s="96">
        <v>0</v>
      </c>
      <c r="E71" s="100"/>
      <c r="F71" s="92">
        <f t="shared" si="4"/>
        <v>0</v>
      </c>
      <c r="G71" s="93" t="e">
        <f t="shared" si="6"/>
        <v>#DIV/0!</v>
      </c>
      <c r="H71" s="108" t="e">
        <f>+IF(G71&lt;0.1, "","журамд заасан хувиас хэтрүүлж байршуулсан")</f>
        <v>#DIV/0!</v>
      </c>
    </row>
    <row r="72" spans="1:8" ht="25.5" x14ac:dyDescent="0.2">
      <c r="A72" s="83" t="s">
        <v>243</v>
      </c>
      <c r="B72" s="95" t="s">
        <v>972</v>
      </c>
      <c r="C72" s="86">
        <f t="shared" si="5"/>
        <v>65</v>
      </c>
      <c r="D72" s="96">
        <v>0</v>
      </c>
      <c r="E72" s="96">
        <f>SUM(E73:E82)</f>
        <v>0</v>
      </c>
      <c r="F72" s="109">
        <f t="shared" si="4"/>
        <v>0</v>
      </c>
      <c r="G72" s="93" t="e">
        <f t="shared" si="6"/>
        <v>#DIV/0!</v>
      </c>
      <c r="H72" s="108" t="e">
        <f>+IF(G72&lt;0.2, "","журамд заасан хувиас хэтрүүлж байршуулсан")</f>
        <v>#DIV/0!</v>
      </c>
    </row>
    <row r="73" spans="1:8" x14ac:dyDescent="0.2">
      <c r="A73" s="110" t="s">
        <v>973</v>
      </c>
      <c r="B73" s="107" t="s">
        <v>974</v>
      </c>
      <c r="C73" s="111">
        <f t="shared" si="5"/>
        <v>66</v>
      </c>
      <c r="D73" s="101"/>
      <c r="E73" s="100"/>
      <c r="F73" s="102">
        <f t="shared" si="4"/>
        <v>0</v>
      </c>
      <c r="G73" s="93" t="e">
        <f t="shared" si="6"/>
        <v>#DIV/0!</v>
      </c>
    </row>
    <row r="74" spans="1:8" x14ac:dyDescent="0.2">
      <c r="A74" s="112">
        <f>+A73+0.1</f>
        <v>8.1999999999999993</v>
      </c>
      <c r="B74" s="107" t="s">
        <v>974</v>
      </c>
      <c r="C74" s="111">
        <f t="shared" si="5"/>
        <v>67</v>
      </c>
      <c r="D74" s="101"/>
      <c r="E74" s="100"/>
      <c r="F74" s="102">
        <f t="shared" si="4"/>
        <v>0</v>
      </c>
      <c r="G74" s="93" t="e">
        <f t="shared" si="6"/>
        <v>#DIV/0!</v>
      </c>
    </row>
    <row r="75" spans="1:8" x14ac:dyDescent="0.2">
      <c r="A75" s="112">
        <f t="shared" ref="A75:A81" si="7">+A74+0.1</f>
        <v>8.2999999999999989</v>
      </c>
      <c r="B75" s="107" t="s">
        <v>974</v>
      </c>
      <c r="C75" s="111">
        <f t="shared" si="5"/>
        <v>68</v>
      </c>
      <c r="D75" s="101"/>
      <c r="E75" s="100"/>
      <c r="F75" s="102">
        <f t="shared" si="4"/>
        <v>0</v>
      </c>
      <c r="G75" s="93" t="e">
        <f t="shared" si="6"/>
        <v>#DIV/0!</v>
      </c>
    </row>
    <row r="76" spans="1:8" x14ac:dyDescent="0.2">
      <c r="A76" s="112">
        <f t="shared" si="7"/>
        <v>8.3999999999999986</v>
      </c>
      <c r="B76" s="107" t="s">
        <v>974</v>
      </c>
      <c r="C76" s="111">
        <f t="shared" si="5"/>
        <v>69</v>
      </c>
      <c r="D76" s="101"/>
      <c r="E76" s="100"/>
      <c r="F76" s="102">
        <f t="shared" si="4"/>
        <v>0</v>
      </c>
      <c r="G76" s="93" t="e">
        <f t="shared" si="6"/>
        <v>#DIV/0!</v>
      </c>
    </row>
    <row r="77" spans="1:8" x14ac:dyDescent="0.2">
      <c r="A77" s="112">
        <f t="shared" si="7"/>
        <v>8.4999999999999982</v>
      </c>
      <c r="B77" s="107" t="s">
        <v>974</v>
      </c>
      <c r="C77" s="111">
        <f t="shared" si="5"/>
        <v>70</v>
      </c>
      <c r="D77" s="101"/>
      <c r="E77" s="100"/>
      <c r="F77" s="102">
        <f t="shared" si="4"/>
        <v>0</v>
      </c>
      <c r="G77" s="93" t="e">
        <f t="shared" si="6"/>
        <v>#DIV/0!</v>
      </c>
    </row>
    <row r="78" spans="1:8" x14ac:dyDescent="0.2">
      <c r="A78" s="112">
        <f t="shared" si="7"/>
        <v>8.5999999999999979</v>
      </c>
      <c r="B78" s="107" t="s">
        <v>974</v>
      </c>
      <c r="C78" s="111">
        <f t="shared" si="5"/>
        <v>71</v>
      </c>
      <c r="D78" s="101"/>
      <c r="E78" s="100"/>
      <c r="F78" s="102">
        <f t="shared" si="4"/>
        <v>0</v>
      </c>
      <c r="G78" s="93" t="e">
        <f t="shared" si="6"/>
        <v>#DIV/0!</v>
      </c>
    </row>
    <row r="79" spans="1:8" x14ac:dyDescent="0.2">
      <c r="A79" s="112">
        <f t="shared" si="7"/>
        <v>8.6999999999999975</v>
      </c>
      <c r="B79" s="107" t="s">
        <v>974</v>
      </c>
      <c r="C79" s="111">
        <f t="shared" si="5"/>
        <v>72</v>
      </c>
      <c r="D79" s="101"/>
      <c r="E79" s="100"/>
      <c r="F79" s="102">
        <f t="shared" si="4"/>
        <v>0</v>
      </c>
      <c r="G79" s="93" t="e">
        <f t="shared" si="6"/>
        <v>#DIV/0!</v>
      </c>
    </row>
    <row r="80" spans="1:8" x14ac:dyDescent="0.2">
      <c r="A80" s="112">
        <f t="shared" si="7"/>
        <v>8.7999999999999972</v>
      </c>
      <c r="B80" s="107" t="s">
        <v>974</v>
      </c>
      <c r="C80" s="111">
        <f t="shared" si="5"/>
        <v>73</v>
      </c>
      <c r="D80" s="101"/>
      <c r="E80" s="100"/>
      <c r="F80" s="102">
        <f t="shared" si="4"/>
        <v>0</v>
      </c>
      <c r="G80" s="93" t="e">
        <f t="shared" si="6"/>
        <v>#DIV/0!</v>
      </c>
    </row>
    <row r="81" spans="1:8" x14ac:dyDescent="0.2">
      <c r="A81" s="112">
        <f t="shared" si="7"/>
        <v>8.8999999999999968</v>
      </c>
      <c r="B81" s="107" t="s">
        <v>974</v>
      </c>
      <c r="C81" s="111">
        <f t="shared" si="5"/>
        <v>74</v>
      </c>
      <c r="D81" s="101"/>
      <c r="E81" s="100"/>
      <c r="F81" s="102">
        <f t="shared" si="4"/>
        <v>0</v>
      </c>
      <c r="G81" s="93" t="e">
        <f t="shared" si="6"/>
        <v>#DIV/0!</v>
      </c>
    </row>
    <row r="82" spans="1:8" x14ac:dyDescent="0.2">
      <c r="A82" s="110">
        <v>8.1</v>
      </c>
      <c r="B82" s="107" t="s">
        <v>974</v>
      </c>
      <c r="C82" s="111">
        <f t="shared" si="5"/>
        <v>75</v>
      </c>
      <c r="D82" s="101"/>
      <c r="E82" s="100"/>
      <c r="F82" s="102">
        <f t="shared" si="4"/>
        <v>0</v>
      </c>
      <c r="G82" s="93" t="e">
        <f t="shared" si="6"/>
        <v>#DIV/0!</v>
      </c>
    </row>
    <row r="83" spans="1:8" ht="25.5" x14ac:dyDescent="0.2">
      <c r="A83" s="83">
        <f>+A72+1</f>
        <v>9</v>
      </c>
      <c r="B83" s="84" t="s">
        <v>975</v>
      </c>
      <c r="C83" s="86">
        <f t="shared" si="5"/>
        <v>76</v>
      </c>
      <c r="D83" s="96">
        <v>0</v>
      </c>
      <c r="E83" s="100"/>
      <c r="F83" s="92">
        <f>+D83+E83</f>
        <v>0</v>
      </c>
      <c r="G83" s="113" t="e">
        <f t="shared" si="6"/>
        <v>#DIV/0!</v>
      </c>
      <c r="H83" s="108" t="e">
        <f>+IF(G83&lt;0.3, "","журамд заасан хувиас хэтрүүлж байршуулсан")</f>
        <v>#DIV/0!</v>
      </c>
    </row>
    <row r="84" spans="1:8" x14ac:dyDescent="0.2">
      <c r="A84" s="83" t="s">
        <v>247</v>
      </c>
      <c r="B84" s="84" t="s">
        <v>746</v>
      </c>
      <c r="C84" s="86">
        <f t="shared" si="5"/>
        <v>77</v>
      </c>
      <c r="D84" s="114">
        <f>SUM(D8,D9,D22,D35,D48,D61,D71,D72,D83)</f>
        <v>0</v>
      </c>
      <c r="E84" s="114">
        <f>SUM(E8,E9,E22,E35,E48,E61,E71,E72,E83)</f>
        <v>0</v>
      </c>
      <c r="F84" s="115">
        <f>+F8+F9+F22+F35+F48+F61+F71+F72+F83</f>
        <v>0</v>
      </c>
      <c r="G84" s="93" t="e">
        <f t="shared" si="6"/>
        <v>#DIV/0!</v>
      </c>
    </row>
    <row r="85" spans="1:8" x14ac:dyDescent="0.2">
      <c r="A85" s="116"/>
      <c r="B85" s="117"/>
      <c r="C85" s="118"/>
      <c r="D85" s="119"/>
      <c r="E85" s="119"/>
      <c r="F85" s="119"/>
      <c r="G85" s="120"/>
    </row>
    <row r="86" spans="1:8" x14ac:dyDescent="0.2">
      <c r="B86" s="2" t="s">
        <v>285</v>
      </c>
      <c r="C86" s="272"/>
      <c r="D86" s="4"/>
      <c r="E86" s="4"/>
      <c r="F86" s="122"/>
    </row>
    <row r="87" spans="1:8" x14ac:dyDescent="0.2">
      <c r="B87" s="5"/>
      <c r="C87" s="272"/>
      <c r="D87" s="4"/>
      <c r="E87" s="4"/>
      <c r="F87" s="123"/>
    </row>
    <row r="88" spans="1:8" x14ac:dyDescent="0.2">
      <c r="B88" s="5" t="s">
        <v>286</v>
      </c>
      <c r="C88" s="272"/>
      <c r="D88" s="4"/>
      <c r="E88" s="4"/>
      <c r="F88" s="123"/>
    </row>
    <row r="89" spans="1:8" x14ac:dyDescent="0.2">
      <c r="B89" s="5"/>
      <c r="C89" s="272"/>
      <c r="D89" s="4"/>
      <c r="E89" s="4"/>
      <c r="F89" s="123"/>
    </row>
    <row r="90" spans="1:8" x14ac:dyDescent="0.2">
      <c r="B90" s="6" t="s">
        <v>287</v>
      </c>
      <c r="C90" s="520" t="s">
        <v>288</v>
      </c>
      <c r="D90" s="520"/>
      <c r="E90" s="4" t="s">
        <v>289</v>
      </c>
      <c r="F90" s="123"/>
    </row>
    <row r="91" spans="1:8" x14ac:dyDescent="0.2">
      <c r="B91" s="5"/>
      <c r="C91" s="520"/>
      <c r="D91" s="520"/>
      <c r="E91" s="4"/>
      <c r="F91" s="123"/>
    </row>
    <row r="92" spans="1:8" x14ac:dyDescent="0.2">
      <c r="B92" s="6" t="s">
        <v>290</v>
      </c>
      <c r="C92" s="520" t="s">
        <v>291</v>
      </c>
      <c r="D92" s="520"/>
      <c r="E92" s="4" t="s">
        <v>292</v>
      </c>
      <c r="F92" s="123"/>
    </row>
    <row r="93" spans="1:8" x14ac:dyDescent="0.2">
      <c r="B93" s="5"/>
      <c r="C93" s="520"/>
      <c r="D93" s="520"/>
      <c r="E93" s="4"/>
      <c r="F93" s="123"/>
    </row>
    <row r="94" spans="1:8" x14ac:dyDescent="0.2">
      <c r="B94" s="6" t="s">
        <v>293</v>
      </c>
      <c r="C94" s="520" t="s">
        <v>288</v>
      </c>
      <c r="D94" s="520"/>
      <c r="E94" s="4" t="s">
        <v>292</v>
      </c>
      <c r="F94" s="123"/>
    </row>
    <row r="95" spans="1:8" x14ac:dyDescent="0.2">
      <c r="B95" s="123"/>
      <c r="C95" s="123"/>
      <c r="D95" s="123"/>
      <c r="E95" s="123"/>
      <c r="F95" s="123"/>
    </row>
    <row r="96" spans="1:8" x14ac:dyDescent="0.2">
      <c r="B96" s="123"/>
      <c r="C96" s="123"/>
      <c r="D96" s="123"/>
      <c r="E96" s="123"/>
      <c r="F96" s="123"/>
    </row>
    <row r="97" spans="2:6" x14ac:dyDescent="0.2">
      <c r="B97" s="123"/>
      <c r="C97" s="123"/>
      <c r="D97" s="123"/>
      <c r="E97" s="123"/>
      <c r="F97" s="123"/>
    </row>
  </sheetData>
  <sheetProtection password="CA9F" sheet="1" objects="1" scenarios="1"/>
  <mergeCells count="10">
    <mergeCell ref="C92:D92"/>
    <mergeCell ref="C93:D93"/>
    <mergeCell ref="C94:D94"/>
    <mergeCell ref="F5:G5"/>
    <mergeCell ref="A1:G1"/>
    <mergeCell ref="A2:G2"/>
    <mergeCell ref="A4:D4"/>
    <mergeCell ref="F4:G4"/>
    <mergeCell ref="C90:D90"/>
    <mergeCell ref="C91:D91"/>
  </mergeCells>
  <dataValidations count="1">
    <dataValidation type="decimal" allowBlank="1" showInputMessage="1" showErrorMessage="1" sqref="D65540:F65620 IZ65540:JB65620 SV65540:SX65620 ACR65540:ACT65620 AMN65540:AMP65620 AWJ65540:AWL65620 BGF65540:BGH65620 BQB65540:BQD65620 BZX65540:BZZ65620 CJT65540:CJV65620 CTP65540:CTR65620 DDL65540:DDN65620 DNH65540:DNJ65620 DXD65540:DXF65620 EGZ65540:EHB65620 EQV65540:EQX65620 FAR65540:FAT65620 FKN65540:FKP65620 FUJ65540:FUL65620 GEF65540:GEH65620 GOB65540:GOD65620 GXX65540:GXZ65620 HHT65540:HHV65620 HRP65540:HRR65620 IBL65540:IBN65620 ILH65540:ILJ65620 IVD65540:IVF65620 JEZ65540:JFB65620 JOV65540:JOX65620 JYR65540:JYT65620 KIN65540:KIP65620 KSJ65540:KSL65620 LCF65540:LCH65620 LMB65540:LMD65620 LVX65540:LVZ65620 MFT65540:MFV65620 MPP65540:MPR65620 MZL65540:MZN65620 NJH65540:NJJ65620 NTD65540:NTF65620 OCZ65540:ODB65620 OMV65540:OMX65620 OWR65540:OWT65620 PGN65540:PGP65620 PQJ65540:PQL65620 QAF65540:QAH65620 QKB65540:QKD65620 QTX65540:QTZ65620 RDT65540:RDV65620 RNP65540:RNR65620 RXL65540:RXN65620 SHH65540:SHJ65620 SRD65540:SRF65620 TAZ65540:TBB65620 TKV65540:TKX65620 TUR65540:TUT65620 UEN65540:UEP65620 UOJ65540:UOL65620 UYF65540:UYH65620 VIB65540:VID65620 VRX65540:VRZ65620 WBT65540:WBV65620 WLP65540:WLR65620 WVL65540:WVN65620 D131076:F131156 IZ131076:JB131156 SV131076:SX131156 ACR131076:ACT131156 AMN131076:AMP131156 AWJ131076:AWL131156 BGF131076:BGH131156 BQB131076:BQD131156 BZX131076:BZZ131156 CJT131076:CJV131156 CTP131076:CTR131156 DDL131076:DDN131156 DNH131076:DNJ131156 DXD131076:DXF131156 EGZ131076:EHB131156 EQV131076:EQX131156 FAR131076:FAT131156 FKN131076:FKP131156 FUJ131076:FUL131156 GEF131076:GEH131156 GOB131076:GOD131156 GXX131076:GXZ131156 HHT131076:HHV131156 HRP131076:HRR131156 IBL131076:IBN131156 ILH131076:ILJ131156 IVD131076:IVF131156 JEZ131076:JFB131156 JOV131076:JOX131156 JYR131076:JYT131156 KIN131076:KIP131156 KSJ131076:KSL131156 LCF131076:LCH131156 LMB131076:LMD131156 LVX131076:LVZ131156 MFT131076:MFV131156 MPP131076:MPR131156 MZL131076:MZN131156 NJH131076:NJJ131156 NTD131076:NTF131156 OCZ131076:ODB131156 OMV131076:OMX131156 OWR131076:OWT131156 PGN131076:PGP131156 PQJ131076:PQL131156 QAF131076:QAH131156 QKB131076:QKD131156 QTX131076:QTZ131156 RDT131076:RDV131156 RNP131076:RNR131156 RXL131076:RXN131156 SHH131076:SHJ131156 SRD131076:SRF131156 TAZ131076:TBB131156 TKV131076:TKX131156 TUR131076:TUT131156 UEN131076:UEP131156 UOJ131076:UOL131156 UYF131076:UYH131156 VIB131076:VID131156 VRX131076:VRZ131156 WBT131076:WBV131156 WLP131076:WLR131156 WVL131076:WVN131156 D196612:F196692 IZ196612:JB196692 SV196612:SX196692 ACR196612:ACT196692 AMN196612:AMP196692 AWJ196612:AWL196692 BGF196612:BGH196692 BQB196612:BQD196692 BZX196612:BZZ196692 CJT196612:CJV196692 CTP196612:CTR196692 DDL196612:DDN196692 DNH196612:DNJ196692 DXD196612:DXF196692 EGZ196612:EHB196692 EQV196612:EQX196692 FAR196612:FAT196692 FKN196612:FKP196692 FUJ196612:FUL196692 GEF196612:GEH196692 GOB196612:GOD196692 GXX196612:GXZ196692 HHT196612:HHV196692 HRP196612:HRR196692 IBL196612:IBN196692 ILH196612:ILJ196692 IVD196612:IVF196692 JEZ196612:JFB196692 JOV196612:JOX196692 JYR196612:JYT196692 KIN196612:KIP196692 KSJ196612:KSL196692 LCF196612:LCH196692 LMB196612:LMD196692 LVX196612:LVZ196692 MFT196612:MFV196692 MPP196612:MPR196692 MZL196612:MZN196692 NJH196612:NJJ196692 NTD196612:NTF196692 OCZ196612:ODB196692 OMV196612:OMX196692 OWR196612:OWT196692 PGN196612:PGP196692 PQJ196612:PQL196692 QAF196612:QAH196692 QKB196612:QKD196692 QTX196612:QTZ196692 RDT196612:RDV196692 RNP196612:RNR196692 RXL196612:RXN196692 SHH196612:SHJ196692 SRD196612:SRF196692 TAZ196612:TBB196692 TKV196612:TKX196692 TUR196612:TUT196692 UEN196612:UEP196692 UOJ196612:UOL196692 UYF196612:UYH196692 VIB196612:VID196692 VRX196612:VRZ196692 WBT196612:WBV196692 WLP196612:WLR196692 WVL196612:WVN196692 D262148:F262228 IZ262148:JB262228 SV262148:SX262228 ACR262148:ACT262228 AMN262148:AMP262228 AWJ262148:AWL262228 BGF262148:BGH262228 BQB262148:BQD262228 BZX262148:BZZ262228 CJT262148:CJV262228 CTP262148:CTR262228 DDL262148:DDN262228 DNH262148:DNJ262228 DXD262148:DXF262228 EGZ262148:EHB262228 EQV262148:EQX262228 FAR262148:FAT262228 FKN262148:FKP262228 FUJ262148:FUL262228 GEF262148:GEH262228 GOB262148:GOD262228 GXX262148:GXZ262228 HHT262148:HHV262228 HRP262148:HRR262228 IBL262148:IBN262228 ILH262148:ILJ262228 IVD262148:IVF262228 JEZ262148:JFB262228 JOV262148:JOX262228 JYR262148:JYT262228 KIN262148:KIP262228 KSJ262148:KSL262228 LCF262148:LCH262228 LMB262148:LMD262228 LVX262148:LVZ262228 MFT262148:MFV262228 MPP262148:MPR262228 MZL262148:MZN262228 NJH262148:NJJ262228 NTD262148:NTF262228 OCZ262148:ODB262228 OMV262148:OMX262228 OWR262148:OWT262228 PGN262148:PGP262228 PQJ262148:PQL262228 QAF262148:QAH262228 QKB262148:QKD262228 QTX262148:QTZ262228 RDT262148:RDV262228 RNP262148:RNR262228 RXL262148:RXN262228 SHH262148:SHJ262228 SRD262148:SRF262228 TAZ262148:TBB262228 TKV262148:TKX262228 TUR262148:TUT262228 UEN262148:UEP262228 UOJ262148:UOL262228 UYF262148:UYH262228 VIB262148:VID262228 VRX262148:VRZ262228 WBT262148:WBV262228 WLP262148:WLR262228 WVL262148:WVN262228 D327684:F327764 IZ327684:JB327764 SV327684:SX327764 ACR327684:ACT327764 AMN327684:AMP327764 AWJ327684:AWL327764 BGF327684:BGH327764 BQB327684:BQD327764 BZX327684:BZZ327764 CJT327684:CJV327764 CTP327684:CTR327764 DDL327684:DDN327764 DNH327684:DNJ327764 DXD327684:DXF327764 EGZ327684:EHB327764 EQV327684:EQX327764 FAR327684:FAT327764 FKN327684:FKP327764 FUJ327684:FUL327764 GEF327684:GEH327764 GOB327684:GOD327764 GXX327684:GXZ327764 HHT327684:HHV327764 HRP327684:HRR327764 IBL327684:IBN327764 ILH327684:ILJ327764 IVD327684:IVF327764 JEZ327684:JFB327764 JOV327684:JOX327764 JYR327684:JYT327764 KIN327684:KIP327764 KSJ327684:KSL327764 LCF327684:LCH327764 LMB327684:LMD327764 LVX327684:LVZ327764 MFT327684:MFV327764 MPP327684:MPR327764 MZL327684:MZN327764 NJH327684:NJJ327764 NTD327684:NTF327764 OCZ327684:ODB327764 OMV327684:OMX327764 OWR327684:OWT327764 PGN327684:PGP327764 PQJ327684:PQL327764 QAF327684:QAH327764 QKB327684:QKD327764 QTX327684:QTZ327764 RDT327684:RDV327764 RNP327684:RNR327764 RXL327684:RXN327764 SHH327684:SHJ327764 SRD327684:SRF327764 TAZ327684:TBB327764 TKV327684:TKX327764 TUR327684:TUT327764 UEN327684:UEP327764 UOJ327684:UOL327764 UYF327684:UYH327764 VIB327684:VID327764 VRX327684:VRZ327764 WBT327684:WBV327764 WLP327684:WLR327764 WVL327684:WVN327764 D393220:F393300 IZ393220:JB393300 SV393220:SX393300 ACR393220:ACT393300 AMN393220:AMP393300 AWJ393220:AWL393300 BGF393220:BGH393300 BQB393220:BQD393300 BZX393220:BZZ393300 CJT393220:CJV393300 CTP393220:CTR393300 DDL393220:DDN393300 DNH393220:DNJ393300 DXD393220:DXF393300 EGZ393220:EHB393300 EQV393220:EQX393300 FAR393220:FAT393300 FKN393220:FKP393300 FUJ393220:FUL393300 GEF393220:GEH393300 GOB393220:GOD393300 GXX393220:GXZ393300 HHT393220:HHV393300 HRP393220:HRR393300 IBL393220:IBN393300 ILH393220:ILJ393300 IVD393220:IVF393300 JEZ393220:JFB393300 JOV393220:JOX393300 JYR393220:JYT393300 KIN393220:KIP393300 KSJ393220:KSL393300 LCF393220:LCH393300 LMB393220:LMD393300 LVX393220:LVZ393300 MFT393220:MFV393300 MPP393220:MPR393300 MZL393220:MZN393300 NJH393220:NJJ393300 NTD393220:NTF393300 OCZ393220:ODB393300 OMV393220:OMX393300 OWR393220:OWT393300 PGN393220:PGP393300 PQJ393220:PQL393300 QAF393220:QAH393300 QKB393220:QKD393300 QTX393220:QTZ393300 RDT393220:RDV393300 RNP393220:RNR393300 RXL393220:RXN393300 SHH393220:SHJ393300 SRD393220:SRF393300 TAZ393220:TBB393300 TKV393220:TKX393300 TUR393220:TUT393300 UEN393220:UEP393300 UOJ393220:UOL393300 UYF393220:UYH393300 VIB393220:VID393300 VRX393220:VRZ393300 WBT393220:WBV393300 WLP393220:WLR393300 WVL393220:WVN393300 D458756:F458836 IZ458756:JB458836 SV458756:SX458836 ACR458756:ACT458836 AMN458756:AMP458836 AWJ458756:AWL458836 BGF458756:BGH458836 BQB458756:BQD458836 BZX458756:BZZ458836 CJT458756:CJV458836 CTP458756:CTR458836 DDL458756:DDN458836 DNH458756:DNJ458836 DXD458756:DXF458836 EGZ458756:EHB458836 EQV458756:EQX458836 FAR458756:FAT458836 FKN458756:FKP458836 FUJ458756:FUL458836 GEF458756:GEH458836 GOB458756:GOD458836 GXX458756:GXZ458836 HHT458756:HHV458836 HRP458756:HRR458836 IBL458756:IBN458836 ILH458756:ILJ458836 IVD458756:IVF458836 JEZ458756:JFB458836 JOV458756:JOX458836 JYR458756:JYT458836 KIN458756:KIP458836 KSJ458756:KSL458836 LCF458756:LCH458836 LMB458756:LMD458836 LVX458756:LVZ458836 MFT458756:MFV458836 MPP458756:MPR458836 MZL458756:MZN458836 NJH458756:NJJ458836 NTD458756:NTF458836 OCZ458756:ODB458836 OMV458756:OMX458836 OWR458756:OWT458836 PGN458756:PGP458836 PQJ458756:PQL458836 QAF458756:QAH458836 QKB458756:QKD458836 QTX458756:QTZ458836 RDT458756:RDV458836 RNP458756:RNR458836 RXL458756:RXN458836 SHH458756:SHJ458836 SRD458756:SRF458836 TAZ458756:TBB458836 TKV458756:TKX458836 TUR458756:TUT458836 UEN458756:UEP458836 UOJ458756:UOL458836 UYF458756:UYH458836 VIB458756:VID458836 VRX458756:VRZ458836 WBT458756:WBV458836 WLP458756:WLR458836 WVL458756:WVN458836 D524292:F524372 IZ524292:JB524372 SV524292:SX524372 ACR524292:ACT524372 AMN524292:AMP524372 AWJ524292:AWL524372 BGF524292:BGH524372 BQB524292:BQD524372 BZX524292:BZZ524372 CJT524292:CJV524372 CTP524292:CTR524372 DDL524292:DDN524372 DNH524292:DNJ524372 DXD524292:DXF524372 EGZ524292:EHB524372 EQV524292:EQX524372 FAR524292:FAT524372 FKN524292:FKP524372 FUJ524292:FUL524372 GEF524292:GEH524372 GOB524292:GOD524372 GXX524292:GXZ524372 HHT524292:HHV524372 HRP524292:HRR524372 IBL524292:IBN524372 ILH524292:ILJ524372 IVD524292:IVF524372 JEZ524292:JFB524372 JOV524292:JOX524372 JYR524292:JYT524372 KIN524292:KIP524372 KSJ524292:KSL524372 LCF524292:LCH524372 LMB524292:LMD524372 LVX524292:LVZ524372 MFT524292:MFV524372 MPP524292:MPR524372 MZL524292:MZN524372 NJH524292:NJJ524372 NTD524292:NTF524372 OCZ524292:ODB524372 OMV524292:OMX524372 OWR524292:OWT524372 PGN524292:PGP524372 PQJ524292:PQL524372 QAF524292:QAH524372 QKB524292:QKD524372 QTX524292:QTZ524372 RDT524292:RDV524372 RNP524292:RNR524372 RXL524292:RXN524372 SHH524292:SHJ524372 SRD524292:SRF524372 TAZ524292:TBB524372 TKV524292:TKX524372 TUR524292:TUT524372 UEN524292:UEP524372 UOJ524292:UOL524372 UYF524292:UYH524372 VIB524292:VID524372 VRX524292:VRZ524372 WBT524292:WBV524372 WLP524292:WLR524372 WVL524292:WVN524372 D589828:F589908 IZ589828:JB589908 SV589828:SX589908 ACR589828:ACT589908 AMN589828:AMP589908 AWJ589828:AWL589908 BGF589828:BGH589908 BQB589828:BQD589908 BZX589828:BZZ589908 CJT589828:CJV589908 CTP589828:CTR589908 DDL589828:DDN589908 DNH589828:DNJ589908 DXD589828:DXF589908 EGZ589828:EHB589908 EQV589828:EQX589908 FAR589828:FAT589908 FKN589828:FKP589908 FUJ589828:FUL589908 GEF589828:GEH589908 GOB589828:GOD589908 GXX589828:GXZ589908 HHT589828:HHV589908 HRP589828:HRR589908 IBL589828:IBN589908 ILH589828:ILJ589908 IVD589828:IVF589908 JEZ589828:JFB589908 JOV589828:JOX589908 JYR589828:JYT589908 KIN589828:KIP589908 KSJ589828:KSL589908 LCF589828:LCH589908 LMB589828:LMD589908 LVX589828:LVZ589908 MFT589828:MFV589908 MPP589828:MPR589908 MZL589828:MZN589908 NJH589828:NJJ589908 NTD589828:NTF589908 OCZ589828:ODB589908 OMV589828:OMX589908 OWR589828:OWT589908 PGN589828:PGP589908 PQJ589828:PQL589908 QAF589828:QAH589908 QKB589828:QKD589908 QTX589828:QTZ589908 RDT589828:RDV589908 RNP589828:RNR589908 RXL589828:RXN589908 SHH589828:SHJ589908 SRD589828:SRF589908 TAZ589828:TBB589908 TKV589828:TKX589908 TUR589828:TUT589908 UEN589828:UEP589908 UOJ589828:UOL589908 UYF589828:UYH589908 VIB589828:VID589908 VRX589828:VRZ589908 WBT589828:WBV589908 WLP589828:WLR589908 WVL589828:WVN589908 D655364:F655444 IZ655364:JB655444 SV655364:SX655444 ACR655364:ACT655444 AMN655364:AMP655444 AWJ655364:AWL655444 BGF655364:BGH655444 BQB655364:BQD655444 BZX655364:BZZ655444 CJT655364:CJV655444 CTP655364:CTR655444 DDL655364:DDN655444 DNH655364:DNJ655444 DXD655364:DXF655444 EGZ655364:EHB655444 EQV655364:EQX655444 FAR655364:FAT655444 FKN655364:FKP655444 FUJ655364:FUL655444 GEF655364:GEH655444 GOB655364:GOD655444 GXX655364:GXZ655444 HHT655364:HHV655444 HRP655364:HRR655444 IBL655364:IBN655444 ILH655364:ILJ655444 IVD655364:IVF655444 JEZ655364:JFB655444 JOV655364:JOX655444 JYR655364:JYT655444 KIN655364:KIP655444 KSJ655364:KSL655444 LCF655364:LCH655444 LMB655364:LMD655444 LVX655364:LVZ655444 MFT655364:MFV655444 MPP655364:MPR655444 MZL655364:MZN655444 NJH655364:NJJ655444 NTD655364:NTF655444 OCZ655364:ODB655444 OMV655364:OMX655444 OWR655364:OWT655444 PGN655364:PGP655444 PQJ655364:PQL655444 QAF655364:QAH655444 QKB655364:QKD655444 QTX655364:QTZ655444 RDT655364:RDV655444 RNP655364:RNR655444 RXL655364:RXN655444 SHH655364:SHJ655444 SRD655364:SRF655444 TAZ655364:TBB655444 TKV655364:TKX655444 TUR655364:TUT655444 UEN655364:UEP655444 UOJ655364:UOL655444 UYF655364:UYH655444 VIB655364:VID655444 VRX655364:VRZ655444 WBT655364:WBV655444 WLP655364:WLR655444 WVL655364:WVN655444 D720900:F720980 IZ720900:JB720980 SV720900:SX720980 ACR720900:ACT720980 AMN720900:AMP720980 AWJ720900:AWL720980 BGF720900:BGH720980 BQB720900:BQD720980 BZX720900:BZZ720980 CJT720900:CJV720980 CTP720900:CTR720980 DDL720900:DDN720980 DNH720900:DNJ720980 DXD720900:DXF720980 EGZ720900:EHB720980 EQV720900:EQX720980 FAR720900:FAT720980 FKN720900:FKP720980 FUJ720900:FUL720980 GEF720900:GEH720980 GOB720900:GOD720980 GXX720900:GXZ720980 HHT720900:HHV720980 HRP720900:HRR720980 IBL720900:IBN720980 ILH720900:ILJ720980 IVD720900:IVF720980 JEZ720900:JFB720980 JOV720900:JOX720980 JYR720900:JYT720980 KIN720900:KIP720980 KSJ720900:KSL720980 LCF720900:LCH720980 LMB720900:LMD720980 LVX720900:LVZ720980 MFT720900:MFV720980 MPP720900:MPR720980 MZL720900:MZN720980 NJH720900:NJJ720980 NTD720900:NTF720980 OCZ720900:ODB720980 OMV720900:OMX720980 OWR720900:OWT720980 PGN720900:PGP720980 PQJ720900:PQL720980 QAF720900:QAH720980 QKB720900:QKD720980 QTX720900:QTZ720980 RDT720900:RDV720980 RNP720900:RNR720980 RXL720900:RXN720980 SHH720900:SHJ720980 SRD720900:SRF720980 TAZ720900:TBB720980 TKV720900:TKX720980 TUR720900:TUT720980 UEN720900:UEP720980 UOJ720900:UOL720980 UYF720900:UYH720980 VIB720900:VID720980 VRX720900:VRZ720980 WBT720900:WBV720980 WLP720900:WLR720980 WVL720900:WVN720980 D786436:F786516 IZ786436:JB786516 SV786436:SX786516 ACR786436:ACT786516 AMN786436:AMP786516 AWJ786436:AWL786516 BGF786436:BGH786516 BQB786436:BQD786516 BZX786436:BZZ786516 CJT786436:CJV786516 CTP786436:CTR786516 DDL786436:DDN786516 DNH786436:DNJ786516 DXD786436:DXF786516 EGZ786436:EHB786516 EQV786436:EQX786516 FAR786436:FAT786516 FKN786436:FKP786516 FUJ786436:FUL786516 GEF786436:GEH786516 GOB786436:GOD786516 GXX786436:GXZ786516 HHT786436:HHV786516 HRP786436:HRR786516 IBL786436:IBN786516 ILH786436:ILJ786516 IVD786436:IVF786516 JEZ786436:JFB786516 JOV786436:JOX786516 JYR786436:JYT786516 KIN786436:KIP786516 KSJ786436:KSL786516 LCF786436:LCH786516 LMB786436:LMD786516 LVX786436:LVZ786516 MFT786436:MFV786516 MPP786436:MPR786516 MZL786436:MZN786516 NJH786436:NJJ786516 NTD786436:NTF786516 OCZ786436:ODB786516 OMV786436:OMX786516 OWR786436:OWT786516 PGN786436:PGP786516 PQJ786436:PQL786516 QAF786436:QAH786516 QKB786436:QKD786516 QTX786436:QTZ786516 RDT786436:RDV786516 RNP786436:RNR786516 RXL786436:RXN786516 SHH786436:SHJ786516 SRD786436:SRF786516 TAZ786436:TBB786516 TKV786436:TKX786516 TUR786436:TUT786516 UEN786436:UEP786516 UOJ786436:UOL786516 UYF786436:UYH786516 VIB786436:VID786516 VRX786436:VRZ786516 WBT786436:WBV786516 WLP786436:WLR786516 WVL786436:WVN786516 D851972:F852052 IZ851972:JB852052 SV851972:SX852052 ACR851972:ACT852052 AMN851972:AMP852052 AWJ851972:AWL852052 BGF851972:BGH852052 BQB851972:BQD852052 BZX851972:BZZ852052 CJT851972:CJV852052 CTP851972:CTR852052 DDL851972:DDN852052 DNH851972:DNJ852052 DXD851972:DXF852052 EGZ851972:EHB852052 EQV851972:EQX852052 FAR851972:FAT852052 FKN851972:FKP852052 FUJ851972:FUL852052 GEF851972:GEH852052 GOB851972:GOD852052 GXX851972:GXZ852052 HHT851972:HHV852052 HRP851972:HRR852052 IBL851972:IBN852052 ILH851972:ILJ852052 IVD851972:IVF852052 JEZ851972:JFB852052 JOV851972:JOX852052 JYR851972:JYT852052 KIN851972:KIP852052 KSJ851972:KSL852052 LCF851972:LCH852052 LMB851972:LMD852052 LVX851972:LVZ852052 MFT851972:MFV852052 MPP851972:MPR852052 MZL851972:MZN852052 NJH851972:NJJ852052 NTD851972:NTF852052 OCZ851972:ODB852052 OMV851972:OMX852052 OWR851972:OWT852052 PGN851972:PGP852052 PQJ851972:PQL852052 QAF851972:QAH852052 QKB851972:QKD852052 QTX851972:QTZ852052 RDT851972:RDV852052 RNP851972:RNR852052 RXL851972:RXN852052 SHH851972:SHJ852052 SRD851972:SRF852052 TAZ851972:TBB852052 TKV851972:TKX852052 TUR851972:TUT852052 UEN851972:UEP852052 UOJ851972:UOL852052 UYF851972:UYH852052 VIB851972:VID852052 VRX851972:VRZ852052 WBT851972:WBV852052 WLP851972:WLR852052 WVL851972:WVN852052 D917508:F917588 IZ917508:JB917588 SV917508:SX917588 ACR917508:ACT917588 AMN917508:AMP917588 AWJ917508:AWL917588 BGF917508:BGH917588 BQB917508:BQD917588 BZX917508:BZZ917588 CJT917508:CJV917588 CTP917508:CTR917588 DDL917508:DDN917588 DNH917508:DNJ917588 DXD917508:DXF917588 EGZ917508:EHB917588 EQV917508:EQX917588 FAR917508:FAT917588 FKN917508:FKP917588 FUJ917508:FUL917588 GEF917508:GEH917588 GOB917508:GOD917588 GXX917508:GXZ917588 HHT917508:HHV917588 HRP917508:HRR917588 IBL917508:IBN917588 ILH917508:ILJ917588 IVD917508:IVF917588 JEZ917508:JFB917588 JOV917508:JOX917588 JYR917508:JYT917588 KIN917508:KIP917588 KSJ917508:KSL917588 LCF917508:LCH917588 LMB917508:LMD917588 LVX917508:LVZ917588 MFT917508:MFV917588 MPP917508:MPR917588 MZL917508:MZN917588 NJH917508:NJJ917588 NTD917508:NTF917588 OCZ917508:ODB917588 OMV917508:OMX917588 OWR917508:OWT917588 PGN917508:PGP917588 PQJ917508:PQL917588 QAF917508:QAH917588 QKB917508:QKD917588 QTX917508:QTZ917588 RDT917508:RDV917588 RNP917508:RNR917588 RXL917508:RXN917588 SHH917508:SHJ917588 SRD917508:SRF917588 TAZ917508:TBB917588 TKV917508:TKX917588 TUR917508:TUT917588 UEN917508:UEP917588 UOJ917508:UOL917588 UYF917508:UYH917588 VIB917508:VID917588 VRX917508:VRZ917588 WBT917508:WBV917588 WLP917508:WLR917588 WVL917508:WVN917588 D983044:F983124 IZ983044:JB983124 SV983044:SX983124 ACR983044:ACT983124 AMN983044:AMP983124 AWJ983044:AWL983124 BGF983044:BGH983124 BQB983044:BQD983124 BZX983044:BZZ983124 CJT983044:CJV983124 CTP983044:CTR983124 DDL983044:DDN983124 DNH983044:DNJ983124 DXD983044:DXF983124 EGZ983044:EHB983124 EQV983044:EQX983124 FAR983044:FAT983124 FKN983044:FKP983124 FUJ983044:FUL983124 GEF983044:GEH983124 GOB983044:GOD983124 GXX983044:GXZ983124 HHT983044:HHV983124 HRP983044:HRR983124 IBL983044:IBN983124 ILH983044:ILJ983124 IVD983044:IVF983124 JEZ983044:JFB983124 JOV983044:JOX983124 JYR983044:JYT983124 KIN983044:KIP983124 KSJ983044:KSL983124 LCF983044:LCH983124 LMB983044:LMD983124 LVX983044:LVZ983124 MFT983044:MFV983124 MPP983044:MPR983124 MZL983044:MZN983124 NJH983044:NJJ983124 NTD983044:NTF983124 OCZ983044:ODB983124 OMV983044:OMX983124 OWR983044:OWT983124 PGN983044:PGP983124 PQJ983044:PQL983124 QAF983044:QAH983124 QKB983044:QKD983124 QTX983044:QTZ983124 RDT983044:RDV983124 RNP983044:RNR983124 RXL983044:RXN983124 SHH983044:SHJ983124 SRD983044:SRF983124 TAZ983044:TBB983124 TKV983044:TKX983124 TUR983044:TUT983124 UEN983044:UEP983124 UOJ983044:UOL983124 UYF983044:UYH983124 VIB983044:VID983124 VRX983044:VRZ983124 WBT983044:WBV983124 WLP983044:WLR983124 WVL983044:WVN983124 D8:F84 IZ8:JB84 SV8:SX84 ACR8:ACT84 AMN8:AMP84 AWJ8:AWL84 BGF8:BGH84 BQB8:BQD84 BZX8:BZZ84 CJT8:CJV84 CTP8:CTR84 DDL8:DDN84 DNH8:DNJ84 DXD8:DXF84 EGZ8:EHB84 EQV8:EQX84 FAR8:FAT84 FKN8:FKP84 FUJ8:FUL84 GEF8:GEH84 GOB8:GOD84 GXX8:GXZ84 HHT8:HHV84 HRP8:HRR84 IBL8:IBN84 ILH8:ILJ84 IVD8:IVF84 JEZ8:JFB84 JOV8:JOX84 JYR8:JYT84 KIN8:KIP84 KSJ8:KSL84 LCF8:LCH84 LMB8:LMD84 LVX8:LVZ84 MFT8:MFV84 MPP8:MPR84 MZL8:MZN84 NJH8:NJJ84 NTD8:NTF84 OCZ8:ODB84 OMV8:OMX84 OWR8:OWT84 PGN8:PGP84 PQJ8:PQL84 QAF8:QAH84 QKB8:QKD84 QTX8:QTZ84 RDT8:RDV84 RNP8:RNR84 RXL8:RXN84 SHH8:SHJ84 SRD8:SRF84 TAZ8:TBB84 TKV8:TKX84 TUR8:TUT84 UEN8:UEP84 UOJ8:UOL84 UYF8:UYH84 VIB8:VID84 VRX8:VRZ84 WBT8:WBV84 WLP8:WLR84 WVL8:WVN84" xr:uid="{219FE84E-3C6B-425F-9788-A05BF2F7AB21}">
      <formula1>0</formula1>
      <formula2>1E+27</formula2>
    </dataValidation>
  </dataValidations>
  <pageMargins left="1.1499999999999999" right="0.7" top="0.75" bottom="0.75" header="0.3" footer="0.3"/>
  <pageSetup scale="80"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954EC-6506-4A5E-A63D-69AEF4F6FD26}">
  <dimension ref="A2:Y42"/>
  <sheetViews>
    <sheetView workbookViewId="0">
      <selection activeCell="H32" sqref="H32"/>
    </sheetView>
  </sheetViews>
  <sheetFormatPr defaultRowHeight="12.75" x14ac:dyDescent="0.2"/>
  <cols>
    <col min="1" max="1" width="3.5703125" style="287" customWidth="1"/>
    <col min="2" max="23" width="22.5703125" style="287" customWidth="1"/>
    <col min="24" max="16384" width="9.140625" style="287"/>
  </cols>
  <sheetData>
    <row r="2" spans="1:23" x14ac:dyDescent="0.2">
      <c r="W2" s="463" t="s">
        <v>1028</v>
      </c>
    </row>
    <row r="3" spans="1:23" x14ac:dyDescent="0.2">
      <c r="W3" s="463" t="s">
        <v>1029</v>
      </c>
    </row>
    <row r="4" spans="1:23" x14ac:dyDescent="0.2">
      <c r="A4" s="463"/>
    </row>
    <row r="5" spans="1:23" x14ac:dyDescent="0.2">
      <c r="A5" s="463"/>
      <c r="H5" s="464" t="s">
        <v>1064</v>
      </c>
    </row>
    <row r="7" spans="1:23" ht="15.75" customHeight="1" x14ac:dyDescent="0.2">
      <c r="A7" s="571" t="s">
        <v>1030</v>
      </c>
      <c r="B7" s="571"/>
      <c r="C7" s="571"/>
      <c r="D7" s="571"/>
      <c r="E7" s="455"/>
      <c r="F7" s="455"/>
      <c r="G7" s="455"/>
      <c r="H7" s="455"/>
      <c r="I7" s="455"/>
      <c r="J7" s="455"/>
      <c r="K7" s="455"/>
      <c r="L7" s="455"/>
      <c r="M7" s="455"/>
      <c r="N7" s="455"/>
      <c r="O7" s="455"/>
      <c r="P7" s="455"/>
      <c r="S7" s="577"/>
      <c r="T7" s="577"/>
      <c r="U7" s="577"/>
      <c r="V7" s="577"/>
      <c r="W7" s="577"/>
    </row>
    <row r="8" spans="1:23" ht="15.75" customHeight="1" x14ac:dyDescent="0.2">
      <c r="A8" s="465"/>
      <c r="B8" s="465"/>
      <c r="C8" s="465"/>
      <c r="D8" s="465"/>
      <c r="E8" s="455"/>
      <c r="F8" s="455"/>
      <c r="G8" s="455"/>
      <c r="H8" s="455"/>
      <c r="I8" s="455"/>
      <c r="J8" s="455"/>
      <c r="K8" s="455"/>
      <c r="L8" s="455"/>
      <c r="M8" s="455"/>
      <c r="N8" s="455"/>
      <c r="O8" s="455"/>
      <c r="P8" s="455"/>
      <c r="Q8" s="455"/>
      <c r="R8" s="455"/>
      <c r="S8" s="466"/>
      <c r="T8" s="466"/>
      <c r="U8" s="466"/>
      <c r="V8" s="466"/>
      <c r="W8" s="466"/>
    </row>
    <row r="9" spans="1:23" ht="25.5" customHeight="1" x14ac:dyDescent="0.2">
      <c r="A9" s="578" t="s">
        <v>280</v>
      </c>
      <c r="B9" s="581" t="s">
        <v>1032</v>
      </c>
      <c r="C9" s="574" t="s">
        <v>1033</v>
      </c>
      <c r="D9" s="574" t="s">
        <v>1034</v>
      </c>
      <c r="E9" s="574" t="s">
        <v>224</v>
      </c>
      <c r="F9" s="574" t="s">
        <v>1035</v>
      </c>
      <c r="G9" s="574" t="s">
        <v>183</v>
      </c>
      <c r="H9" s="588" t="s">
        <v>1036</v>
      </c>
      <c r="I9" s="590"/>
      <c r="J9" s="589"/>
      <c r="K9" s="574" t="s">
        <v>1037</v>
      </c>
      <c r="L9" s="588" t="s">
        <v>1038</v>
      </c>
      <c r="M9" s="590"/>
      <c r="N9" s="590"/>
      <c r="O9" s="589"/>
      <c r="P9" s="588" t="s">
        <v>1039</v>
      </c>
      <c r="Q9" s="590"/>
      <c r="R9" s="588" t="s">
        <v>1040</v>
      </c>
      <c r="S9" s="589"/>
      <c r="T9" s="574" t="s">
        <v>1041</v>
      </c>
      <c r="U9" s="574" t="s">
        <v>1042</v>
      </c>
      <c r="V9" s="574" t="s">
        <v>1043</v>
      </c>
      <c r="W9" s="574" t="s">
        <v>1044</v>
      </c>
    </row>
    <row r="10" spans="1:23" ht="12.75" customHeight="1" x14ac:dyDescent="0.2">
      <c r="A10" s="579"/>
      <c r="B10" s="582"/>
      <c r="C10" s="575"/>
      <c r="D10" s="575"/>
      <c r="E10" s="575"/>
      <c r="F10" s="575"/>
      <c r="G10" s="575"/>
      <c r="H10" s="574" t="s">
        <v>1045</v>
      </c>
      <c r="I10" s="574" t="s">
        <v>1046</v>
      </c>
      <c r="J10" s="574" t="s">
        <v>1047</v>
      </c>
      <c r="K10" s="575"/>
      <c r="L10" s="584" t="s">
        <v>1048</v>
      </c>
      <c r="M10" s="585"/>
      <c r="N10" s="588" t="s">
        <v>1049</v>
      </c>
      <c r="O10" s="589"/>
      <c r="P10" s="574" t="s">
        <v>1051</v>
      </c>
      <c r="Q10" s="591" t="s">
        <v>1052</v>
      </c>
      <c r="R10" s="591" t="s">
        <v>1053</v>
      </c>
      <c r="S10" s="574" t="s">
        <v>1054</v>
      </c>
      <c r="T10" s="575"/>
      <c r="U10" s="575"/>
      <c r="V10" s="575"/>
      <c r="W10" s="575"/>
    </row>
    <row r="11" spans="1:23" ht="12.75" customHeight="1" x14ac:dyDescent="0.2">
      <c r="A11" s="579"/>
      <c r="B11" s="582"/>
      <c r="C11" s="575"/>
      <c r="D11" s="575"/>
      <c r="E11" s="575"/>
      <c r="F11" s="575"/>
      <c r="G11" s="575"/>
      <c r="H11" s="575"/>
      <c r="I11" s="575"/>
      <c r="J11" s="575"/>
      <c r="K11" s="575"/>
      <c r="L11" s="586"/>
      <c r="M11" s="587"/>
      <c r="N11" s="588" t="s">
        <v>1050</v>
      </c>
      <c r="O11" s="589"/>
      <c r="P11" s="575"/>
      <c r="Q11" s="592"/>
      <c r="R11" s="592"/>
      <c r="S11" s="575"/>
      <c r="T11" s="575"/>
      <c r="U11" s="575"/>
      <c r="V11" s="575"/>
      <c r="W11" s="575"/>
    </row>
    <row r="12" spans="1:23" ht="83.25" customHeight="1" x14ac:dyDescent="0.2">
      <c r="A12" s="580"/>
      <c r="B12" s="583"/>
      <c r="C12" s="576"/>
      <c r="D12" s="576"/>
      <c r="E12" s="576"/>
      <c r="F12" s="576"/>
      <c r="G12" s="576"/>
      <c r="H12" s="576"/>
      <c r="I12" s="576"/>
      <c r="J12" s="576"/>
      <c r="K12" s="576"/>
      <c r="L12" s="467" t="s">
        <v>1055</v>
      </c>
      <c r="M12" s="467" t="s">
        <v>1056</v>
      </c>
      <c r="N12" s="467" t="s">
        <v>1057</v>
      </c>
      <c r="O12" s="467" t="s">
        <v>1058</v>
      </c>
      <c r="P12" s="576"/>
      <c r="Q12" s="593"/>
      <c r="R12" s="593"/>
      <c r="S12" s="576"/>
      <c r="T12" s="576"/>
      <c r="U12" s="576"/>
      <c r="V12" s="576"/>
      <c r="W12" s="576"/>
    </row>
    <row r="13" spans="1:23" x14ac:dyDescent="0.2">
      <c r="A13" s="468">
        <v>1</v>
      </c>
      <c r="B13" s="469">
        <v>2</v>
      </c>
      <c r="C13" s="447">
        <v>3</v>
      </c>
      <c r="D13" s="447">
        <v>4</v>
      </c>
      <c r="E13" s="447">
        <v>5</v>
      </c>
      <c r="F13" s="447">
        <v>6</v>
      </c>
      <c r="G13" s="447">
        <v>7</v>
      </c>
      <c r="H13" s="447">
        <v>8</v>
      </c>
      <c r="I13" s="447">
        <v>9</v>
      </c>
      <c r="J13" s="447">
        <v>10</v>
      </c>
      <c r="K13" s="447">
        <v>11</v>
      </c>
      <c r="L13" s="447">
        <v>12</v>
      </c>
      <c r="M13" s="447">
        <v>13</v>
      </c>
      <c r="N13" s="447">
        <v>14</v>
      </c>
      <c r="O13" s="447">
        <v>15</v>
      </c>
      <c r="P13" s="447">
        <v>16</v>
      </c>
      <c r="Q13" s="470">
        <v>17</v>
      </c>
      <c r="R13" s="470">
        <v>18</v>
      </c>
      <c r="S13" s="447">
        <v>19</v>
      </c>
      <c r="T13" s="447">
        <v>20</v>
      </c>
      <c r="U13" s="447">
        <v>21</v>
      </c>
      <c r="V13" s="447">
        <v>22</v>
      </c>
      <c r="W13" s="447">
        <v>23</v>
      </c>
    </row>
    <row r="14" spans="1:23" x14ac:dyDescent="0.2">
      <c r="A14" s="461">
        <v>1</v>
      </c>
      <c r="B14" s="331"/>
      <c r="C14" s="483"/>
      <c r="D14" s="483"/>
      <c r="E14" s="483"/>
      <c r="F14" s="484"/>
      <c r="G14" s="483"/>
      <c r="H14" s="483"/>
      <c r="I14" s="483"/>
      <c r="J14" s="483"/>
      <c r="K14" s="484"/>
      <c r="L14" s="483"/>
      <c r="M14" s="483"/>
      <c r="N14" s="483"/>
      <c r="O14" s="483"/>
      <c r="P14" s="483"/>
      <c r="Q14" s="483"/>
      <c r="R14" s="483"/>
      <c r="S14" s="483"/>
      <c r="T14" s="483"/>
      <c r="U14" s="483"/>
      <c r="V14" s="483"/>
      <c r="W14" s="483"/>
    </row>
    <row r="15" spans="1:23" x14ac:dyDescent="0.2">
      <c r="A15" s="462">
        <v>2</v>
      </c>
      <c r="B15" s="485"/>
      <c r="C15" s="483"/>
      <c r="D15" s="483"/>
      <c r="E15" s="483"/>
      <c r="F15" s="484"/>
      <c r="G15" s="483"/>
      <c r="H15" s="483"/>
      <c r="I15" s="483"/>
      <c r="J15" s="483"/>
      <c r="K15" s="484"/>
      <c r="L15" s="483"/>
      <c r="M15" s="483"/>
      <c r="N15" s="483"/>
      <c r="O15" s="483"/>
      <c r="P15" s="483"/>
      <c r="Q15" s="486"/>
      <c r="R15" s="486"/>
      <c r="S15" s="483"/>
      <c r="T15" s="483"/>
      <c r="U15" s="483"/>
      <c r="V15" s="483"/>
      <c r="W15" s="483"/>
    </row>
    <row r="16" spans="1:23" x14ac:dyDescent="0.2">
      <c r="A16" s="462">
        <v>3</v>
      </c>
      <c r="B16" s="485"/>
      <c r="C16" s="483"/>
      <c r="D16" s="483"/>
      <c r="E16" s="483"/>
      <c r="F16" s="484"/>
      <c r="G16" s="483"/>
      <c r="H16" s="483"/>
      <c r="I16" s="483"/>
      <c r="J16" s="483"/>
      <c r="K16" s="484"/>
      <c r="L16" s="483"/>
      <c r="M16" s="483"/>
      <c r="N16" s="483"/>
      <c r="O16" s="483"/>
      <c r="P16" s="483"/>
      <c r="Q16" s="486"/>
      <c r="R16" s="486"/>
      <c r="S16" s="483"/>
      <c r="T16" s="483"/>
      <c r="U16" s="483"/>
      <c r="V16" s="483"/>
      <c r="W16" s="483"/>
    </row>
    <row r="17" spans="1:25" x14ac:dyDescent="0.2">
      <c r="A17" s="461">
        <v>4</v>
      </c>
      <c r="B17" s="485"/>
      <c r="C17" s="483"/>
      <c r="D17" s="483"/>
      <c r="E17" s="483"/>
      <c r="F17" s="484"/>
      <c r="G17" s="483"/>
      <c r="H17" s="483"/>
      <c r="I17" s="483"/>
      <c r="J17" s="483"/>
      <c r="K17" s="484"/>
      <c r="L17" s="483"/>
      <c r="M17" s="483"/>
      <c r="N17" s="483"/>
      <c r="O17" s="483"/>
      <c r="P17" s="483"/>
      <c r="Q17" s="486"/>
      <c r="R17" s="486"/>
      <c r="S17" s="483"/>
      <c r="T17" s="483"/>
      <c r="U17" s="483"/>
      <c r="V17" s="483"/>
      <c r="W17" s="483"/>
    </row>
    <row r="18" spans="1:25" x14ac:dyDescent="0.2">
      <c r="A18" s="462">
        <v>5</v>
      </c>
      <c r="B18" s="485"/>
      <c r="C18" s="483"/>
      <c r="D18" s="483"/>
      <c r="E18" s="483"/>
      <c r="F18" s="484"/>
      <c r="G18" s="483"/>
      <c r="H18" s="483"/>
      <c r="I18" s="483"/>
      <c r="J18" s="483"/>
      <c r="K18" s="484"/>
      <c r="L18" s="483"/>
      <c r="M18" s="483"/>
      <c r="N18" s="483"/>
      <c r="O18" s="483"/>
      <c r="P18" s="483"/>
      <c r="Q18" s="486"/>
      <c r="R18" s="486"/>
      <c r="S18" s="483"/>
      <c r="T18" s="483"/>
      <c r="U18" s="483"/>
      <c r="V18" s="483"/>
      <c r="W18" s="483"/>
    </row>
    <row r="19" spans="1:25" x14ac:dyDescent="0.2">
      <c r="A19" s="462">
        <v>6</v>
      </c>
      <c r="B19" s="485"/>
      <c r="C19" s="483"/>
      <c r="D19" s="483"/>
      <c r="E19" s="483"/>
      <c r="F19" s="484"/>
      <c r="G19" s="483"/>
      <c r="H19" s="483"/>
      <c r="I19" s="483"/>
      <c r="J19" s="483"/>
      <c r="K19" s="484"/>
      <c r="L19" s="483"/>
      <c r="M19" s="483"/>
      <c r="N19" s="483"/>
      <c r="O19" s="483"/>
      <c r="P19" s="483"/>
      <c r="Q19" s="486"/>
      <c r="R19" s="486"/>
      <c r="S19" s="483"/>
      <c r="T19" s="483"/>
      <c r="U19" s="483"/>
      <c r="V19" s="483"/>
      <c r="W19" s="483"/>
    </row>
    <row r="20" spans="1:25" x14ac:dyDescent="0.2">
      <c r="A20" s="461">
        <v>7</v>
      </c>
      <c r="B20" s="485"/>
      <c r="C20" s="483"/>
      <c r="D20" s="483"/>
      <c r="E20" s="483"/>
      <c r="F20" s="484"/>
      <c r="G20" s="483"/>
      <c r="H20" s="483"/>
      <c r="I20" s="483"/>
      <c r="J20" s="483"/>
      <c r="K20" s="484"/>
      <c r="L20" s="483"/>
      <c r="M20" s="483"/>
      <c r="N20" s="483"/>
      <c r="O20" s="483"/>
      <c r="P20" s="483"/>
      <c r="Q20" s="486"/>
      <c r="R20" s="486"/>
      <c r="S20" s="483"/>
      <c r="T20" s="483"/>
      <c r="U20" s="483"/>
      <c r="V20" s="483"/>
      <c r="W20" s="483"/>
    </row>
    <row r="21" spans="1:25" x14ac:dyDescent="0.2">
      <c r="A21" s="462">
        <v>8</v>
      </c>
      <c r="B21" s="485"/>
      <c r="C21" s="483"/>
      <c r="D21" s="483"/>
      <c r="E21" s="483"/>
      <c r="F21" s="484"/>
      <c r="G21" s="483"/>
      <c r="H21" s="483"/>
      <c r="I21" s="483"/>
      <c r="J21" s="483"/>
      <c r="K21" s="484"/>
      <c r="L21" s="483"/>
      <c r="M21" s="483"/>
      <c r="N21" s="483"/>
      <c r="O21" s="483"/>
      <c r="P21" s="483"/>
      <c r="Q21" s="486"/>
      <c r="R21" s="486"/>
      <c r="S21" s="483"/>
      <c r="T21" s="483"/>
      <c r="U21" s="483"/>
      <c r="V21" s="483"/>
      <c r="W21" s="483"/>
    </row>
    <row r="22" spans="1:25" x14ac:dyDescent="0.2">
      <c r="A22" s="462">
        <v>9</v>
      </c>
      <c r="B22" s="485"/>
      <c r="C22" s="483"/>
      <c r="D22" s="483"/>
      <c r="E22" s="483"/>
      <c r="F22" s="484"/>
      <c r="G22" s="483"/>
      <c r="H22" s="483"/>
      <c r="I22" s="483"/>
      <c r="J22" s="483"/>
      <c r="K22" s="484"/>
      <c r="L22" s="483"/>
      <c r="M22" s="483"/>
      <c r="N22" s="483"/>
      <c r="O22" s="483"/>
      <c r="P22" s="483"/>
      <c r="Q22" s="486"/>
      <c r="R22" s="486"/>
      <c r="S22" s="483"/>
      <c r="T22" s="483"/>
      <c r="U22" s="483"/>
      <c r="V22" s="483"/>
      <c r="W22" s="483"/>
    </row>
    <row r="23" spans="1:25" x14ac:dyDescent="0.2">
      <c r="A23" s="461">
        <v>10</v>
      </c>
      <c r="B23" s="485"/>
      <c r="C23" s="483"/>
      <c r="D23" s="483"/>
      <c r="E23" s="483"/>
      <c r="F23" s="484"/>
      <c r="G23" s="483"/>
      <c r="H23" s="483"/>
      <c r="I23" s="483"/>
      <c r="J23" s="483"/>
      <c r="K23" s="484"/>
      <c r="L23" s="483"/>
      <c r="M23" s="483"/>
      <c r="N23" s="483"/>
      <c r="O23" s="483"/>
      <c r="P23" s="483"/>
      <c r="Q23" s="486"/>
      <c r="R23" s="486"/>
      <c r="S23" s="483"/>
      <c r="T23" s="483"/>
      <c r="U23" s="483"/>
      <c r="V23" s="483"/>
      <c r="W23" s="483"/>
    </row>
    <row r="24" spans="1:25" x14ac:dyDescent="0.2">
      <c r="A24" s="462">
        <v>11</v>
      </c>
      <c r="B24" s="485"/>
      <c r="C24" s="483"/>
      <c r="D24" s="483"/>
      <c r="E24" s="483"/>
      <c r="F24" s="484"/>
      <c r="G24" s="483"/>
      <c r="H24" s="483"/>
      <c r="I24" s="483"/>
      <c r="J24" s="483"/>
      <c r="K24" s="484"/>
      <c r="L24" s="483"/>
      <c r="M24" s="483"/>
      <c r="N24" s="483"/>
      <c r="O24" s="483"/>
      <c r="P24" s="483"/>
      <c r="Q24" s="486"/>
      <c r="R24" s="486"/>
      <c r="S24" s="483"/>
      <c r="T24" s="483"/>
      <c r="U24" s="483"/>
      <c r="V24" s="483"/>
      <c r="W24" s="483"/>
    </row>
    <row r="25" spans="1:25" x14ac:dyDescent="0.2">
      <c r="A25" s="462">
        <v>12</v>
      </c>
      <c r="B25" s="331"/>
      <c r="C25" s="483"/>
      <c r="D25" s="483"/>
      <c r="E25" s="483"/>
      <c r="F25" s="484"/>
      <c r="G25" s="483"/>
      <c r="H25" s="483"/>
      <c r="I25" s="483"/>
      <c r="J25" s="483"/>
      <c r="K25" s="484"/>
      <c r="L25" s="483"/>
      <c r="M25" s="483"/>
      <c r="N25" s="483"/>
      <c r="O25" s="483"/>
      <c r="P25" s="483"/>
      <c r="Q25" s="483"/>
      <c r="R25" s="483"/>
      <c r="S25" s="483"/>
      <c r="T25" s="483"/>
      <c r="U25" s="483"/>
      <c r="V25" s="483"/>
      <c r="W25" s="483"/>
    </row>
    <row r="26" spans="1:25" x14ac:dyDescent="0.2">
      <c r="A26" s="572" t="s">
        <v>1059</v>
      </c>
      <c r="B26" s="573"/>
      <c r="C26" s="454"/>
      <c r="D26" s="454"/>
      <c r="E26" s="454">
        <f t="shared" ref="E26:S26" si="0">SUM(E14:E25)</f>
        <v>0</v>
      </c>
      <c r="F26" s="454">
        <f t="shared" si="0"/>
        <v>0</v>
      </c>
      <c r="G26" s="454">
        <f t="shared" si="0"/>
        <v>0</v>
      </c>
      <c r="H26" s="454">
        <f t="shared" si="0"/>
        <v>0</v>
      </c>
      <c r="I26" s="454">
        <f t="shared" si="0"/>
        <v>0</v>
      </c>
      <c r="J26" s="454">
        <f t="shared" si="0"/>
        <v>0</v>
      </c>
      <c r="K26" s="454">
        <f t="shared" si="0"/>
        <v>0</v>
      </c>
      <c r="L26" s="454">
        <f t="shared" si="0"/>
        <v>0</v>
      </c>
      <c r="M26" s="454">
        <f t="shared" si="0"/>
        <v>0</v>
      </c>
      <c r="N26" s="454">
        <f t="shared" si="0"/>
        <v>0</v>
      </c>
      <c r="O26" s="454">
        <f t="shared" si="0"/>
        <v>0</v>
      </c>
      <c r="P26" s="454">
        <f t="shared" si="0"/>
        <v>0</v>
      </c>
      <c r="Q26" s="454">
        <f t="shared" si="0"/>
        <v>0</v>
      </c>
      <c r="R26" s="454">
        <f t="shared" si="0"/>
        <v>0</v>
      </c>
      <c r="S26" s="454">
        <f t="shared" si="0"/>
        <v>0</v>
      </c>
      <c r="T26" s="454">
        <f t="shared" ref="T26:W26" si="1">SUM(T14:T25)</f>
        <v>0</v>
      </c>
      <c r="U26" s="454">
        <f t="shared" si="1"/>
        <v>0</v>
      </c>
      <c r="V26" s="454">
        <f t="shared" si="1"/>
        <v>0</v>
      </c>
      <c r="W26" s="454">
        <f t="shared" si="1"/>
        <v>0</v>
      </c>
    </row>
    <row r="27" spans="1:25" ht="13.5" thickBot="1" x14ac:dyDescent="0.25">
      <c r="A27" s="455"/>
      <c r="B27" s="455"/>
      <c r="C27" s="455"/>
      <c r="D27" s="455"/>
      <c r="E27" s="455"/>
      <c r="F27" s="456"/>
      <c r="G27" s="455"/>
      <c r="H27" s="455"/>
      <c r="I27" s="455"/>
      <c r="J27" s="455"/>
      <c r="K27" s="456"/>
      <c r="L27" s="455"/>
      <c r="M27" s="455"/>
      <c r="N27" s="455"/>
      <c r="O27" s="455"/>
      <c r="P27" s="455"/>
      <c r="Q27" s="455"/>
      <c r="R27" s="455"/>
      <c r="S27" s="455"/>
      <c r="T27" s="455"/>
      <c r="U27" s="455"/>
      <c r="V27" s="455"/>
      <c r="W27" s="455"/>
    </row>
    <row r="28" spans="1:25" x14ac:dyDescent="0.2">
      <c r="A28" s="457"/>
      <c r="D28" s="458" t="s">
        <v>1060</v>
      </c>
      <c r="E28" s="459"/>
      <c r="F28" s="459"/>
      <c r="G28" s="459"/>
      <c r="H28" s="459"/>
      <c r="I28" s="459"/>
      <c r="J28" s="459"/>
      <c r="K28" s="459"/>
      <c r="L28" s="459"/>
      <c r="M28" s="459"/>
      <c r="N28" s="459"/>
      <c r="O28" s="459"/>
      <c r="P28" s="459"/>
      <c r="Q28" s="459"/>
      <c r="R28" s="459"/>
      <c r="S28" s="459"/>
      <c r="T28" s="459"/>
      <c r="U28" s="459"/>
      <c r="V28" s="459"/>
      <c r="W28" s="459"/>
      <c r="X28" s="459"/>
      <c r="Y28" s="459"/>
    </row>
    <row r="29" spans="1:25" ht="12.75" customHeight="1" x14ac:dyDescent="0.2">
      <c r="A29" s="457"/>
      <c r="D29" s="459" t="s">
        <v>1092</v>
      </c>
      <c r="E29" s="457"/>
      <c r="F29" s="457"/>
      <c r="G29" s="457"/>
      <c r="H29" s="457"/>
      <c r="I29" s="457"/>
      <c r="J29" s="457"/>
      <c r="K29" s="457"/>
      <c r="L29" s="457"/>
      <c r="M29" s="457"/>
      <c r="N29" s="457"/>
      <c r="O29" s="457"/>
      <c r="P29" s="457"/>
      <c r="Q29" s="457"/>
      <c r="R29" s="457"/>
      <c r="S29" s="457"/>
      <c r="T29" s="457"/>
      <c r="U29" s="457"/>
      <c r="V29" s="457"/>
      <c r="W29" s="457"/>
      <c r="X29" s="457"/>
      <c r="Y29" s="457"/>
    </row>
    <row r="30" spans="1:25" x14ac:dyDescent="0.2">
      <c r="A30" s="457"/>
      <c r="D30" s="459" t="s">
        <v>1093</v>
      </c>
      <c r="E30" s="459"/>
      <c r="F30" s="459"/>
      <c r="G30" s="459"/>
      <c r="H30" s="459"/>
      <c r="I30" s="459"/>
      <c r="J30" s="459"/>
      <c r="K30" s="459"/>
      <c r="L30" s="459"/>
      <c r="M30" s="459"/>
      <c r="N30" s="459"/>
      <c r="O30" s="459"/>
      <c r="P30" s="459"/>
      <c r="Q30" s="459"/>
      <c r="R30" s="459"/>
      <c r="S30" s="459"/>
      <c r="T30" s="459"/>
      <c r="U30" s="459"/>
      <c r="V30" s="459"/>
      <c r="W30" s="459"/>
      <c r="X30" s="459"/>
      <c r="Y30" s="459"/>
    </row>
    <row r="31" spans="1:25" x14ac:dyDescent="0.2">
      <c r="A31" s="459"/>
      <c r="D31" s="459" t="s">
        <v>1061</v>
      </c>
      <c r="E31" s="459"/>
      <c r="F31" s="459"/>
      <c r="G31" s="459"/>
      <c r="H31" s="459"/>
      <c r="I31" s="459"/>
      <c r="J31" s="459"/>
      <c r="K31" s="459"/>
      <c r="L31" s="459"/>
      <c r="M31" s="459"/>
      <c r="N31" s="459"/>
      <c r="O31" s="459"/>
      <c r="P31" s="459"/>
      <c r="Q31" s="459"/>
      <c r="R31" s="459"/>
      <c r="S31" s="459"/>
      <c r="T31" s="459"/>
      <c r="U31" s="459"/>
      <c r="V31" s="459"/>
      <c r="W31" s="459"/>
      <c r="X31" s="459"/>
      <c r="Y31" s="459"/>
    </row>
    <row r="32" spans="1:25" x14ac:dyDescent="0.2">
      <c r="A32" s="460"/>
      <c r="D32" s="459" t="s">
        <v>1062</v>
      </c>
      <c r="E32" s="460"/>
      <c r="F32" s="460"/>
      <c r="G32" s="460"/>
      <c r="H32" s="460"/>
      <c r="I32" s="460"/>
      <c r="J32" s="460"/>
      <c r="K32" s="460"/>
      <c r="L32" s="460"/>
      <c r="M32" s="460"/>
      <c r="N32" s="460"/>
      <c r="O32" s="460"/>
      <c r="P32" s="460"/>
      <c r="Q32" s="460"/>
      <c r="R32" s="460"/>
      <c r="S32" s="460"/>
      <c r="T32" s="460"/>
      <c r="U32" s="460"/>
      <c r="V32" s="460"/>
      <c r="W32" s="460"/>
      <c r="X32" s="460"/>
      <c r="Y32" s="460"/>
    </row>
    <row r="33" spans="1:25" x14ac:dyDescent="0.2">
      <c r="A33" s="460"/>
      <c r="D33" s="459"/>
      <c r="E33" s="460"/>
      <c r="F33" s="460"/>
      <c r="G33" s="460"/>
      <c r="H33" s="460"/>
      <c r="I33" s="460"/>
      <c r="J33" s="460"/>
      <c r="K33" s="460"/>
      <c r="L33" s="460"/>
      <c r="M33" s="460"/>
      <c r="N33" s="460"/>
      <c r="O33" s="460"/>
      <c r="P33" s="460"/>
      <c r="Q33" s="460"/>
      <c r="R33" s="460"/>
      <c r="S33" s="460"/>
      <c r="T33" s="460"/>
      <c r="U33" s="460"/>
      <c r="V33" s="460"/>
      <c r="W33" s="460"/>
      <c r="X33" s="460"/>
      <c r="Y33" s="460"/>
    </row>
    <row r="34" spans="1:25" x14ac:dyDescent="0.2">
      <c r="B34" s="2" t="s">
        <v>285</v>
      </c>
      <c r="C34" s="4"/>
      <c r="D34" s="4"/>
    </row>
    <row r="35" spans="1:25" x14ac:dyDescent="0.2">
      <c r="B35" s="5"/>
      <c r="C35" s="4"/>
      <c r="D35" s="4"/>
    </row>
    <row r="36" spans="1:25" ht="38.25" customHeight="1" x14ac:dyDescent="0.2">
      <c r="B36" s="446" t="s">
        <v>1063</v>
      </c>
      <c r="C36" s="4"/>
      <c r="D36" s="4"/>
    </row>
    <row r="37" spans="1:25" x14ac:dyDescent="0.2">
      <c r="B37" s="5"/>
      <c r="C37" s="4"/>
      <c r="D37" s="4"/>
    </row>
    <row r="38" spans="1:25" x14ac:dyDescent="0.2">
      <c r="B38" s="446" t="s">
        <v>287</v>
      </c>
      <c r="D38" s="520" t="s">
        <v>288</v>
      </c>
      <c r="E38" s="520"/>
      <c r="F38" s="4" t="s">
        <v>289</v>
      </c>
    </row>
    <row r="39" spans="1:25" x14ac:dyDescent="0.2">
      <c r="B39" s="5"/>
      <c r="D39" s="520"/>
      <c r="E39" s="520"/>
      <c r="F39" s="4"/>
    </row>
    <row r="40" spans="1:25" x14ac:dyDescent="0.2">
      <c r="B40" s="446" t="s">
        <v>290</v>
      </c>
      <c r="D40" s="520" t="s">
        <v>291</v>
      </c>
      <c r="E40" s="520"/>
      <c r="F40" s="4" t="s">
        <v>292</v>
      </c>
    </row>
    <row r="41" spans="1:25" x14ac:dyDescent="0.2">
      <c r="B41" s="5"/>
      <c r="D41" s="520"/>
      <c r="E41" s="520"/>
      <c r="F41" s="4"/>
    </row>
    <row r="42" spans="1:25" x14ac:dyDescent="0.2">
      <c r="B42" s="446" t="s">
        <v>293</v>
      </c>
      <c r="D42" s="520" t="s">
        <v>288</v>
      </c>
      <c r="E42" s="520"/>
      <c r="F42" s="4" t="s">
        <v>292</v>
      </c>
    </row>
  </sheetData>
  <sheetProtection password="CD1F" sheet="1" objects="1" scenarios="1"/>
  <mergeCells count="34">
    <mergeCell ref="P9:Q9"/>
    <mergeCell ref="R9:S9"/>
    <mergeCell ref="P10:P12"/>
    <mergeCell ref="Q10:Q12"/>
    <mergeCell ref="R10:R12"/>
    <mergeCell ref="S10:S12"/>
    <mergeCell ref="J10:J12"/>
    <mergeCell ref="L10:M11"/>
    <mergeCell ref="N10:O10"/>
    <mergeCell ref="N11:O11"/>
    <mergeCell ref="H9:J9"/>
    <mergeCell ref="K9:K12"/>
    <mergeCell ref="L9:O9"/>
    <mergeCell ref="A7:D7"/>
    <mergeCell ref="A26:B26"/>
    <mergeCell ref="T9:T12"/>
    <mergeCell ref="U9:U12"/>
    <mergeCell ref="V9:V12"/>
    <mergeCell ref="G9:G12"/>
    <mergeCell ref="S7:W7"/>
    <mergeCell ref="A9:A12"/>
    <mergeCell ref="B9:B12"/>
    <mergeCell ref="C9:C12"/>
    <mergeCell ref="D9:D12"/>
    <mergeCell ref="E9:E12"/>
    <mergeCell ref="F9:F12"/>
    <mergeCell ref="W9:W12"/>
    <mergeCell ref="H10:H12"/>
    <mergeCell ref="I10:I12"/>
    <mergeCell ref="D38:E38"/>
    <mergeCell ref="D39:E39"/>
    <mergeCell ref="D40:E40"/>
    <mergeCell ref="D41:E41"/>
    <mergeCell ref="D42:E4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DCE9-EDC4-48D5-B2F0-C71839FCBFED}">
  <dimension ref="A2:AA45"/>
  <sheetViews>
    <sheetView zoomScale="90" zoomScaleNormal="90" workbookViewId="0">
      <selection activeCell="J40" sqref="J40"/>
    </sheetView>
  </sheetViews>
  <sheetFormatPr defaultRowHeight="12.75" x14ac:dyDescent="0.2"/>
  <cols>
    <col min="1" max="1" width="9.140625" style="287"/>
    <col min="2" max="26" width="19.42578125" style="287" customWidth="1"/>
    <col min="27" max="16384" width="9.140625" style="287"/>
  </cols>
  <sheetData>
    <row r="2" spans="1:27" x14ac:dyDescent="0.2">
      <c r="Z2" s="463" t="s">
        <v>1028</v>
      </c>
    </row>
    <row r="3" spans="1:27" x14ac:dyDescent="0.2">
      <c r="Z3" s="463" t="s">
        <v>1065</v>
      </c>
    </row>
    <row r="4" spans="1:27" x14ac:dyDescent="0.2">
      <c r="A4" s="463"/>
    </row>
    <row r="5" spans="1:27" x14ac:dyDescent="0.2">
      <c r="A5" s="463"/>
    </row>
    <row r="6" spans="1:27" x14ac:dyDescent="0.2">
      <c r="A6" s="463"/>
    </row>
    <row r="7" spans="1:27" x14ac:dyDescent="0.2">
      <c r="M7" s="464" t="s">
        <v>1086</v>
      </c>
    </row>
    <row r="8" spans="1:27" x14ac:dyDescent="0.2">
      <c r="A8" s="477" t="s">
        <v>1030</v>
      </c>
      <c r="Z8" s="478" t="s">
        <v>1031</v>
      </c>
    </row>
    <row r="9" spans="1:27" x14ac:dyDescent="0.2">
      <c r="A9" s="477"/>
      <c r="Z9" s="478"/>
    </row>
    <row r="10" spans="1:27" s="480" customFormat="1" ht="25.5" customHeight="1" x14ac:dyDescent="0.2">
      <c r="A10" s="602" t="s">
        <v>1032</v>
      </c>
      <c r="B10" s="600" t="s">
        <v>1034</v>
      </c>
      <c r="C10" s="600" t="s">
        <v>1066</v>
      </c>
      <c r="D10" s="601" t="s">
        <v>1067</v>
      </c>
      <c r="E10" s="601"/>
      <c r="F10" s="601" t="s">
        <v>1068</v>
      </c>
      <c r="G10" s="601"/>
      <c r="H10" s="600" t="s">
        <v>1069</v>
      </c>
      <c r="I10" s="601" t="s">
        <v>1036</v>
      </c>
      <c r="J10" s="601"/>
      <c r="K10" s="601"/>
      <c r="L10" s="601" t="s">
        <v>1070</v>
      </c>
      <c r="M10" s="601"/>
      <c r="N10" s="601"/>
      <c r="O10" s="601" t="s">
        <v>1071</v>
      </c>
      <c r="P10" s="601"/>
      <c r="Q10" s="601"/>
      <c r="R10" s="601"/>
      <c r="S10" s="601"/>
      <c r="T10" s="601" t="s">
        <v>1072</v>
      </c>
      <c r="U10" s="601"/>
      <c r="V10" s="601" t="s">
        <v>1073</v>
      </c>
      <c r="W10" s="601"/>
      <c r="X10" s="601" t="s">
        <v>1074</v>
      </c>
      <c r="Y10" s="601"/>
      <c r="Z10" s="600" t="s">
        <v>1042</v>
      </c>
      <c r="AA10" s="479"/>
    </row>
    <row r="11" spans="1:27" s="480" customFormat="1" x14ac:dyDescent="0.2">
      <c r="A11" s="602"/>
      <c r="B11" s="600"/>
      <c r="C11" s="600"/>
      <c r="D11" s="601"/>
      <c r="E11" s="601"/>
      <c r="F11" s="600" t="s">
        <v>1066</v>
      </c>
      <c r="G11" s="600" t="s">
        <v>183</v>
      </c>
      <c r="H11" s="600"/>
      <c r="I11" s="600" t="s">
        <v>1045</v>
      </c>
      <c r="J11" s="600" t="s">
        <v>1046</v>
      </c>
      <c r="K11" s="600" t="s">
        <v>1047</v>
      </c>
      <c r="L11" s="600" t="s">
        <v>1075</v>
      </c>
      <c r="M11" s="600" t="s">
        <v>1076</v>
      </c>
      <c r="N11" s="600" t="s">
        <v>1077</v>
      </c>
      <c r="O11" s="601" t="s">
        <v>1078</v>
      </c>
      <c r="P11" s="601"/>
      <c r="Q11" s="601" t="s">
        <v>1050</v>
      </c>
      <c r="R11" s="601"/>
      <c r="S11" s="601"/>
      <c r="T11" s="600" t="s">
        <v>1079</v>
      </c>
      <c r="U11" s="600" t="s">
        <v>1080</v>
      </c>
      <c r="V11" s="600" t="s">
        <v>1053</v>
      </c>
      <c r="W11" s="600" t="s">
        <v>1054</v>
      </c>
      <c r="X11" s="600" t="s">
        <v>1043</v>
      </c>
      <c r="Y11" s="600" t="s">
        <v>1081</v>
      </c>
      <c r="Z11" s="600"/>
      <c r="AA11" s="479"/>
    </row>
    <row r="12" spans="1:27" s="480" customFormat="1" ht="82.5" customHeight="1" x14ac:dyDescent="0.2">
      <c r="A12" s="602"/>
      <c r="B12" s="600"/>
      <c r="C12" s="600"/>
      <c r="D12" s="481" t="s">
        <v>1082</v>
      </c>
      <c r="E12" s="481" t="s">
        <v>1083</v>
      </c>
      <c r="F12" s="600"/>
      <c r="G12" s="600"/>
      <c r="H12" s="600"/>
      <c r="I12" s="600"/>
      <c r="J12" s="600"/>
      <c r="K12" s="600"/>
      <c r="L12" s="600"/>
      <c r="M12" s="600"/>
      <c r="N12" s="600"/>
      <c r="O12" s="467" t="s">
        <v>1055</v>
      </c>
      <c r="P12" s="467" t="s">
        <v>1056</v>
      </c>
      <c r="Q12" s="467" t="s">
        <v>1057</v>
      </c>
      <c r="R12" s="467" t="s">
        <v>1058</v>
      </c>
      <c r="S12" s="467" t="s">
        <v>1084</v>
      </c>
      <c r="T12" s="600"/>
      <c r="U12" s="600"/>
      <c r="V12" s="600"/>
      <c r="W12" s="600"/>
      <c r="X12" s="600"/>
      <c r="Y12" s="600"/>
      <c r="Z12" s="600"/>
      <c r="AA12" s="479"/>
    </row>
    <row r="13" spans="1:27" x14ac:dyDescent="0.2">
      <c r="A13" s="476">
        <v>1</v>
      </c>
      <c r="B13" s="320">
        <v>2</v>
      </c>
      <c r="C13" s="320">
        <v>3</v>
      </c>
      <c r="D13" s="320">
        <v>4</v>
      </c>
      <c r="E13" s="320">
        <v>5</v>
      </c>
      <c r="F13" s="320">
        <v>6</v>
      </c>
      <c r="G13" s="320">
        <v>7</v>
      </c>
      <c r="H13" s="320"/>
      <c r="I13" s="320">
        <v>9</v>
      </c>
      <c r="J13" s="320">
        <v>10</v>
      </c>
      <c r="K13" s="320">
        <v>11</v>
      </c>
      <c r="L13" s="320">
        <v>12</v>
      </c>
      <c r="M13" s="320">
        <v>13</v>
      </c>
      <c r="N13" s="320">
        <v>14</v>
      </c>
      <c r="O13" s="320">
        <v>15</v>
      </c>
      <c r="P13" s="320">
        <v>16</v>
      </c>
      <c r="Q13" s="320">
        <v>17</v>
      </c>
      <c r="R13" s="320">
        <v>18</v>
      </c>
      <c r="S13" s="320"/>
      <c r="T13" s="482">
        <v>20</v>
      </c>
      <c r="U13" s="320">
        <v>21</v>
      </c>
      <c r="V13" s="320">
        <v>22</v>
      </c>
      <c r="W13" s="482">
        <v>23</v>
      </c>
      <c r="X13" s="482">
        <v>24</v>
      </c>
      <c r="Y13" s="482">
        <v>25</v>
      </c>
      <c r="Z13" s="320">
        <v>26</v>
      </c>
      <c r="AA13" s="460"/>
    </row>
    <row r="14" spans="1:27" x14ac:dyDescent="0.2">
      <c r="A14" s="476">
        <v>1</v>
      </c>
      <c r="B14" s="487"/>
      <c r="C14" s="488"/>
      <c r="D14" s="488"/>
      <c r="E14" s="488"/>
      <c r="F14" s="488"/>
      <c r="G14" s="488"/>
      <c r="H14" s="487"/>
      <c r="I14" s="488"/>
      <c r="J14" s="488"/>
      <c r="K14" s="488"/>
      <c r="L14" s="488"/>
      <c r="M14" s="488"/>
      <c r="N14" s="488"/>
      <c r="O14" s="488"/>
      <c r="P14" s="488"/>
      <c r="Q14" s="488"/>
      <c r="R14" s="488"/>
      <c r="S14" s="488"/>
      <c r="T14" s="488"/>
      <c r="U14" s="488"/>
      <c r="V14" s="488"/>
      <c r="W14" s="488"/>
      <c r="X14" s="488"/>
      <c r="Y14" s="488"/>
      <c r="Z14" s="488"/>
      <c r="AA14" s="460"/>
    </row>
    <row r="15" spans="1:27" x14ac:dyDescent="0.2">
      <c r="A15" s="476">
        <v>2</v>
      </c>
      <c r="B15" s="487"/>
      <c r="C15" s="488"/>
      <c r="D15" s="488"/>
      <c r="E15" s="488"/>
      <c r="F15" s="488"/>
      <c r="G15" s="488"/>
      <c r="H15" s="487"/>
      <c r="I15" s="488"/>
      <c r="J15" s="488"/>
      <c r="K15" s="488"/>
      <c r="L15" s="488"/>
      <c r="M15" s="488"/>
      <c r="N15" s="488"/>
      <c r="O15" s="488"/>
      <c r="P15" s="488"/>
      <c r="Q15" s="488"/>
      <c r="R15" s="488"/>
      <c r="S15" s="488"/>
      <c r="T15" s="488"/>
      <c r="U15" s="488"/>
      <c r="V15" s="488"/>
      <c r="W15" s="488"/>
      <c r="X15" s="488"/>
      <c r="Y15" s="488"/>
      <c r="Z15" s="488"/>
      <c r="AA15" s="460"/>
    </row>
    <row r="16" spans="1:27" x14ac:dyDescent="0.2">
      <c r="A16" s="476">
        <v>3</v>
      </c>
      <c r="B16" s="487"/>
      <c r="C16" s="488"/>
      <c r="D16" s="488"/>
      <c r="E16" s="488"/>
      <c r="F16" s="488"/>
      <c r="G16" s="488"/>
      <c r="H16" s="487"/>
      <c r="I16" s="488"/>
      <c r="J16" s="488"/>
      <c r="K16" s="488"/>
      <c r="L16" s="488"/>
      <c r="M16" s="488"/>
      <c r="N16" s="488"/>
      <c r="O16" s="488"/>
      <c r="P16" s="488"/>
      <c r="Q16" s="488"/>
      <c r="R16" s="488"/>
      <c r="S16" s="488"/>
      <c r="T16" s="488"/>
      <c r="U16" s="488"/>
      <c r="V16" s="488"/>
      <c r="W16" s="488"/>
      <c r="X16" s="488"/>
      <c r="Y16" s="488"/>
      <c r="Z16" s="488"/>
      <c r="AA16" s="460"/>
    </row>
    <row r="17" spans="1:27" x14ac:dyDescent="0.2">
      <c r="A17" s="476">
        <v>4</v>
      </c>
      <c r="B17" s="487"/>
      <c r="C17" s="488"/>
      <c r="D17" s="488"/>
      <c r="E17" s="488"/>
      <c r="F17" s="488"/>
      <c r="G17" s="488"/>
      <c r="H17" s="487"/>
      <c r="I17" s="488"/>
      <c r="J17" s="488"/>
      <c r="K17" s="488"/>
      <c r="L17" s="488"/>
      <c r="M17" s="488"/>
      <c r="N17" s="488"/>
      <c r="O17" s="488"/>
      <c r="P17" s="488"/>
      <c r="Q17" s="488"/>
      <c r="R17" s="488"/>
      <c r="S17" s="488"/>
      <c r="T17" s="489"/>
      <c r="U17" s="488"/>
      <c r="V17" s="488"/>
      <c r="W17" s="489"/>
      <c r="X17" s="489"/>
      <c r="Y17" s="489"/>
      <c r="Z17" s="488"/>
      <c r="AA17" s="460"/>
    </row>
    <row r="18" spans="1:27" x14ac:dyDescent="0.2">
      <c r="A18" s="476">
        <v>5</v>
      </c>
      <c r="B18" s="487"/>
      <c r="C18" s="488"/>
      <c r="D18" s="488"/>
      <c r="E18" s="488"/>
      <c r="F18" s="488"/>
      <c r="G18" s="488"/>
      <c r="H18" s="487"/>
      <c r="I18" s="488"/>
      <c r="J18" s="488"/>
      <c r="K18" s="488"/>
      <c r="L18" s="488"/>
      <c r="M18" s="488"/>
      <c r="N18" s="488"/>
      <c r="O18" s="488"/>
      <c r="P18" s="488"/>
      <c r="Q18" s="488"/>
      <c r="R18" s="488"/>
      <c r="S18" s="488"/>
      <c r="T18" s="489"/>
      <c r="U18" s="488"/>
      <c r="V18" s="488"/>
      <c r="W18" s="489"/>
      <c r="X18" s="489"/>
      <c r="Y18" s="489"/>
      <c r="Z18" s="488"/>
      <c r="AA18" s="460"/>
    </row>
    <row r="19" spans="1:27" x14ac:dyDescent="0.2">
      <c r="A19" s="476">
        <v>6</v>
      </c>
      <c r="B19" s="487"/>
      <c r="C19" s="488"/>
      <c r="D19" s="488"/>
      <c r="E19" s="488"/>
      <c r="F19" s="488"/>
      <c r="G19" s="488"/>
      <c r="H19" s="487"/>
      <c r="I19" s="488"/>
      <c r="J19" s="488"/>
      <c r="K19" s="488"/>
      <c r="L19" s="488"/>
      <c r="M19" s="488"/>
      <c r="N19" s="488"/>
      <c r="O19" s="488"/>
      <c r="P19" s="488"/>
      <c r="Q19" s="488"/>
      <c r="R19" s="488"/>
      <c r="S19" s="488"/>
      <c r="T19" s="489"/>
      <c r="U19" s="488"/>
      <c r="V19" s="488"/>
      <c r="W19" s="489"/>
      <c r="X19" s="489"/>
      <c r="Y19" s="489"/>
      <c r="Z19" s="488"/>
      <c r="AA19" s="460"/>
    </row>
    <row r="20" spans="1:27" x14ac:dyDescent="0.2">
      <c r="A20" s="476">
        <v>7</v>
      </c>
      <c r="B20" s="487"/>
      <c r="C20" s="488"/>
      <c r="D20" s="488"/>
      <c r="E20" s="488"/>
      <c r="F20" s="488"/>
      <c r="G20" s="488"/>
      <c r="H20" s="487"/>
      <c r="I20" s="488"/>
      <c r="J20" s="488"/>
      <c r="K20" s="488"/>
      <c r="L20" s="488"/>
      <c r="M20" s="488"/>
      <c r="N20" s="488"/>
      <c r="O20" s="488"/>
      <c r="P20" s="488"/>
      <c r="Q20" s="488"/>
      <c r="R20" s="488"/>
      <c r="S20" s="488"/>
      <c r="T20" s="489"/>
      <c r="U20" s="488"/>
      <c r="V20" s="488"/>
      <c r="W20" s="489"/>
      <c r="X20" s="489"/>
      <c r="Y20" s="489"/>
      <c r="Z20" s="488"/>
      <c r="AA20" s="460"/>
    </row>
    <row r="21" spans="1:27" x14ac:dyDescent="0.2">
      <c r="A21" s="476">
        <v>8</v>
      </c>
      <c r="B21" s="487"/>
      <c r="C21" s="488"/>
      <c r="D21" s="488"/>
      <c r="E21" s="488"/>
      <c r="F21" s="488"/>
      <c r="G21" s="488"/>
      <c r="H21" s="487"/>
      <c r="I21" s="488"/>
      <c r="J21" s="488"/>
      <c r="K21" s="488"/>
      <c r="L21" s="488"/>
      <c r="M21" s="488"/>
      <c r="N21" s="488"/>
      <c r="O21" s="488"/>
      <c r="P21" s="488"/>
      <c r="Q21" s="488"/>
      <c r="R21" s="488"/>
      <c r="S21" s="488"/>
      <c r="T21" s="489"/>
      <c r="U21" s="488"/>
      <c r="V21" s="488"/>
      <c r="W21" s="489"/>
      <c r="X21" s="489"/>
      <c r="Y21" s="489"/>
      <c r="Z21" s="488"/>
      <c r="AA21" s="460"/>
    </row>
    <row r="22" spans="1:27" x14ac:dyDescent="0.2">
      <c r="A22" s="476">
        <v>9</v>
      </c>
      <c r="B22" s="487"/>
      <c r="C22" s="488"/>
      <c r="D22" s="488"/>
      <c r="E22" s="488"/>
      <c r="F22" s="488"/>
      <c r="G22" s="488"/>
      <c r="H22" s="487"/>
      <c r="I22" s="488"/>
      <c r="J22" s="488"/>
      <c r="K22" s="488"/>
      <c r="L22" s="488"/>
      <c r="M22" s="488"/>
      <c r="N22" s="488"/>
      <c r="O22" s="488"/>
      <c r="P22" s="488"/>
      <c r="Q22" s="488"/>
      <c r="R22" s="488"/>
      <c r="S22" s="488"/>
      <c r="T22" s="489"/>
      <c r="U22" s="488"/>
      <c r="V22" s="488"/>
      <c r="W22" s="489"/>
      <c r="X22" s="489"/>
      <c r="Y22" s="489"/>
      <c r="Z22" s="488"/>
      <c r="AA22" s="460"/>
    </row>
    <row r="23" spans="1:27" x14ac:dyDescent="0.2">
      <c r="A23" s="476">
        <v>10</v>
      </c>
      <c r="B23" s="490"/>
      <c r="C23" s="491"/>
      <c r="D23" s="491"/>
      <c r="E23" s="492"/>
      <c r="F23" s="492"/>
      <c r="G23" s="491"/>
      <c r="H23" s="487"/>
      <c r="I23" s="493"/>
      <c r="J23" s="491"/>
      <c r="K23" s="491"/>
      <c r="L23" s="491"/>
      <c r="M23" s="491"/>
      <c r="N23" s="491"/>
      <c r="O23" s="491"/>
      <c r="P23" s="491"/>
      <c r="Q23" s="491"/>
      <c r="R23" s="493"/>
      <c r="S23" s="491"/>
      <c r="T23" s="494"/>
      <c r="U23" s="491"/>
      <c r="V23" s="491"/>
      <c r="W23" s="494"/>
      <c r="X23" s="489"/>
      <c r="Y23" s="489"/>
      <c r="Z23" s="491"/>
      <c r="AA23" s="460"/>
    </row>
    <row r="24" spans="1:27" x14ac:dyDescent="0.2">
      <c r="A24" s="476">
        <v>11</v>
      </c>
      <c r="B24" s="487"/>
      <c r="C24" s="491"/>
      <c r="D24" s="491"/>
      <c r="E24" s="491"/>
      <c r="F24" s="491"/>
      <c r="G24" s="491"/>
      <c r="H24" s="487"/>
      <c r="I24" s="493"/>
      <c r="J24" s="491"/>
      <c r="K24" s="491"/>
      <c r="L24" s="491"/>
      <c r="M24" s="491"/>
      <c r="N24" s="491"/>
      <c r="O24" s="491"/>
      <c r="P24" s="491"/>
      <c r="Q24" s="491"/>
      <c r="R24" s="493"/>
      <c r="S24" s="491"/>
      <c r="T24" s="491"/>
      <c r="U24" s="491"/>
      <c r="V24" s="491"/>
      <c r="W24" s="491"/>
      <c r="X24" s="488"/>
      <c r="Y24" s="488"/>
      <c r="Z24" s="491"/>
      <c r="AA24" s="460"/>
    </row>
    <row r="25" spans="1:27" x14ac:dyDescent="0.2">
      <c r="A25" s="476">
        <v>12</v>
      </c>
      <c r="B25" s="487"/>
      <c r="C25" s="491"/>
      <c r="D25" s="491"/>
      <c r="E25" s="491"/>
      <c r="F25" s="491"/>
      <c r="G25" s="491"/>
      <c r="H25" s="487"/>
      <c r="I25" s="493"/>
      <c r="J25" s="491"/>
      <c r="K25" s="491"/>
      <c r="L25" s="491"/>
      <c r="M25" s="491"/>
      <c r="N25" s="491"/>
      <c r="O25" s="491"/>
      <c r="P25" s="491"/>
      <c r="Q25" s="491"/>
      <c r="R25" s="493"/>
      <c r="S25" s="491"/>
      <c r="T25" s="491"/>
      <c r="U25" s="491"/>
      <c r="V25" s="491"/>
      <c r="W25" s="491"/>
      <c r="X25" s="488"/>
      <c r="Y25" s="488"/>
      <c r="Z25" s="491"/>
      <c r="AA25" s="460"/>
    </row>
    <row r="26" spans="1:27" x14ac:dyDescent="0.2">
      <c r="A26" s="598" t="s">
        <v>10</v>
      </c>
      <c r="B26" s="599"/>
      <c r="C26" s="471">
        <f>SUM(C14:C25)</f>
        <v>0</v>
      </c>
      <c r="D26" s="471">
        <f t="shared" ref="D26:F26" si="0">SUM(D14:D25)</f>
        <v>0</v>
      </c>
      <c r="E26" s="471">
        <f t="shared" si="0"/>
        <v>0</v>
      </c>
      <c r="F26" s="471">
        <f t="shared" si="0"/>
        <v>0</v>
      </c>
      <c r="G26" s="471">
        <f>SUM(G14:G25)</f>
        <v>0</v>
      </c>
      <c r="H26" s="471"/>
      <c r="I26" s="471">
        <f>SUM(I14:I25)</f>
        <v>0</v>
      </c>
      <c r="J26" s="471">
        <f t="shared" ref="J26:Z26" si="1">SUM(J14:J25)</f>
        <v>0</v>
      </c>
      <c r="K26" s="471">
        <f t="shared" si="1"/>
        <v>0</v>
      </c>
      <c r="L26" s="471">
        <f t="shared" si="1"/>
        <v>0</v>
      </c>
      <c r="M26" s="471">
        <f t="shared" si="1"/>
        <v>0</v>
      </c>
      <c r="N26" s="471">
        <f t="shared" si="1"/>
        <v>0</v>
      </c>
      <c r="O26" s="471">
        <f t="shared" si="1"/>
        <v>0</v>
      </c>
      <c r="P26" s="471">
        <f t="shared" si="1"/>
        <v>0</v>
      </c>
      <c r="Q26" s="471">
        <f t="shared" si="1"/>
        <v>0</v>
      </c>
      <c r="R26" s="471">
        <f t="shared" si="1"/>
        <v>0</v>
      </c>
      <c r="S26" s="471">
        <f t="shared" si="1"/>
        <v>0</v>
      </c>
      <c r="T26" s="471">
        <f t="shared" si="1"/>
        <v>0</v>
      </c>
      <c r="U26" s="471">
        <f t="shared" si="1"/>
        <v>0</v>
      </c>
      <c r="V26" s="471">
        <f t="shared" si="1"/>
        <v>0</v>
      </c>
      <c r="W26" s="471">
        <f t="shared" si="1"/>
        <v>0</v>
      </c>
      <c r="X26" s="471">
        <f t="shared" si="1"/>
        <v>0</v>
      </c>
      <c r="Y26" s="471">
        <f t="shared" si="1"/>
        <v>0</v>
      </c>
      <c r="Z26" s="471">
        <f t="shared" si="1"/>
        <v>0</v>
      </c>
      <c r="AA26" s="460"/>
    </row>
    <row r="27" spans="1:27" x14ac:dyDescent="0.2">
      <c r="A27" s="472"/>
      <c r="B27" s="472"/>
      <c r="C27" s="473"/>
      <c r="D27" s="473"/>
      <c r="E27" s="473"/>
      <c r="F27" s="473"/>
      <c r="G27" s="473"/>
      <c r="H27" s="473"/>
      <c r="I27" s="473"/>
      <c r="J27" s="473"/>
      <c r="K27" s="473"/>
      <c r="L27" s="473"/>
      <c r="M27" s="473"/>
      <c r="N27" s="473"/>
      <c r="O27" s="473"/>
      <c r="P27" s="473"/>
      <c r="Q27" s="473"/>
      <c r="R27" s="473"/>
      <c r="S27" s="473"/>
      <c r="T27" s="473"/>
      <c r="U27" s="473"/>
      <c r="V27" s="473"/>
      <c r="W27" s="473"/>
      <c r="X27" s="473"/>
      <c r="Y27" s="474"/>
      <c r="Z27" s="474"/>
      <c r="AA27" s="460"/>
    </row>
    <row r="28" spans="1:27" x14ac:dyDescent="0.2">
      <c r="B28" s="445"/>
      <c r="C28" s="597"/>
      <c r="D28" s="597"/>
      <c r="E28" s="597"/>
      <c r="F28" s="597"/>
      <c r="G28" s="597"/>
      <c r="H28" s="557"/>
      <c r="I28" s="557"/>
      <c r="J28" s="557"/>
      <c r="K28" s="557"/>
      <c r="L28" s="557"/>
      <c r="M28" s="557"/>
      <c r="O28" s="557"/>
      <c r="P28" s="557"/>
      <c r="Q28" s="557"/>
      <c r="R28" s="557"/>
      <c r="S28" s="557"/>
      <c r="T28" s="557"/>
      <c r="U28" s="557"/>
      <c r="V28" s="557"/>
      <c r="W28" s="557"/>
      <c r="Y28" s="445"/>
      <c r="Z28" s="445"/>
    </row>
    <row r="29" spans="1:27" ht="13.5" thickBot="1" x14ac:dyDescent="0.25">
      <c r="C29" s="595"/>
      <c r="D29" s="595"/>
      <c r="E29" s="595"/>
      <c r="F29" s="595"/>
      <c r="G29" s="595"/>
      <c r="H29" s="595"/>
      <c r="I29" s="595"/>
      <c r="J29" s="595"/>
      <c r="K29" s="595"/>
      <c r="L29" s="595"/>
      <c r="M29" s="595"/>
      <c r="O29" s="595"/>
      <c r="P29" s="595"/>
      <c r="Q29" s="595"/>
      <c r="R29" s="595"/>
      <c r="S29" s="595"/>
      <c r="T29" s="595"/>
      <c r="U29" s="595"/>
      <c r="V29" s="595"/>
      <c r="W29" s="595"/>
      <c r="Y29" s="475"/>
      <c r="Z29" s="475"/>
    </row>
    <row r="30" spans="1:27" x14ac:dyDescent="0.2">
      <c r="A30" s="460"/>
      <c r="B30" s="596" t="s">
        <v>1091</v>
      </c>
      <c r="C30" s="596"/>
      <c r="D30" s="596"/>
      <c r="E30" s="596"/>
      <c r="F30" s="596"/>
      <c r="G30" s="596"/>
      <c r="H30" s="596"/>
      <c r="I30" s="596"/>
      <c r="J30" s="596"/>
      <c r="K30" s="596"/>
      <c r="L30" s="596"/>
      <c r="M30" s="596"/>
      <c r="N30" s="596"/>
      <c r="O30" s="596"/>
      <c r="P30" s="596"/>
      <c r="Q30" s="596"/>
      <c r="R30" s="596"/>
      <c r="S30" s="596"/>
      <c r="T30" s="596"/>
      <c r="U30" s="596"/>
      <c r="V30" s="596"/>
      <c r="W30" s="596"/>
      <c r="X30" s="596"/>
      <c r="Y30" s="596"/>
      <c r="Z30" s="596"/>
      <c r="AA30" s="460"/>
    </row>
    <row r="31" spans="1:27" x14ac:dyDescent="0.2">
      <c r="A31" s="460"/>
      <c r="B31" s="594" t="s">
        <v>1085</v>
      </c>
      <c r="C31" s="594"/>
      <c r="D31" s="594"/>
      <c r="E31" s="594"/>
      <c r="F31" s="594"/>
      <c r="G31" s="594"/>
      <c r="H31" s="594"/>
      <c r="I31" s="594"/>
      <c r="J31" s="594"/>
      <c r="K31" s="594"/>
      <c r="L31" s="594"/>
      <c r="M31" s="594"/>
      <c r="N31" s="594"/>
      <c r="O31" s="594"/>
      <c r="P31" s="594"/>
      <c r="Q31" s="594"/>
      <c r="R31" s="594"/>
      <c r="S31" s="594"/>
      <c r="T31" s="594"/>
      <c r="U31" s="594"/>
      <c r="V31" s="594"/>
      <c r="W31" s="594"/>
      <c r="X31" s="594"/>
      <c r="Y31" s="594"/>
      <c r="Z31" s="594"/>
      <c r="AA31" s="460"/>
    </row>
    <row r="32" spans="1:27" x14ac:dyDescent="0.2">
      <c r="B32" s="4" t="s">
        <v>1087</v>
      </c>
    </row>
    <row r="33" spans="2:6" x14ac:dyDescent="0.2">
      <c r="B33" s="4" t="s">
        <v>1088</v>
      </c>
    </row>
    <row r="34" spans="2:6" x14ac:dyDescent="0.2">
      <c r="B34" s="4" t="s">
        <v>1089</v>
      </c>
    </row>
    <row r="35" spans="2:6" x14ac:dyDescent="0.2">
      <c r="B35" s="4" t="s">
        <v>1090</v>
      </c>
    </row>
    <row r="37" spans="2:6" x14ac:dyDescent="0.2">
      <c r="B37" s="2" t="s">
        <v>285</v>
      </c>
      <c r="C37" s="4"/>
      <c r="D37" s="4"/>
    </row>
    <row r="38" spans="2:6" x14ac:dyDescent="0.2">
      <c r="B38" s="5"/>
      <c r="C38" s="4"/>
      <c r="D38" s="4"/>
    </row>
    <row r="39" spans="2:6" x14ac:dyDescent="0.2">
      <c r="B39" s="446" t="s">
        <v>1063</v>
      </c>
      <c r="C39" s="4"/>
      <c r="D39" s="4"/>
    </row>
    <row r="40" spans="2:6" x14ac:dyDescent="0.2">
      <c r="B40" s="5"/>
      <c r="C40" s="4"/>
      <c r="D40" s="4"/>
    </row>
    <row r="41" spans="2:6" x14ac:dyDescent="0.2">
      <c r="B41" s="446" t="s">
        <v>287</v>
      </c>
      <c r="D41" s="520" t="s">
        <v>288</v>
      </c>
      <c r="E41" s="520"/>
      <c r="F41" s="4" t="s">
        <v>289</v>
      </c>
    </row>
    <row r="42" spans="2:6" x14ac:dyDescent="0.2">
      <c r="B42" s="5"/>
      <c r="D42" s="520"/>
      <c r="E42" s="520"/>
      <c r="F42" s="4"/>
    </row>
    <row r="43" spans="2:6" x14ac:dyDescent="0.2">
      <c r="B43" s="446" t="s">
        <v>290</v>
      </c>
      <c r="D43" s="520" t="s">
        <v>291</v>
      </c>
      <c r="E43" s="520"/>
      <c r="F43" s="4" t="s">
        <v>292</v>
      </c>
    </row>
    <row r="44" spans="2:6" x14ac:dyDescent="0.2">
      <c r="B44" s="5"/>
      <c r="D44" s="520"/>
      <c r="E44" s="520"/>
      <c r="F44" s="4"/>
    </row>
    <row r="45" spans="2:6" x14ac:dyDescent="0.2">
      <c r="B45" s="446" t="s">
        <v>293</v>
      </c>
      <c r="D45" s="520" t="s">
        <v>288</v>
      </c>
      <c r="E45" s="520"/>
      <c r="F45" s="4" t="s">
        <v>292</v>
      </c>
    </row>
  </sheetData>
  <sheetProtection password="CD1F" sheet="1" objects="1" scenarios="1"/>
  <mergeCells count="47">
    <mergeCell ref="Z10:Z12"/>
    <mergeCell ref="F11:F12"/>
    <mergeCell ref="G11:G12"/>
    <mergeCell ref="I11:I12"/>
    <mergeCell ref="J11:J12"/>
    <mergeCell ref="K11:K12"/>
    <mergeCell ref="L11:L12"/>
    <mergeCell ref="M11:M12"/>
    <mergeCell ref="N11:N12"/>
    <mergeCell ref="O11:P11"/>
    <mergeCell ref="I10:K10"/>
    <mergeCell ref="L10:N10"/>
    <mergeCell ref="O10:S10"/>
    <mergeCell ref="T10:U10"/>
    <mergeCell ref="V10:W10"/>
    <mergeCell ref="X10:Y10"/>
    <mergeCell ref="A26:B26"/>
    <mergeCell ref="Y11:Y12"/>
    <mergeCell ref="Q11:S11"/>
    <mergeCell ref="T11:T12"/>
    <mergeCell ref="U11:U12"/>
    <mergeCell ref="V11:V12"/>
    <mergeCell ref="W11:W12"/>
    <mergeCell ref="X11:X12"/>
    <mergeCell ref="A10:A12"/>
    <mergeCell ref="B10:B12"/>
    <mergeCell ref="C10:C12"/>
    <mergeCell ref="D10:E11"/>
    <mergeCell ref="F10:G10"/>
    <mergeCell ref="H10:H12"/>
    <mergeCell ref="B31:Z31"/>
    <mergeCell ref="S29:T29"/>
    <mergeCell ref="U29:W29"/>
    <mergeCell ref="B30:Z30"/>
    <mergeCell ref="S28:T28"/>
    <mergeCell ref="U28:W28"/>
    <mergeCell ref="C29:G29"/>
    <mergeCell ref="H29:M29"/>
    <mergeCell ref="O29:R29"/>
    <mergeCell ref="C28:G28"/>
    <mergeCell ref="H28:M28"/>
    <mergeCell ref="O28:R28"/>
    <mergeCell ref="D41:E41"/>
    <mergeCell ref="D42:E42"/>
    <mergeCell ref="D43:E43"/>
    <mergeCell ref="D44:E44"/>
    <mergeCell ref="D45:E45"/>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8E548-9013-42B9-9E8A-99E364021C80}">
  <sheetPr>
    <pageSetUpPr fitToPage="1"/>
  </sheetPr>
  <dimension ref="A1:G569"/>
  <sheetViews>
    <sheetView tabSelected="1" zoomScale="96" zoomScaleNormal="96" workbookViewId="0">
      <pane xSplit="1" topLeftCell="B1" activePane="topRight" state="frozen"/>
      <selection activeCell="L11" sqref="L11"/>
      <selection pane="topRight" activeCell="C23" sqref="C23"/>
    </sheetView>
  </sheetViews>
  <sheetFormatPr defaultRowHeight="12.75" x14ac:dyDescent="0.2"/>
  <cols>
    <col min="1" max="1" width="5.7109375" style="73" customWidth="1"/>
    <col min="2" max="2" width="36.85546875" style="365" customWidth="1"/>
    <col min="3" max="3" width="28.5703125" style="366" customWidth="1"/>
    <col min="4" max="4" width="28.5703125" style="367" customWidth="1"/>
    <col min="5" max="5" width="28.5703125" style="248" customWidth="1"/>
    <col min="6" max="256" width="9.140625" style="73"/>
    <col min="257" max="257" width="5.7109375" style="73" customWidth="1"/>
    <col min="258" max="258" width="36.85546875" style="73" customWidth="1"/>
    <col min="259" max="261" width="17.85546875" style="73" customWidth="1"/>
    <col min="262" max="512" width="9.140625" style="73"/>
    <col min="513" max="513" width="5.7109375" style="73" customWidth="1"/>
    <col min="514" max="514" width="36.85546875" style="73" customWidth="1"/>
    <col min="515" max="517" width="17.85546875" style="73" customWidth="1"/>
    <col min="518" max="768" width="9.140625" style="73"/>
    <col min="769" max="769" width="5.7109375" style="73" customWidth="1"/>
    <col min="770" max="770" width="36.85546875" style="73" customWidth="1"/>
    <col min="771" max="773" width="17.85546875" style="73" customWidth="1"/>
    <col min="774" max="1024" width="9.140625" style="73"/>
    <col min="1025" max="1025" width="5.7109375" style="73" customWidth="1"/>
    <col min="1026" max="1026" width="36.85546875" style="73" customWidth="1"/>
    <col min="1027" max="1029" width="17.85546875" style="73" customWidth="1"/>
    <col min="1030" max="1280" width="9.140625" style="73"/>
    <col min="1281" max="1281" width="5.7109375" style="73" customWidth="1"/>
    <col min="1282" max="1282" width="36.85546875" style="73" customWidth="1"/>
    <col min="1283" max="1285" width="17.85546875" style="73" customWidth="1"/>
    <col min="1286" max="1536" width="9.140625" style="73"/>
    <col min="1537" max="1537" width="5.7109375" style="73" customWidth="1"/>
    <col min="1538" max="1538" width="36.85546875" style="73" customWidth="1"/>
    <col min="1539" max="1541" width="17.85546875" style="73" customWidth="1"/>
    <col min="1542" max="1792" width="9.140625" style="73"/>
    <col min="1793" max="1793" width="5.7109375" style="73" customWidth="1"/>
    <col min="1794" max="1794" width="36.85546875" style="73" customWidth="1"/>
    <col min="1795" max="1797" width="17.85546875" style="73" customWidth="1"/>
    <col min="1798" max="2048" width="9.140625" style="73"/>
    <col min="2049" max="2049" width="5.7109375" style="73" customWidth="1"/>
    <col min="2050" max="2050" width="36.85546875" style="73" customWidth="1"/>
    <col min="2051" max="2053" width="17.85546875" style="73" customWidth="1"/>
    <col min="2054" max="2304" width="9.140625" style="73"/>
    <col min="2305" max="2305" width="5.7109375" style="73" customWidth="1"/>
    <col min="2306" max="2306" width="36.85546875" style="73" customWidth="1"/>
    <col min="2307" max="2309" width="17.85546875" style="73" customWidth="1"/>
    <col min="2310" max="2560" width="9.140625" style="73"/>
    <col min="2561" max="2561" width="5.7109375" style="73" customWidth="1"/>
    <col min="2562" max="2562" width="36.85546875" style="73" customWidth="1"/>
    <col min="2563" max="2565" width="17.85546875" style="73" customWidth="1"/>
    <col min="2566" max="2816" width="9.140625" style="73"/>
    <col min="2817" max="2817" width="5.7109375" style="73" customWidth="1"/>
    <col min="2818" max="2818" width="36.85546875" style="73" customWidth="1"/>
    <col min="2819" max="2821" width="17.85546875" style="73" customWidth="1"/>
    <col min="2822" max="3072" width="9.140625" style="73"/>
    <col min="3073" max="3073" width="5.7109375" style="73" customWidth="1"/>
    <col min="3074" max="3074" width="36.85546875" style="73" customWidth="1"/>
    <col min="3075" max="3077" width="17.85546875" style="73" customWidth="1"/>
    <col min="3078" max="3328" width="9.140625" style="73"/>
    <col min="3329" max="3329" width="5.7109375" style="73" customWidth="1"/>
    <col min="3330" max="3330" width="36.85546875" style="73" customWidth="1"/>
    <col min="3331" max="3333" width="17.85546875" style="73" customWidth="1"/>
    <col min="3334" max="3584" width="9.140625" style="73"/>
    <col min="3585" max="3585" width="5.7109375" style="73" customWidth="1"/>
    <col min="3586" max="3586" width="36.85546875" style="73" customWidth="1"/>
    <col min="3587" max="3589" width="17.85546875" style="73" customWidth="1"/>
    <col min="3590" max="3840" width="9.140625" style="73"/>
    <col min="3841" max="3841" width="5.7109375" style="73" customWidth="1"/>
    <col min="3842" max="3842" width="36.85546875" style="73" customWidth="1"/>
    <col min="3843" max="3845" width="17.85546875" style="73" customWidth="1"/>
    <col min="3846" max="4096" width="9.140625" style="73"/>
    <col min="4097" max="4097" width="5.7109375" style="73" customWidth="1"/>
    <col min="4098" max="4098" width="36.85546875" style="73" customWidth="1"/>
    <col min="4099" max="4101" width="17.85546875" style="73" customWidth="1"/>
    <col min="4102" max="4352" width="9.140625" style="73"/>
    <col min="4353" max="4353" width="5.7109375" style="73" customWidth="1"/>
    <col min="4354" max="4354" width="36.85546875" style="73" customWidth="1"/>
    <col min="4355" max="4357" width="17.85546875" style="73" customWidth="1"/>
    <col min="4358" max="4608" width="9.140625" style="73"/>
    <col min="4609" max="4609" width="5.7109375" style="73" customWidth="1"/>
    <col min="4610" max="4610" width="36.85546875" style="73" customWidth="1"/>
    <col min="4611" max="4613" width="17.85546875" style="73" customWidth="1"/>
    <col min="4614" max="4864" width="9.140625" style="73"/>
    <col min="4865" max="4865" width="5.7109375" style="73" customWidth="1"/>
    <col min="4866" max="4866" width="36.85546875" style="73" customWidth="1"/>
    <col min="4867" max="4869" width="17.85546875" style="73" customWidth="1"/>
    <col min="4870" max="5120" width="9.140625" style="73"/>
    <col min="5121" max="5121" width="5.7109375" style="73" customWidth="1"/>
    <col min="5122" max="5122" width="36.85546875" style="73" customWidth="1"/>
    <col min="5123" max="5125" width="17.85546875" style="73" customWidth="1"/>
    <col min="5126" max="5376" width="9.140625" style="73"/>
    <col min="5377" max="5377" width="5.7109375" style="73" customWidth="1"/>
    <col min="5378" max="5378" width="36.85546875" style="73" customWidth="1"/>
    <col min="5379" max="5381" width="17.85546875" style="73" customWidth="1"/>
    <col min="5382" max="5632" width="9.140625" style="73"/>
    <col min="5633" max="5633" width="5.7109375" style="73" customWidth="1"/>
    <col min="5634" max="5634" width="36.85546875" style="73" customWidth="1"/>
    <col min="5635" max="5637" width="17.85546875" style="73" customWidth="1"/>
    <col min="5638" max="5888" width="9.140625" style="73"/>
    <col min="5889" max="5889" width="5.7109375" style="73" customWidth="1"/>
    <col min="5890" max="5890" width="36.85546875" style="73" customWidth="1"/>
    <col min="5891" max="5893" width="17.85546875" style="73" customWidth="1"/>
    <col min="5894" max="6144" width="9.140625" style="73"/>
    <col min="6145" max="6145" width="5.7109375" style="73" customWidth="1"/>
    <col min="6146" max="6146" width="36.85546875" style="73" customWidth="1"/>
    <col min="6147" max="6149" width="17.85546875" style="73" customWidth="1"/>
    <col min="6150" max="6400" width="9.140625" style="73"/>
    <col min="6401" max="6401" width="5.7109375" style="73" customWidth="1"/>
    <col min="6402" max="6402" width="36.85546875" style="73" customWidth="1"/>
    <col min="6403" max="6405" width="17.85546875" style="73" customWidth="1"/>
    <col min="6406" max="6656" width="9.140625" style="73"/>
    <col min="6657" max="6657" width="5.7109375" style="73" customWidth="1"/>
    <col min="6658" max="6658" width="36.85546875" style="73" customWidth="1"/>
    <col min="6659" max="6661" width="17.85546875" style="73" customWidth="1"/>
    <col min="6662" max="6912" width="9.140625" style="73"/>
    <col min="6913" max="6913" width="5.7109375" style="73" customWidth="1"/>
    <col min="6914" max="6914" width="36.85546875" style="73" customWidth="1"/>
    <col min="6915" max="6917" width="17.85546875" style="73" customWidth="1"/>
    <col min="6918" max="7168" width="9.140625" style="73"/>
    <col min="7169" max="7169" width="5.7109375" style="73" customWidth="1"/>
    <col min="7170" max="7170" width="36.85546875" style="73" customWidth="1"/>
    <col min="7171" max="7173" width="17.85546875" style="73" customWidth="1"/>
    <col min="7174" max="7424" width="9.140625" style="73"/>
    <col min="7425" max="7425" width="5.7109375" style="73" customWidth="1"/>
    <col min="7426" max="7426" width="36.85546875" style="73" customWidth="1"/>
    <col min="7427" max="7429" width="17.85546875" style="73" customWidth="1"/>
    <col min="7430" max="7680" width="9.140625" style="73"/>
    <col min="7681" max="7681" width="5.7109375" style="73" customWidth="1"/>
    <col min="7682" max="7682" width="36.85546875" style="73" customWidth="1"/>
    <col min="7683" max="7685" width="17.85546875" style="73" customWidth="1"/>
    <col min="7686" max="7936" width="9.140625" style="73"/>
    <col min="7937" max="7937" width="5.7109375" style="73" customWidth="1"/>
    <col min="7938" max="7938" width="36.85546875" style="73" customWidth="1"/>
    <col min="7939" max="7941" width="17.85546875" style="73" customWidth="1"/>
    <col min="7942" max="8192" width="9.140625" style="73"/>
    <col min="8193" max="8193" width="5.7109375" style="73" customWidth="1"/>
    <col min="8194" max="8194" width="36.85546875" style="73" customWidth="1"/>
    <col min="8195" max="8197" width="17.85546875" style="73" customWidth="1"/>
    <col min="8198" max="8448" width="9.140625" style="73"/>
    <col min="8449" max="8449" width="5.7109375" style="73" customWidth="1"/>
    <col min="8450" max="8450" width="36.85546875" style="73" customWidth="1"/>
    <col min="8451" max="8453" width="17.85546875" style="73" customWidth="1"/>
    <col min="8454" max="8704" width="9.140625" style="73"/>
    <col min="8705" max="8705" width="5.7109375" style="73" customWidth="1"/>
    <col min="8706" max="8706" width="36.85546875" style="73" customWidth="1"/>
    <col min="8707" max="8709" width="17.85546875" style="73" customWidth="1"/>
    <col min="8710" max="8960" width="9.140625" style="73"/>
    <col min="8961" max="8961" width="5.7109375" style="73" customWidth="1"/>
    <col min="8962" max="8962" width="36.85546875" style="73" customWidth="1"/>
    <col min="8963" max="8965" width="17.85546875" style="73" customWidth="1"/>
    <col min="8966" max="9216" width="9.140625" style="73"/>
    <col min="9217" max="9217" width="5.7109375" style="73" customWidth="1"/>
    <col min="9218" max="9218" width="36.85546875" style="73" customWidth="1"/>
    <col min="9219" max="9221" width="17.85546875" style="73" customWidth="1"/>
    <col min="9222" max="9472" width="9.140625" style="73"/>
    <col min="9473" max="9473" width="5.7109375" style="73" customWidth="1"/>
    <col min="9474" max="9474" width="36.85546875" style="73" customWidth="1"/>
    <col min="9475" max="9477" width="17.85546875" style="73" customWidth="1"/>
    <col min="9478" max="9728" width="9.140625" style="73"/>
    <col min="9729" max="9729" width="5.7109375" style="73" customWidth="1"/>
    <col min="9730" max="9730" width="36.85546875" style="73" customWidth="1"/>
    <col min="9731" max="9733" width="17.85546875" style="73" customWidth="1"/>
    <col min="9734" max="9984" width="9.140625" style="73"/>
    <col min="9985" max="9985" width="5.7109375" style="73" customWidth="1"/>
    <col min="9986" max="9986" width="36.85546875" style="73" customWidth="1"/>
    <col min="9987" max="9989" width="17.85546875" style="73" customWidth="1"/>
    <col min="9990" max="10240" width="9.140625" style="73"/>
    <col min="10241" max="10241" width="5.7109375" style="73" customWidth="1"/>
    <col min="10242" max="10242" width="36.85546875" style="73" customWidth="1"/>
    <col min="10243" max="10245" width="17.85546875" style="73" customWidth="1"/>
    <col min="10246" max="10496" width="9.140625" style="73"/>
    <col min="10497" max="10497" width="5.7109375" style="73" customWidth="1"/>
    <col min="10498" max="10498" width="36.85546875" style="73" customWidth="1"/>
    <col min="10499" max="10501" width="17.85546875" style="73" customWidth="1"/>
    <col min="10502" max="10752" width="9.140625" style="73"/>
    <col min="10753" max="10753" width="5.7109375" style="73" customWidth="1"/>
    <col min="10754" max="10754" width="36.85546875" style="73" customWidth="1"/>
    <col min="10755" max="10757" width="17.85546875" style="73" customWidth="1"/>
    <col min="10758" max="11008" width="9.140625" style="73"/>
    <col min="11009" max="11009" width="5.7109375" style="73" customWidth="1"/>
    <col min="11010" max="11010" width="36.85546875" style="73" customWidth="1"/>
    <col min="11011" max="11013" width="17.85546875" style="73" customWidth="1"/>
    <col min="11014" max="11264" width="9.140625" style="73"/>
    <col min="11265" max="11265" width="5.7109375" style="73" customWidth="1"/>
    <col min="11266" max="11266" width="36.85546875" style="73" customWidth="1"/>
    <col min="11267" max="11269" width="17.85546875" style="73" customWidth="1"/>
    <col min="11270" max="11520" width="9.140625" style="73"/>
    <col min="11521" max="11521" width="5.7109375" style="73" customWidth="1"/>
    <col min="11522" max="11522" width="36.85546875" style="73" customWidth="1"/>
    <col min="11523" max="11525" width="17.85546875" style="73" customWidth="1"/>
    <col min="11526" max="11776" width="9.140625" style="73"/>
    <col min="11777" max="11777" width="5.7109375" style="73" customWidth="1"/>
    <col min="11778" max="11778" width="36.85546875" style="73" customWidth="1"/>
    <col min="11779" max="11781" width="17.85546875" style="73" customWidth="1"/>
    <col min="11782" max="12032" width="9.140625" style="73"/>
    <col min="12033" max="12033" width="5.7109375" style="73" customWidth="1"/>
    <col min="12034" max="12034" width="36.85546875" style="73" customWidth="1"/>
    <col min="12035" max="12037" width="17.85546875" style="73" customWidth="1"/>
    <col min="12038" max="12288" width="9.140625" style="73"/>
    <col min="12289" max="12289" width="5.7109375" style="73" customWidth="1"/>
    <col min="12290" max="12290" width="36.85546875" style="73" customWidth="1"/>
    <col min="12291" max="12293" width="17.85546875" style="73" customWidth="1"/>
    <col min="12294" max="12544" width="9.140625" style="73"/>
    <col min="12545" max="12545" width="5.7109375" style="73" customWidth="1"/>
    <col min="12546" max="12546" width="36.85546875" style="73" customWidth="1"/>
    <col min="12547" max="12549" width="17.85546875" style="73" customWidth="1"/>
    <col min="12550" max="12800" width="9.140625" style="73"/>
    <col min="12801" max="12801" width="5.7109375" style="73" customWidth="1"/>
    <col min="12802" max="12802" width="36.85546875" style="73" customWidth="1"/>
    <col min="12803" max="12805" width="17.85546875" style="73" customWidth="1"/>
    <col min="12806" max="13056" width="9.140625" style="73"/>
    <col min="13057" max="13057" width="5.7109375" style="73" customWidth="1"/>
    <col min="13058" max="13058" width="36.85546875" style="73" customWidth="1"/>
    <col min="13059" max="13061" width="17.85546875" style="73" customWidth="1"/>
    <col min="13062" max="13312" width="9.140625" style="73"/>
    <col min="13313" max="13313" width="5.7109375" style="73" customWidth="1"/>
    <col min="13314" max="13314" width="36.85546875" style="73" customWidth="1"/>
    <col min="13315" max="13317" width="17.85546875" style="73" customWidth="1"/>
    <col min="13318" max="13568" width="9.140625" style="73"/>
    <col min="13569" max="13569" width="5.7109375" style="73" customWidth="1"/>
    <col min="13570" max="13570" width="36.85546875" style="73" customWidth="1"/>
    <col min="13571" max="13573" width="17.85546875" style="73" customWidth="1"/>
    <col min="13574" max="13824" width="9.140625" style="73"/>
    <col min="13825" max="13825" width="5.7109375" style="73" customWidth="1"/>
    <col min="13826" max="13826" width="36.85546875" style="73" customWidth="1"/>
    <col min="13827" max="13829" width="17.85546875" style="73" customWidth="1"/>
    <col min="13830" max="14080" width="9.140625" style="73"/>
    <col min="14081" max="14081" width="5.7109375" style="73" customWidth="1"/>
    <col min="14082" max="14082" width="36.85546875" style="73" customWidth="1"/>
    <col min="14083" max="14085" width="17.85546875" style="73" customWidth="1"/>
    <col min="14086" max="14336" width="9.140625" style="73"/>
    <col min="14337" max="14337" width="5.7109375" style="73" customWidth="1"/>
    <col min="14338" max="14338" width="36.85546875" style="73" customWidth="1"/>
    <col min="14339" max="14341" width="17.85546875" style="73" customWidth="1"/>
    <col min="14342" max="14592" width="9.140625" style="73"/>
    <col min="14593" max="14593" width="5.7109375" style="73" customWidth="1"/>
    <col min="14594" max="14594" width="36.85546875" style="73" customWidth="1"/>
    <col min="14595" max="14597" width="17.85546875" style="73" customWidth="1"/>
    <col min="14598" max="14848" width="9.140625" style="73"/>
    <col min="14849" max="14849" width="5.7109375" style="73" customWidth="1"/>
    <col min="14850" max="14850" width="36.85546875" style="73" customWidth="1"/>
    <col min="14851" max="14853" width="17.85546875" style="73" customWidth="1"/>
    <col min="14854" max="15104" width="9.140625" style="73"/>
    <col min="15105" max="15105" width="5.7109375" style="73" customWidth="1"/>
    <col min="15106" max="15106" width="36.85546875" style="73" customWidth="1"/>
    <col min="15107" max="15109" width="17.85546875" style="73" customWidth="1"/>
    <col min="15110" max="15360" width="9.140625" style="73"/>
    <col min="15361" max="15361" width="5.7109375" style="73" customWidth="1"/>
    <col min="15362" max="15362" width="36.85546875" style="73" customWidth="1"/>
    <col min="15363" max="15365" width="17.85546875" style="73" customWidth="1"/>
    <col min="15366" max="15616" width="9.140625" style="73"/>
    <col min="15617" max="15617" width="5.7109375" style="73" customWidth="1"/>
    <col min="15618" max="15618" width="36.85546875" style="73" customWidth="1"/>
    <col min="15619" max="15621" width="17.85546875" style="73" customWidth="1"/>
    <col min="15622" max="15872" width="9.140625" style="73"/>
    <col min="15873" max="15873" width="5.7109375" style="73" customWidth="1"/>
    <col min="15874" max="15874" width="36.85546875" style="73" customWidth="1"/>
    <col min="15875" max="15877" width="17.85546875" style="73" customWidth="1"/>
    <col min="15878" max="16128" width="9.140625" style="73"/>
    <col min="16129" max="16129" width="5.7109375" style="73" customWidth="1"/>
    <col min="16130" max="16130" width="36.85546875" style="73" customWidth="1"/>
    <col min="16131" max="16133" width="17.85546875" style="73" customWidth="1"/>
    <col min="16134" max="16384" width="9.140625" style="73"/>
  </cols>
  <sheetData>
    <row r="1" spans="1:5" x14ac:dyDescent="0.2">
      <c r="A1" s="74"/>
      <c r="B1" s="225"/>
      <c r="C1" s="226"/>
      <c r="D1" s="227"/>
      <c r="E1" s="74"/>
    </row>
    <row r="2" spans="1:5" x14ac:dyDescent="0.2">
      <c r="A2" s="567" t="s">
        <v>788</v>
      </c>
      <c r="B2" s="567"/>
      <c r="C2" s="567"/>
      <c r="D2" s="567"/>
      <c r="E2" s="567"/>
    </row>
    <row r="3" spans="1:5" x14ac:dyDescent="0.2">
      <c r="A3" s="74"/>
      <c r="B3" s="352"/>
      <c r="C3" s="226"/>
      <c r="D3" s="227"/>
      <c r="E3" s="74"/>
    </row>
    <row r="4" spans="1:5" x14ac:dyDescent="0.2">
      <c r="A4" s="74"/>
      <c r="B4" s="352"/>
      <c r="C4" s="226"/>
      <c r="D4" s="227"/>
      <c r="E4" s="74"/>
    </row>
    <row r="5" spans="1:5" ht="12.75" customHeight="1" x14ac:dyDescent="0.2">
      <c r="A5" s="603" t="s">
        <v>779</v>
      </c>
      <c r="B5" s="603"/>
      <c r="C5" s="603"/>
      <c r="D5" s="562" t="s">
        <v>742</v>
      </c>
      <c r="E5" s="562"/>
    </row>
    <row r="6" spans="1:5" x14ac:dyDescent="0.2">
      <c r="A6" s="277"/>
      <c r="B6" s="225"/>
      <c r="C6" s="226"/>
      <c r="D6" s="562" t="s">
        <v>279</v>
      </c>
      <c r="E6" s="562"/>
    </row>
    <row r="7" spans="1:5" s="378" customFormat="1" ht="25.5" x14ac:dyDescent="0.2">
      <c r="A7" s="353"/>
      <c r="B7" s="354" t="s">
        <v>229</v>
      </c>
      <c r="C7" s="355" t="s">
        <v>264</v>
      </c>
      <c r="D7" s="240" t="s">
        <v>232</v>
      </c>
      <c r="E7" s="233" t="s">
        <v>786</v>
      </c>
    </row>
    <row r="8" spans="1:5" x14ac:dyDescent="0.2">
      <c r="A8" s="354" t="s">
        <v>282</v>
      </c>
      <c r="B8" s="354" t="s">
        <v>283</v>
      </c>
      <c r="C8" s="356">
        <v>1</v>
      </c>
      <c r="D8" s="233">
        <v>2</v>
      </c>
      <c r="E8" s="233">
        <v>3</v>
      </c>
    </row>
    <row r="9" spans="1:5" s="379" customFormat="1" ht="25.5" x14ac:dyDescent="0.2">
      <c r="A9" s="357" t="s">
        <v>789</v>
      </c>
      <c r="B9" s="357" t="str">
        <f>"Банкны харилцах, хадгаламж "</f>
        <v xml:space="preserve">Банкны харилцах, хадгаламж </v>
      </c>
      <c r="C9" s="358">
        <f>C10+C11+C12+C13+C14+C16+C17+C18+C19+C20+C21+C22+C23+C24+C25+C26+C27+C28+C29+C15</f>
        <v>0</v>
      </c>
      <c r="D9" s="358">
        <f t="shared" ref="D9:E9" si="0">D10+D11+D12+D13+D14+D16+D17+D18+D19+D20+D21+D22+D23+D24+D25+D26+D27+D28+D29+D15</f>
        <v>0</v>
      </c>
      <c r="E9" s="358">
        <f t="shared" si="0"/>
        <v>0</v>
      </c>
    </row>
    <row r="10" spans="1:5" x14ac:dyDescent="0.2">
      <c r="A10" s="345">
        <v>1.1000000000000001</v>
      </c>
      <c r="B10" s="342" t="str">
        <f>"Хаан банк"</f>
        <v>Хаан банк</v>
      </c>
      <c r="C10" s="67"/>
      <c r="D10" s="259">
        <f>IF(C10&lt;=0.35*(i.04130!$E$46-i.04130!$E$39-i.04130!$E$40),i.04144a!C10,0.35*(i.04130!$E$46-i.04130!$E$39-i.04130!$E$40))</f>
        <v>0</v>
      </c>
      <c r="E10" s="370">
        <f t="shared" ref="E10:E73" si="1">C10-D10</f>
        <v>0</v>
      </c>
    </row>
    <row r="11" spans="1:5" x14ac:dyDescent="0.2">
      <c r="A11" s="345">
        <v>1.2</v>
      </c>
      <c r="B11" s="342" t="str">
        <f>"Голомт банк"</f>
        <v>Голомт банк</v>
      </c>
      <c r="C11" s="67"/>
      <c r="D11" s="259">
        <f>IF(C11&lt;=0.35*(i.04130!$E$46-i.04130!$E$39-i.04130!$E$40),i.04144a!C11,0.35*(i.04130!$E$46-i.04130!$E$39-i.04130!$E$40))</f>
        <v>0</v>
      </c>
      <c r="E11" s="370">
        <f t="shared" si="1"/>
        <v>0</v>
      </c>
    </row>
    <row r="12" spans="1:5" x14ac:dyDescent="0.2">
      <c r="A12" s="345">
        <v>1.3</v>
      </c>
      <c r="B12" s="342" t="str">
        <f>"Худалдаа хөгжлийн банк"</f>
        <v>Худалдаа хөгжлийн банк</v>
      </c>
      <c r="C12" s="67"/>
      <c r="D12" s="259">
        <f>IF(C12&lt;=0.35*(i.04130!$E$46-i.04130!$E$39-i.04130!$E$40),i.04144a!C12,0.35*(i.04130!$E$46-i.04130!$E$39-i.04130!$E$40))</f>
        <v>0</v>
      </c>
      <c r="E12" s="370">
        <f t="shared" si="1"/>
        <v>0</v>
      </c>
    </row>
    <row r="13" spans="1:5" x14ac:dyDescent="0.2">
      <c r="A13" s="345">
        <v>1.4</v>
      </c>
      <c r="B13" s="342" t="str">
        <f>"Төрийн банк"</f>
        <v>Төрийн банк</v>
      </c>
      <c r="C13" s="67"/>
      <c r="D13" s="259">
        <f>IF(C13&lt;=0.35*(i.04130!$E$46-i.04130!$E$39-i.04130!$E$40),i.04144a!C13,0.35*(i.04130!$E$46-i.04130!$E$39-i.04130!$E$40))</f>
        <v>0</v>
      </c>
      <c r="E13" s="370">
        <f t="shared" si="1"/>
        <v>0</v>
      </c>
    </row>
    <row r="14" spans="1:5" x14ac:dyDescent="0.2">
      <c r="A14" s="345">
        <v>1.5</v>
      </c>
      <c r="B14" s="342" t="str">
        <f>"Хас банк"</f>
        <v>Хас банк</v>
      </c>
      <c r="C14" s="67"/>
      <c r="D14" s="259">
        <f>IF(C14&lt;=0.35*(i.04130!$E$46-i.04130!$E$39-i.04130!$E$40),i.04144a!C14,0.35*(i.04130!$E$46-i.04130!$E$39-i.04130!$E$40))</f>
        <v>0</v>
      </c>
      <c r="E14" s="370">
        <f t="shared" si="1"/>
        <v>0</v>
      </c>
    </row>
    <row r="15" spans="1:5" x14ac:dyDescent="0.2">
      <c r="A15" s="345">
        <v>1.6</v>
      </c>
      <c r="B15" s="514" t="s">
        <v>1101</v>
      </c>
      <c r="C15" s="67"/>
      <c r="D15" s="259">
        <f>IF(C15&lt;=0.35*(i.04130!$E$46-i.04130!$E$39-i.04130!$E$40),i.04144a!C15,0.35*(i.04130!$E$46-i.04130!$E$39-i.04130!$E$40))</f>
        <v>0</v>
      </c>
      <c r="E15" s="370">
        <f t="shared" si="1"/>
        <v>0</v>
      </c>
    </row>
    <row r="16" spans="1:5" x14ac:dyDescent="0.2">
      <c r="A16" s="345">
        <v>1.7</v>
      </c>
      <c r="B16" s="342" t="str">
        <f>"Капитал банк"</f>
        <v>Капитал банк</v>
      </c>
      <c r="C16" s="67"/>
      <c r="D16" s="259">
        <f>IF(C16&lt;=0.35*(i.04130!$E$46-i.04130!$E$39-i.04130!$E$40),i.04144a!C16,0.35*(i.04130!$E$46-i.04130!$E$39-i.04130!$E$40))</f>
        <v>0</v>
      </c>
      <c r="E16" s="370">
        <f t="shared" si="1"/>
        <v>0</v>
      </c>
    </row>
    <row r="17" spans="1:5" x14ac:dyDescent="0.2">
      <c r="A17" s="345">
        <v>1.8</v>
      </c>
      <c r="B17" s="342" t="str">
        <f>"Үндэсний хөрөнгө оруулалтын банк"</f>
        <v>Үндэсний хөрөнгө оруулалтын банк</v>
      </c>
      <c r="C17" s="67"/>
      <c r="D17" s="259">
        <f>IF(C17&lt;=0.35*(i.04130!$E$46-i.04130!$E$39-i.04130!$E$40),i.04144a!C17,0.35*(i.04130!$E$46-i.04130!$E$39-i.04130!$E$40))</f>
        <v>0</v>
      </c>
      <c r="E17" s="370">
        <f t="shared" si="1"/>
        <v>0</v>
      </c>
    </row>
    <row r="18" spans="1:5" x14ac:dyDescent="0.2">
      <c r="A18" s="345">
        <v>1.9</v>
      </c>
      <c r="B18" s="342" t="str">
        <f>"Капитрон банк"</f>
        <v>Капитрон банк</v>
      </c>
      <c r="C18" s="67"/>
      <c r="D18" s="259">
        <f>IF(C18&lt;=0.35*(i.04130!$E$46-i.04130!$E$39-i.04130!$E$40),i.04144a!C18,0.35*(i.04130!$E$46-i.04130!$E$39-i.04130!$E$40))</f>
        <v>0</v>
      </c>
      <c r="E18" s="370">
        <f t="shared" si="1"/>
        <v>0</v>
      </c>
    </row>
    <row r="19" spans="1:5" x14ac:dyDescent="0.2">
      <c r="A19" s="341">
        <v>1.1000000000000001</v>
      </c>
      <c r="B19" s="342" t="str">
        <f>"Ариг банк"</f>
        <v>Ариг банк</v>
      </c>
      <c r="C19" s="67"/>
      <c r="D19" s="259">
        <f>IF(C19&lt;=0.35*(i.04130!$E$46-i.04130!$E$39-i.04130!$E$40),i.04144a!C19,0.35*(i.04130!$E$46-i.04130!$E$39-i.04130!$E$40))</f>
        <v>0</v>
      </c>
      <c r="E19" s="370">
        <f t="shared" si="1"/>
        <v>0</v>
      </c>
    </row>
    <row r="20" spans="1:5" x14ac:dyDescent="0.2">
      <c r="A20" s="345">
        <v>1.1100000000000001</v>
      </c>
      <c r="B20" s="342" t="str">
        <f>"Кредит банк"</f>
        <v>Кредит банк</v>
      </c>
      <c r="C20" s="67"/>
      <c r="D20" s="259">
        <f>IF(C20&lt;=0.35*(i.04130!$E$46-i.04130!$E$39-i.04130!$E$40),i.04144a!C20,0.35*(i.04130!$E$46-i.04130!$E$39-i.04130!$E$40))</f>
        <v>0</v>
      </c>
      <c r="E20" s="370">
        <f t="shared" si="1"/>
        <v>0</v>
      </c>
    </row>
    <row r="21" spans="1:5" x14ac:dyDescent="0.2">
      <c r="A21" s="341">
        <v>1.1200000000000001</v>
      </c>
      <c r="B21" s="342" t="str">
        <f>"Тээвэр Хөгжлийн банк"</f>
        <v>Тээвэр Хөгжлийн банк</v>
      </c>
      <c r="C21" s="67"/>
      <c r="D21" s="259">
        <f>IF(C21&lt;=0.35*(i.04130!$E$46-i.04130!$E$39-i.04130!$E$40),i.04144a!C21,0.35*(i.04130!$E$46-i.04130!$E$39-i.04130!$E$40))</f>
        <v>0</v>
      </c>
      <c r="E21" s="370">
        <f t="shared" si="1"/>
        <v>0</v>
      </c>
    </row>
    <row r="22" spans="1:5" x14ac:dyDescent="0.2">
      <c r="A22" s="345">
        <v>1.1299999999999999</v>
      </c>
      <c r="B22" s="342" t="str">
        <f>"Чингис хаан банк"</f>
        <v>Чингис хаан банк</v>
      </c>
      <c r="C22" s="67"/>
      <c r="D22" s="259">
        <f>IF(C22&lt;=0.35*(i.04130!$E$46-i.04130!$E$39-i.04130!$E$40),i.04144a!C22,0.35*(i.04130!$E$46-i.04130!$E$39-i.04130!$E$40))</f>
        <v>0</v>
      </c>
      <c r="E22" s="370">
        <f t="shared" si="1"/>
        <v>0</v>
      </c>
    </row>
    <row r="23" spans="1:5" x14ac:dyDescent="0.2">
      <c r="A23" s="341">
        <v>1.1399999999999999</v>
      </c>
      <c r="B23" s="342" t="str">
        <f>"Богд банк"</f>
        <v>Богд банк</v>
      </c>
      <c r="C23" s="67"/>
      <c r="D23" s="259">
        <f>IF(C23&lt;=0.35*(i.04130!$E$46-i.04130!$E$39-i.04130!$E$40),i.04144a!C23,0.35*(i.04130!$E$46-i.04130!$E$39-i.04130!$E$40))</f>
        <v>0</v>
      </c>
      <c r="E23" s="370">
        <f>C23-D23</f>
        <v>0</v>
      </c>
    </row>
    <row r="24" spans="1:5" x14ac:dyDescent="0.2">
      <c r="A24" s="345">
        <v>1.1499999999999999</v>
      </c>
      <c r="B24" s="68"/>
      <c r="C24" s="67"/>
      <c r="D24" s="259">
        <f>IF(C24&lt;=0.35*(i.04130!$E$46-i.04130!$E$39-i.04130!$E$40),i.04144a!C24,0.35*(i.04130!$E$46-i.04130!$E$39-i.04130!$E$40))</f>
        <v>0</v>
      </c>
      <c r="E24" s="370">
        <f>C24-D24</f>
        <v>0</v>
      </c>
    </row>
    <row r="25" spans="1:5" x14ac:dyDescent="0.2">
      <c r="A25" s="341">
        <v>1.1599999999999999</v>
      </c>
      <c r="B25" s="68"/>
      <c r="C25" s="67"/>
      <c r="D25" s="259">
        <f>IF(C25&lt;=0.35*(i.04130!$E$46-i.04130!$E$39-i.04130!$E$40),i.04144a!C25,0.35*(i.04130!$E$46-i.04130!$E$39-i.04130!$E$40))</f>
        <v>0</v>
      </c>
      <c r="E25" s="370">
        <f t="shared" si="1"/>
        <v>0</v>
      </c>
    </row>
    <row r="26" spans="1:5" x14ac:dyDescent="0.2">
      <c r="A26" s="345">
        <v>1.17</v>
      </c>
      <c r="B26" s="68"/>
      <c r="C26" s="67"/>
      <c r="D26" s="259">
        <f>IF(C26&lt;=0.35*(i.04130!$E$46-i.04130!$E$39-i.04130!$E$40),i.04144a!C26,0.35*(i.04130!$E$46-i.04130!$E$39-i.04130!$E$40))</f>
        <v>0</v>
      </c>
      <c r="E26" s="370">
        <f t="shared" si="1"/>
        <v>0</v>
      </c>
    </row>
    <row r="27" spans="1:5" x14ac:dyDescent="0.2">
      <c r="A27" s="341">
        <v>1.18</v>
      </c>
      <c r="B27" s="68"/>
      <c r="C27" s="67"/>
      <c r="D27" s="259">
        <f>IF(C27&lt;=0.35*(i.04130!$E$46-i.04130!$E$39-i.04130!$E$40),i.04144a!C27,0.35*(i.04130!$E$46-i.04130!$E$39-i.04130!$E$40))</f>
        <v>0</v>
      </c>
      <c r="E27" s="370">
        <f t="shared" si="1"/>
        <v>0</v>
      </c>
    </row>
    <row r="28" spans="1:5" x14ac:dyDescent="0.2">
      <c r="A28" s="345">
        <v>1.19</v>
      </c>
      <c r="B28" s="68"/>
      <c r="C28" s="67"/>
      <c r="D28" s="259">
        <f>IF(C28&lt;=0.35*(i.04130!$E$46-i.04130!$E$39-i.04130!$E$40),i.04144a!C28,0.35*(i.04130!$E$46-i.04130!$E$39-i.04130!$E$40))</f>
        <v>0</v>
      </c>
      <c r="E28" s="370">
        <f t="shared" si="1"/>
        <v>0</v>
      </c>
    </row>
    <row r="29" spans="1:5" x14ac:dyDescent="0.2">
      <c r="A29" s="341">
        <v>1.2</v>
      </c>
      <c r="B29" s="68"/>
      <c r="C29" s="67"/>
      <c r="D29" s="259">
        <f>IF(C29&lt;=0.35*(i.04130!$E$46-i.04130!$E$39-i.04130!$E$40),i.04144a!C29,0.35*(i.04130!$E$46-i.04130!$E$39-i.04130!$E$40))</f>
        <v>0</v>
      </c>
      <c r="E29" s="370">
        <f t="shared" si="1"/>
        <v>0</v>
      </c>
    </row>
    <row r="30" spans="1:5" s="364" customFormat="1" ht="38.25" x14ac:dyDescent="0.2">
      <c r="A30" s="332" t="s">
        <v>791</v>
      </c>
      <c r="B30" s="346" t="str">
        <f>"Гадаадын банкин дахь харилцах, хадгаламж, хадгаламжийн сертификат /Хамгийн өндөр дүнтэйгээс эхлэн бичих/ "</f>
        <v xml:space="preserve">Гадаадын банкин дахь харилцах, хадгаламж, хадгаламжийн сертификат /Хамгийн өндөр дүнтэйгээс эхлэн бичих/ </v>
      </c>
      <c r="C30" s="347">
        <f>C31+C32+C33+C34+C35+C36+C37+C38+C39+C40+C41</f>
        <v>0</v>
      </c>
      <c r="D30" s="348">
        <f>D31+D32+D33+D34+D35+D36+D37+D38+D39+D40+D41</f>
        <v>0</v>
      </c>
      <c r="E30" s="363">
        <f t="shared" si="1"/>
        <v>0</v>
      </c>
    </row>
    <row r="31" spans="1:5" x14ac:dyDescent="0.2">
      <c r="A31" s="345">
        <v>2.1</v>
      </c>
      <c r="B31" s="214"/>
      <c r="C31" s="69"/>
      <c r="D31" s="369">
        <f>IF(C31&lt;=0.01*(i.04130!$E$46-i.04130!$E$40-i.04130!$E$39),i.04144a!C31,0.01*(i.04130!$E$46-i.04130!$E$40-i.04130!$E$39))</f>
        <v>0</v>
      </c>
      <c r="E31" s="370">
        <f t="shared" si="1"/>
        <v>0</v>
      </c>
    </row>
    <row r="32" spans="1:5" x14ac:dyDescent="0.2">
      <c r="A32" s="345">
        <v>2.2000000000000002</v>
      </c>
      <c r="B32" s="214"/>
      <c r="C32" s="69"/>
      <c r="D32" s="369">
        <f>IF(C32&lt;=0.01*(i.04130!$E$46-i.04130!$E$40-i.04130!$E$39),i.04144a!C32,0.01*(i.04130!$E$46-i.04130!$E$40-i.04130!$E$39))</f>
        <v>0</v>
      </c>
      <c r="E32" s="370">
        <f t="shared" si="1"/>
        <v>0</v>
      </c>
    </row>
    <row r="33" spans="1:5" x14ac:dyDescent="0.2">
      <c r="A33" s="345">
        <v>2.2999999999999998</v>
      </c>
      <c r="B33" s="214"/>
      <c r="C33" s="69"/>
      <c r="D33" s="369">
        <f>IF(C33&lt;=0.01*(i.04130!$E$46-i.04130!$E$40-i.04130!$E$39),i.04144a!C33,0.01*(i.04130!$E$46-i.04130!$E$40-i.04130!$E$39))</f>
        <v>0</v>
      </c>
      <c r="E33" s="370">
        <f t="shared" si="1"/>
        <v>0</v>
      </c>
    </row>
    <row r="34" spans="1:5" x14ac:dyDescent="0.2">
      <c r="A34" s="345">
        <v>2.4</v>
      </c>
      <c r="B34" s="214"/>
      <c r="C34" s="69"/>
      <c r="D34" s="369">
        <f>IF(C34&lt;=0.01*(i.04130!$E$46-i.04130!$E$40-i.04130!$E$39),i.04144a!C34,0.01*(i.04130!$E$46-i.04130!$E$40-i.04130!$E$39))</f>
        <v>0</v>
      </c>
      <c r="E34" s="370">
        <f t="shared" si="1"/>
        <v>0</v>
      </c>
    </row>
    <row r="35" spans="1:5" x14ac:dyDescent="0.2">
      <c r="A35" s="345">
        <v>2.5</v>
      </c>
      <c r="B35" s="214"/>
      <c r="C35" s="69"/>
      <c r="D35" s="369">
        <f>IF(C35&lt;=0.01*(i.04130!$E$46-i.04130!$E$40-i.04130!$E$39),i.04144a!C35,0.01*(i.04130!$E$46-i.04130!$E$40-i.04130!$E$39))</f>
        <v>0</v>
      </c>
      <c r="E35" s="370">
        <f t="shared" si="1"/>
        <v>0</v>
      </c>
    </row>
    <row r="36" spans="1:5" x14ac:dyDescent="0.2">
      <c r="A36" s="345">
        <v>2.6</v>
      </c>
      <c r="B36" s="214"/>
      <c r="C36" s="69"/>
      <c r="D36" s="369">
        <f>IF(C36&lt;=0.01*(i.04130!$E$46-i.04130!$E$40-i.04130!$E$39),i.04144a!C36,0.01*(i.04130!$E$46-i.04130!$E$40-i.04130!$E$39))</f>
        <v>0</v>
      </c>
      <c r="E36" s="370">
        <f t="shared" si="1"/>
        <v>0</v>
      </c>
    </row>
    <row r="37" spans="1:5" x14ac:dyDescent="0.2">
      <c r="A37" s="345">
        <v>2.7</v>
      </c>
      <c r="B37" s="214"/>
      <c r="C37" s="69"/>
      <c r="D37" s="369">
        <f>IF(C37&lt;=0.01*(i.04130!$E$46-i.04130!$E$40-i.04130!$E$39),i.04144a!C37,0.01*(i.04130!$E$46-i.04130!$E$40-i.04130!$E$39))</f>
        <v>0</v>
      </c>
      <c r="E37" s="370">
        <f t="shared" si="1"/>
        <v>0</v>
      </c>
    </row>
    <row r="38" spans="1:5" x14ac:dyDescent="0.2">
      <c r="A38" s="345">
        <v>2.8</v>
      </c>
      <c r="B38" s="214"/>
      <c r="C38" s="69"/>
      <c r="D38" s="369">
        <f>IF(C38&lt;=0.01*(i.04130!$E$46-i.04130!$E$40-i.04130!$E$39),i.04144a!C38,0.01*(i.04130!$E$46-i.04130!$E$40-i.04130!$E$39))</f>
        <v>0</v>
      </c>
      <c r="E38" s="370">
        <f t="shared" si="1"/>
        <v>0</v>
      </c>
    </row>
    <row r="39" spans="1:5" x14ac:dyDescent="0.2">
      <c r="A39" s="345">
        <v>2.9</v>
      </c>
      <c r="B39" s="214"/>
      <c r="C39" s="69"/>
      <c r="D39" s="369">
        <f>IF(C39&lt;=0.01*(i.04130!$E$46-i.04130!$E$40-i.04130!$E$39),i.04144a!C39,0.01*(i.04130!$E$46-i.04130!$E$40-i.04130!$E$39))</f>
        <v>0</v>
      </c>
      <c r="E39" s="370">
        <f t="shared" si="1"/>
        <v>0</v>
      </c>
    </row>
    <row r="40" spans="1:5" x14ac:dyDescent="0.2">
      <c r="A40" s="341">
        <v>2.1</v>
      </c>
      <c r="B40" s="214"/>
      <c r="C40" s="69"/>
      <c r="D40" s="369">
        <f>IF(C40&lt;=0.01*(i.04130!$E$46-i.04130!$E$40-i.04130!$E$39),i.04144a!C40,0.01*(i.04130!$E$46-i.04130!$E$40-i.04130!$E$39))</f>
        <v>0</v>
      </c>
      <c r="E40" s="370">
        <f t="shared" si="1"/>
        <v>0</v>
      </c>
    </row>
    <row r="41" spans="1:5" x14ac:dyDescent="0.2">
      <c r="A41" s="345">
        <v>2.11</v>
      </c>
      <c r="B41" s="371" t="str">
        <f>"Бусад  "</f>
        <v xml:space="preserve">Бусад  </v>
      </c>
      <c r="C41" s="69"/>
      <c r="D41" s="369">
        <f>IF(C41&lt;=0.01*(i.04130!$E$46-i.04130!$E$40-i.04130!$E$39),i.04144a!C41,0.01*(i.04130!$E$46-i.04130!$E$40-i.04130!$E$39))</f>
        <v>0</v>
      </c>
      <c r="E41" s="370">
        <f t="shared" si="1"/>
        <v>0</v>
      </c>
    </row>
    <row r="42" spans="1:5" s="364" customFormat="1" ht="38.25" customHeight="1" x14ac:dyDescent="0.2">
      <c r="A42" s="332" t="s">
        <v>792</v>
      </c>
      <c r="B42" s="333" t="str">
        <f>"Дотоодын банк бус санхүүгийн байгууллагад итгэлцлээр байршуулсан мөнгөн хөрөнгө /Хамгийн өндөр дүнтэйгээс эхлэн бичих/  "</f>
        <v xml:space="preserve">Дотоодын банк бус санхүүгийн байгууллагад итгэлцлээр байршуулсан мөнгөн хөрөнгө /Хамгийн өндөр дүнтэйгээс эхлэн бичих/  </v>
      </c>
      <c r="C42" s="334">
        <f>C43+C44+C45+C46+C47+C48+C49+C50+C51+C52+C53</f>
        <v>0</v>
      </c>
      <c r="D42" s="348">
        <f>D43+D44+D45+D46+D47+D48+D49+D50+D51+D52+D53</f>
        <v>0</v>
      </c>
      <c r="E42" s="363">
        <f t="shared" si="1"/>
        <v>0</v>
      </c>
    </row>
    <row r="43" spans="1:5" x14ac:dyDescent="0.2">
      <c r="A43" s="345">
        <v>3.1</v>
      </c>
      <c r="B43" s="215"/>
      <c r="C43" s="216"/>
      <c r="D43" s="369">
        <f>IF(C43&lt;=0.05*(i.04130!$E$46-i.04130!$E$40-i.04130!$E$39),C43,0.05*(i.04130!$E$46-i.04130!$E$40-i.04130!$E$39))</f>
        <v>0</v>
      </c>
      <c r="E43" s="370">
        <f t="shared" si="1"/>
        <v>0</v>
      </c>
    </row>
    <row r="44" spans="1:5" x14ac:dyDescent="0.2">
      <c r="A44" s="345">
        <v>3.2</v>
      </c>
      <c r="B44" s="215"/>
      <c r="C44" s="216"/>
      <c r="D44" s="369">
        <f>IF(C44&lt;=0.05*(i.04130!$E$46-i.04130!$E$40-i.04130!$E$39),C44,0.05*(i.04130!$E$46-i.04130!$E$40-i.04130!$E$39))</f>
        <v>0</v>
      </c>
      <c r="E44" s="370">
        <f t="shared" si="1"/>
        <v>0</v>
      </c>
    </row>
    <row r="45" spans="1:5" x14ac:dyDescent="0.2">
      <c r="A45" s="345">
        <v>3.3</v>
      </c>
      <c r="B45" s="215"/>
      <c r="C45" s="216"/>
      <c r="D45" s="369">
        <f>IF(C45&lt;=0.05*(i.04130!$E$46-i.04130!$E$40-i.04130!$E$39),C45,0.05*(i.04130!$E$46-i.04130!$E$40-i.04130!$E$39))</f>
        <v>0</v>
      </c>
      <c r="E45" s="370">
        <f t="shared" si="1"/>
        <v>0</v>
      </c>
    </row>
    <row r="46" spans="1:5" x14ac:dyDescent="0.2">
      <c r="A46" s="345">
        <v>3.4</v>
      </c>
      <c r="B46" s="215"/>
      <c r="C46" s="216"/>
      <c r="D46" s="369">
        <f>IF(C46&lt;=0.05*(i.04130!$E$46-i.04130!$E$40-i.04130!$E$39),C46,0.05*(i.04130!$E$46-i.04130!$E$40-i.04130!$E$39))</f>
        <v>0</v>
      </c>
      <c r="E46" s="370">
        <f t="shared" si="1"/>
        <v>0</v>
      </c>
    </row>
    <row r="47" spans="1:5" x14ac:dyDescent="0.2">
      <c r="A47" s="345">
        <v>3.5</v>
      </c>
      <c r="B47" s="215"/>
      <c r="C47" s="216"/>
      <c r="D47" s="369">
        <f>IF(C47&lt;=0.05*(i.04130!$E$46-i.04130!$E$40-i.04130!$E$39),C47,0.05*(i.04130!$E$46-i.04130!$E$40-i.04130!$E$39))</f>
        <v>0</v>
      </c>
      <c r="E47" s="370">
        <f t="shared" si="1"/>
        <v>0</v>
      </c>
    </row>
    <row r="48" spans="1:5" x14ac:dyDescent="0.2">
      <c r="A48" s="345">
        <v>3.6</v>
      </c>
      <c r="B48" s="215"/>
      <c r="C48" s="216"/>
      <c r="D48" s="369">
        <f>IF(C48&lt;=0.05*(i.04130!$E$46-i.04130!$E$40-i.04130!$E$39),C48,0.05*(i.04130!$E$46-i.04130!$E$40-i.04130!$E$39))</f>
        <v>0</v>
      </c>
      <c r="E48" s="370">
        <f t="shared" si="1"/>
        <v>0</v>
      </c>
    </row>
    <row r="49" spans="1:5" x14ac:dyDescent="0.2">
      <c r="A49" s="345">
        <v>3.7</v>
      </c>
      <c r="B49" s="215"/>
      <c r="C49" s="216"/>
      <c r="D49" s="369">
        <f>IF(C49&lt;=0.05*(i.04130!$E$46-i.04130!$E$40-i.04130!$E$39),C49,0.05*(i.04130!$E$46-i.04130!$E$40-i.04130!$E$39))</f>
        <v>0</v>
      </c>
      <c r="E49" s="370">
        <f t="shared" si="1"/>
        <v>0</v>
      </c>
    </row>
    <row r="50" spans="1:5" x14ac:dyDescent="0.2">
      <c r="A50" s="345">
        <v>3.8</v>
      </c>
      <c r="B50" s="215"/>
      <c r="C50" s="216"/>
      <c r="D50" s="369">
        <f>IF(C50&lt;=0.05*(i.04130!$E$46-i.04130!$E$40-i.04130!$E$39),C50,0.05*(i.04130!$E$46-i.04130!$E$40-i.04130!$E$39))</f>
        <v>0</v>
      </c>
      <c r="E50" s="370">
        <f t="shared" si="1"/>
        <v>0</v>
      </c>
    </row>
    <row r="51" spans="1:5" x14ac:dyDescent="0.2">
      <c r="A51" s="345">
        <v>3.9</v>
      </c>
      <c r="B51" s="215"/>
      <c r="C51" s="216"/>
      <c r="D51" s="369">
        <f>IF(C51&lt;=0.05*(i.04130!$E$46-i.04130!$E$40-i.04130!$E$39),C51,0.05*(i.04130!$E$46-i.04130!$E$40-i.04130!$E$39))</f>
        <v>0</v>
      </c>
      <c r="E51" s="370">
        <f t="shared" si="1"/>
        <v>0</v>
      </c>
    </row>
    <row r="52" spans="1:5" x14ac:dyDescent="0.2">
      <c r="A52" s="341">
        <v>3.1</v>
      </c>
      <c r="B52" s="215"/>
      <c r="C52" s="216"/>
      <c r="D52" s="369">
        <f>IF(C52&lt;=0.05*(i.04130!$E$46-i.04130!$E$40-i.04130!$E$39),C52,0.05*(i.04130!$E$46-i.04130!$E$40-i.04130!$E$39))</f>
        <v>0</v>
      </c>
      <c r="E52" s="370">
        <f t="shared" si="1"/>
        <v>0</v>
      </c>
    </row>
    <row r="53" spans="1:5" x14ac:dyDescent="0.2">
      <c r="A53" s="345">
        <v>3.11</v>
      </c>
      <c r="B53" s="377" t="str">
        <f>"Бусад  "</f>
        <v xml:space="preserve">Бусад  </v>
      </c>
      <c r="C53" s="216"/>
      <c r="D53" s="369">
        <f>IF(C53&lt;=0.05*(i.04130!$E$46-i.04130!$E$40-i.04130!$E$39),C53,0.05*(i.04130!$E$46-i.04130!$E$40-i.04130!$E$39))</f>
        <v>0</v>
      </c>
      <c r="E53" s="370">
        <f t="shared" si="1"/>
        <v>0</v>
      </c>
    </row>
    <row r="54" spans="1:5" s="364" customFormat="1" ht="14.25" customHeight="1" x14ac:dyDescent="0.2">
      <c r="A54" s="368" t="s">
        <v>793</v>
      </c>
      <c r="B54" s="361" t="str">
        <f>"Бэлэн мөнгө  "</f>
        <v xml:space="preserve">Бэлэн мөнгө  </v>
      </c>
      <c r="C54" s="360"/>
      <c r="D54" s="348">
        <f>IF(C54&lt;=0.02*(i.04130!$E$46-i.04130!$E$40-i.04130!$E$39),C54,0.02*(i.04130!$E$46-i.04130!$E$40-i.04130!$E$39))</f>
        <v>0</v>
      </c>
      <c r="E54" s="363">
        <f t="shared" si="1"/>
        <v>0</v>
      </c>
    </row>
    <row r="55" spans="1:5" s="364" customFormat="1" ht="27.75" customHeight="1" x14ac:dyDescent="0.2">
      <c r="A55" s="361" t="s">
        <v>794</v>
      </c>
      <c r="B55" s="361" t="str">
        <f>"Хэвийн авлага /Хамгийн өндөр дүнтэйгээс эхлэн бичих/  "</f>
        <v xml:space="preserve">Хэвийн авлага /Хамгийн өндөр дүнтэйгээс эхлэн бичих/  </v>
      </c>
      <c r="C55" s="362">
        <f>C56+C57+C58+C59+C60+C61</f>
        <v>0</v>
      </c>
      <c r="D55" s="348">
        <f>D56+D57+D58+D59+D60+D61</f>
        <v>0</v>
      </c>
      <c r="E55" s="363">
        <f t="shared" si="1"/>
        <v>0</v>
      </c>
    </row>
    <row r="56" spans="1:5" x14ac:dyDescent="0.2">
      <c r="A56" s="373" t="s">
        <v>795</v>
      </c>
      <c r="B56" s="217"/>
      <c r="C56" s="218"/>
      <c r="D56" s="369">
        <f>IF(C56&lt;=0.2*(i.04130!$E$46-i.04130!$E$40-i.04130!$E$39),C56,0.2*(i.04130!$E$46-i.04130!$E$40-i.04130!$E$39))</f>
        <v>0</v>
      </c>
      <c r="E56" s="370">
        <f t="shared" si="1"/>
        <v>0</v>
      </c>
    </row>
    <row r="57" spans="1:5" x14ac:dyDescent="0.2">
      <c r="A57" s="373" t="s">
        <v>796</v>
      </c>
      <c r="B57" s="217"/>
      <c r="C57" s="218"/>
      <c r="D57" s="369">
        <f>IF(C57&lt;=0.2*(i.04130!$E$46-i.04130!$E$40-i.04130!$E$39),C57,0.2*(i.04130!$E$46-i.04130!$E$40-i.04130!$E$39))</f>
        <v>0</v>
      </c>
      <c r="E57" s="370">
        <f t="shared" si="1"/>
        <v>0</v>
      </c>
    </row>
    <row r="58" spans="1:5" x14ac:dyDescent="0.2">
      <c r="A58" s="373" t="s">
        <v>797</v>
      </c>
      <c r="B58" s="217"/>
      <c r="C58" s="218"/>
      <c r="D58" s="369">
        <f>IF(C58&lt;=0.2*(i.04130!$E$46-i.04130!$E$40-i.04130!$E$39),C58,0.2*(i.04130!$E$46-i.04130!$E$40-i.04130!$E$39))</f>
        <v>0</v>
      </c>
      <c r="E58" s="370">
        <f t="shared" si="1"/>
        <v>0</v>
      </c>
    </row>
    <row r="59" spans="1:5" x14ac:dyDescent="0.2">
      <c r="A59" s="373" t="s">
        <v>798</v>
      </c>
      <c r="B59" s="217"/>
      <c r="C59" s="218"/>
      <c r="D59" s="369">
        <f>IF(C59&lt;=0.2*(i.04130!$E$46-i.04130!$E$40-i.04130!$E$39),C59,0.2*(i.04130!$E$46-i.04130!$E$40-i.04130!$E$39))</f>
        <v>0</v>
      </c>
      <c r="E59" s="370">
        <f t="shared" si="1"/>
        <v>0</v>
      </c>
    </row>
    <row r="60" spans="1:5" x14ac:dyDescent="0.2">
      <c r="A60" s="373" t="s">
        <v>799</v>
      </c>
      <c r="B60" s="217"/>
      <c r="C60" s="218"/>
      <c r="D60" s="369">
        <f>IF(C60&lt;=0.2*(i.04130!$E$46-i.04130!$E$40-i.04130!$E$39),C60,0.2*(i.04130!$E$46-i.04130!$E$40-i.04130!$E$39))</f>
        <v>0</v>
      </c>
      <c r="E60" s="370">
        <f t="shared" si="1"/>
        <v>0</v>
      </c>
    </row>
    <row r="61" spans="1:5" x14ac:dyDescent="0.2">
      <c r="A61" s="373" t="s">
        <v>800</v>
      </c>
      <c r="B61" s="373" t="str">
        <f>"Бусад  "</f>
        <v xml:space="preserve">Бусад  </v>
      </c>
      <c r="C61" s="218"/>
      <c r="D61" s="369">
        <f>IF(C61&lt;=0.2*(i.04130!$E$46-i.04130!$E$40-i.04130!$E$39),C61,0.2*(i.04130!$E$46-i.04130!$E$40-i.04130!$E$39))</f>
        <v>0</v>
      </c>
      <c r="E61" s="370">
        <f t="shared" si="1"/>
        <v>0</v>
      </c>
    </row>
    <row r="62" spans="1:5" s="364" customFormat="1" ht="25.5" x14ac:dyDescent="0.2">
      <c r="A62" s="361">
        <v>5.2</v>
      </c>
      <c r="B62" s="361" t="str">
        <f>"Хугацаа хэтэрсэн авлага /Хамгийн өндөр дүнтэйгээс эхлэн бичих/  "</f>
        <v xml:space="preserve">Хугацаа хэтэрсэн авлага /Хамгийн өндөр дүнтэйгээс эхлэн бичих/  </v>
      </c>
      <c r="C62" s="362">
        <f>C63+C64+C65+C66+C67+C68</f>
        <v>0</v>
      </c>
      <c r="D62" s="348">
        <f>D63+D64+D65+D66+D67+D68</f>
        <v>0</v>
      </c>
      <c r="E62" s="363">
        <f t="shared" si="1"/>
        <v>0</v>
      </c>
    </row>
    <row r="63" spans="1:5" x14ac:dyDescent="0.2">
      <c r="A63" s="373" t="s">
        <v>801</v>
      </c>
      <c r="B63" s="217"/>
      <c r="C63" s="218"/>
      <c r="D63" s="369">
        <f>IF(C63&lt;=0.15*(i.04130!$E$46-i.04130!$E$40-i.04130!$E$39),C63,0.15*(i.04130!$E$46-i.04130!$E$40-i.04130!$E$39))</f>
        <v>0</v>
      </c>
      <c r="E63" s="370">
        <f t="shared" si="1"/>
        <v>0</v>
      </c>
    </row>
    <row r="64" spans="1:5" x14ac:dyDescent="0.2">
      <c r="A64" s="373" t="s">
        <v>802</v>
      </c>
      <c r="B64" s="217"/>
      <c r="C64" s="218"/>
      <c r="D64" s="369">
        <f>IF(C64&lt;=0.15*(i.04130!$E$46-i.04130!$E$40-i.04130!$E$39),C64,0.15*(i.04130!$E$46-i.04130!$E$40-i.04130!$E$39))</f>
        <v>0</v>
      </c>
      <c r="E64" s="370">
        <f t="shared" si="1"/>
        <v>0</v>
      </c>
    </row>
    <row r="65" spans="1:5" x14ac:dyDescent="0.2">
      <c r="A65" s="373" t="s">
        <v>803</v>
      </c>
      <c r="B65" s="217"/>
      <c r="C65" s="218"/>
      <c r="D65" s="369">
        <f>IF(C65&lt;=0.15*(i.04130!$E$46-i.04130!$E$40-i.04130!$E$39),C65,0.15*(i.04130!$E$46-i.04130!$E$40-i.04130!$E$39))</f>
        <v>0</v>
      </c>
      <c r="E65" s="370">
        <f t="shared" si="1"/>
        <v>0</v>
      </c>
    </row>
    <row r="66" spans="1:5" x14ac:dyDescent="0.2">
      <c r="A66" s="373" t="s">
        <v>804</v>
      </c>
      <c r="B66" s="217"/>
      <c r="C66" s="218"/>
      <c r="D66" s="369">
        <f>IF(C66&lt;=0.15*(i.04130!$E$46-i.04130!$E$40-i.04130!$E$39),C66,0.15*(i.04130!$E$46-i.04130!$E$40-i.04130!$E$39))</f>
        <v>0</v>
      </c>
      <c r="E66" s="370">
        <f t="shared" si="1"/>
        <v>0</v>
      </c>
    </row>
    <row r="67" spans="1:5" x14ac:dyDescent="0.2">
      <c r="A67" s="373" t="s">
        <v>805</v>
      </c>
      <c r="B67" s="217"/>
      <c r="C67" s="218"/>
      <c r="D67" s="369">
        <f>IF(C67&lt;=0.15*(i.04130!$E$46-i.04130!$E$40-i.04130!$E$39),C67,0.15*(i.04130!$E$46-i.04130!$E$40-i.04130!$E$39))</f>
        <v>0</v>
      </c>
      <c r="E67" s="370">
        <f t="shared" si="1"/>
        <v>0</v>
      </c>
    </row>
    <row r="68" spans="1:5" x14ac:dyDescent="0.2">
      <c r="A68" s="373" t="s">
        <v>806</v>
      </c>
      <c r="B68" s="373" t="str">
        <f>"Бусад  "</f>
        <v xml:space="preserve">Бусад  </v>
      </c>
      <c r="C68" s="218"/>
      <c r="D68" s="369">
        <f>IF(C68&lt;=0.15*(i.04130!$E$46-i.04130!$E$40-i.04130!$E$39),C68,0.15*(i.04130!$E$46-i.04130!$E$40-i.04130!$E$39))</f>
        <v>0</v>
      </c>
      <c r="E68" s="370">
        <f t="shared" si="1"/>
        <v>0</v>
      </c>
    </row>
    <row r="69" spans="1:5" s="364" customFormat="1" ht="25.5" x14ac:dyDescent="0.2">
      <c r="A69" s="361">
        <v>5.3</v>
      </c>
      <c r="B69" s="361" t="str">
        <f>"Хэвийн бус авлага /Хамгийн өндөр дүнтэйгээс эхлэн бичих/  "</f>
        <v xml:space="preserve">Хэвийн бус авлага /Хамгийн өндөр дүнтэйгээс эхлэн бичих/  </v>
      </c>
      <c r="C69" s="362">
        <f>C70+C71+C72+C73+C74+C75</f>
        <v>0</v>
      </c>
      <c r="D69" s="348">
        <f>D70+D71+D72+D73+D74+D75</f>
        <v>0</v>
      </c>
      <c r="E69" s="363">
        <f t="shared" si="1"/>
        <v>0</v>
      </c>
    </row>
    <row r="70" spans="1:5" x14ac:dyDescent="0.2">
      <c r="A70" s="373" t="s">
        <v>807</v>
      </c>
      <c r="B70" s="217"/>
      <c r="C70" s="218"/>
      <c r="D70" s="369">
        <f>IF(C70&lt;=0.1*(i.04130!$E$46-i.04130!$E$40-i.04130!$E$39),C70,0.1*(i.04130!$E$46-i.04130!$E$40-i.04130!$E$39))</f>
        <v>0</v>
      </c>
      <c r="E70" s="370">
        <f t="shared" si="1"/>
        <v>0</v>
      </c>
    </row>
    <row r="71" spans="1:5" x14ac:dyDescent="0.2">
      <c r="A71" s="373" t="s">
        <v>808</v>
      </c>
      <c r="B71" s="217"/>
      <c r="C71" s="218"/>
      <c r="D71" s="369">
        <f>IF(C71&lt;=0.1*(i.04130!$E$46-i.04130!$E$40-i.04130!$E$39),C71,0.1*(i.04130!$E$46-i.04130!$E$40-i.04130!$E$39))</f>
        <v>0</v>
      </c>
      <c r="E71" s="370">
        <f t="shared" si="1"/>
        <v>0</v>
      </c>
    </row>
    <row r="72" spans="1:5" x14ac:dyDescent="0.2">
      <c r="A72" s="373" t="s">
        <v>809</v>
      </c>
      <c r="B72" s="217"/>
      <c r="C72" s="218"/>
      <c r="D72" s="369">
        <f>IF(C72&lt;=0.1*(i.04130!$E$46-i.04130!$E$40-i.04130!$E$39),C72,0.1*(i.04130!$E$46-i.04130!$E$40-i.04130!$E$39))</f>
        <v>0</v>
      </c>
      <c r="E72" s="370">
        <f t="shared" si="1"/>
        <v>0</v>
      </c>
    </row>
    <row r="73" spans="1:5" x14ac:dyDescent="0.2">
      <c r="A73" s="373" t="s">
        <v>810</v>
      </c>
      <c r="B73" s="217"/>
      <c r="C73" s="218"/>
      <c r="D73" s="369">
        <f>IF(C73&lt;=0.1*(i.04130!$E$46-i.04130!$E$40-i.04130!$E$39),C73,0.1*(i.04130!$E$46-i.04130!$E$40-i.04130!$E$39))</f>
        <v>0</v>
      </c>
      <c r="E73" s="370">
        <f t="shared" si="1"/>
        <v>0</v>
      </c>
    </row>
    <row r="74" spans="1:5" x14ac:dyDescent="0.2">
      <c r="A74" s="373" t="s">
        <v>811</v>
      </c>
      <c r="B74" s="217"/>
      <c r="C74" s="218"/>
      <c r="D74" s="369">
        <f>IF(C74&lt;=0.1*(i.04130!$E$46-i.04130!$E$40-i.04130!$E$39),C74,0.1*(i.04130!$E$46-i.04130!$E$40-i.04130!$E$39))</f>
        <v>0</v>
      </c>
      <c r="E74" s="370">
        <f t="shared" ref="E74:E137" si="2">C74-D74</f>
        <v>0</v>
      </c>
    </row>
    <row r="75" spans="1:5" x14ac:dyDescent="0.2">
      <c r="A75" s="373" t="s">
        <v>812</v>
      </c>
      <c r="B75" s="373" t="str">
        <f>"Бусад  "</f>
        <v xml:space="preserve">Бусад  </v>
      </c>
      <c r="C75" s="218"/>
      <c r="D75" s="369">
        <f>IF(C75&lt;=0.1*(i.04130!$E$46-i.04130!$E$40-i.04130!$E$39),C75,0.1*(i.04130!$E$46-i.04130!$E$40-i.04130!$E$39))</f>
        <v>0</v>
      </c>
      <c r="E75" s="370">
        <f t="shared" si="2"/>
        <v>0</v>
      </c>
    </row>
    <row r="76" spans="1:5" s="364" customFormat="1" ht="25.5" x14ac:dyDescent="0.2">
      <c r="A76" s="361">
        <v>5.4</v>
      </c>
      <c r="B76" s="361" t="str">
        <f>"Эргэлзээтэй авлага /Хамгийн өндөр дүнтэйгээс эхлэн бичих/  "</f>
        <v xml:space="preserve">Эргэлзээтэй авлага /Хамгийн өндөр дүнтэйгээс эхлэн бичих/  </v>
      </c>
      <c r="C76" s="362">
        <f>C77+C78+C79+C80+C81+C82</f>
        <v>0</v>
      </c>
      <c r="D76" s="348">
        <f>D77+D78+D79+D80+D81+D82</f>
        <v>0</v>
      </c>
      <c r="E76" s="363">
        <f t="shared" si="2"/>
        <v>0</v>
      </c>
    </row>
    <row r="77" spans="1:5" x14ac:dyDescent="0.2">
      <c r="A77" s="373" t="s">
        <v>813</v>
      </c>
      <c r="B77" s="217"/>
      <c r="C77" s="218"/>
      <c r="D77" s="369">
        <f>IF(C77&lt;=0*(i.04130!$E$46-i.04130!$E$40-i.04130!$E$39),C77,0*(i.04130!$E$46-i.04130!$E$40-i.04130!$E$39))</f>
        <v>0</v>
      </c>
      <c r="E77" s="370">
        <f t="shared" si="2"/>
        <v>0</v>
      </c>
    </row>
    <row r="78" spans="1:5" x14ac:dyDescent="0.2">
      <c r="A78" s="373" t="s">
        <v>814</v>
      </c>
      <c r="B78" s="217"/>
      <c r="C78" s="218"/>
      <c r="D78" s="369">
        <f>IF(C78&lt;=0*(i.04130!$E$46-i.04130!$E$40-i.04130!$E$39),C78,0*(i.04130!$E$46-i.04130!$E$40-i.04130!$E$39))</f>
        <v>0</v>
      </c>
      <c r="E78" s="370">
        <f t="shared" si="2"/>
        <v>0</v>
      </c>
    </row>
    <row r="79" spans="1:5" x14ac:dyDescent="0.2">
      <c r="A79" s="373" t="s">
        <v>815</v>
      </c>
      <c r="B79" s="217"/>
      <c r="C79" s="218"/>
      <c r="D79" s="369">
        <f>IF(C79&lt;=0*(i.04130!$E$46-i.04130!$E$40-i.04130!$E$39),C79,0*(i.04130!$E$46-i.04130!$E$40-i.04130!$E$39))</f>
        <v>0</v>
      </c>
      <c r="E79" s="370">
        <f t="shared" si="2"/>
        <v>0</v>
      </c>
    </row>
    <row r="80" spans="1:5" x14ac:dyDescent="0.2">
      <c r="A80" s="373" t="s">
        <v>816</v>
      </c>
      <c r="B80" s="217"/>
      <c r="C80" s="218"/>
      <c r="D80" s="369">
        <f>IF(C80&lt;=0*(i.04130!$E$46-i.04130!$E$40-i.04130!$E$39),C80,0*(i.04130!$E$46-i.04130!$E$40-i.04130!$E$39))</f>
        <v>0</v>
      </c>
      <c r="E80" s="370">
        <f t="shared" si="2"/>
        <v>0</v>
      </c>
    </row>
    <row r="81" spans="1:5" x14ac:dyDescent="0.2">
      <c r="A81" s="373" t="s">
        <v>817</v>
      </c>
      <c r="B81" s="217"/>
      <c r="C81" s="218"/>
      <c r="D81" s="369">
        <f>IF(C81&lt;=0*(i.04130!$E$46-i.04130!$E$40-i.04130!$E$39),C81,0*(i.04130!$E$46-i.04130!$E$40-i.04130!$E$39))</f>
        <v>0</v>
      </c>
      <c r="E81" s="370">
        <f t="shared" si="2"/>
        <v>0</v>
      </c>
    </row>
    <row r="82" spans="1:5" x14ac:dyDescent="0.2">
      <c r="A82" s="373" t="s">
        <v>818</v>
      </c>
      <c r="B82" s="373" t="str">
        <f>"Бусад  "</f>
        <v xml:space="preserve">Бусад  </v>
      </c>
      <c r="C82" s="218"/>
      <c r="D82" s="369">
        <f>IF(C82&lt;=0*(i.04130!$E$46-i.04130!$E$40-i.04130!$E$39),C82,0*(i.04130!$E$46-i.04130!$E$40-i.04130!$E$39))</f>
        <v>0</v>
      </c>
      <c r="E82" s="370">
        <f t="shared" si="2"/>
        <v>0</v>
      </c>
    </row>
    <row r="83" spans="1:5" s="364" customFormat="1" ht="25.5" x14ac:dyDescent="0.2">
      <c r="A83" s="361">
        <v>5.5</v>
      </c>
      <c r="B83" s="361" t="str">
        <f>"Муу авлага /Хамгийн өндөр дүнтэйгээс эхлэн бичих/  "</f>
        <v xml:space="preserve">Муу авлага /Хамгийн өндөр дүнтэйгээс эхлэн бичих/  </v>
      </c>
      <c r="C83" s="362">
        <f>C84+C85+C86+C87+C88+C89</f>
        <v>0</v>
      </c>
      <c r="D83" s="348">
        <f>D84+D85+D86+D87+D88+D89</f>
        <v>0</v>
      </c>
      <c r="E83" s="363">
        <f t="shared" si="2"/>
        <v>0</v>
      </c>
    </row>
    <row r="84" spans="1:5" x14ac:dyDescent="0.2">
      <c r="A84" s="373" t="s">
        <v>819</v>
      </c>
      <c r="B84" s="217"/>
      <c r="C84" s="218"/>
      <c r="D84" s="369">
        <f>IF(C84&lt;=0*(i.04130!$E$46-i.04130!$E$40-i.04130!$E$39),C84,0*(i.04130!$E$46-i.04130!$E$40-i.04130!$E$39))</f>
        <v>0</v>
      </c>
      <c r="E84" s="370">
        <f t="shared" si="2"/>
        <v>0</v>
      </c>
    </row>
    <row r="85" spans="1:5" x14ac:dyDescent="0.2">
      <c r="A85" s="373" t="s">
        <v>820</v>
      </c>
      <c r="B85" s="217"/>
      <c r="C85" s="218"/>
      <c r="D85" s="369">
        <f>IF(C85&lt;=0*(i.04130!$E$46-i.04130!$E$40-i.04130!$E$39),C85,0*(i.04130!$E$46-i.04130!$E$40-i.04130!$E$39))</f>
        <v>0</v>
      </c>
      <c r="E85" s="370">
        <f t="shared" si="2"/>
        <v>0</v>
      </c>
    </row>
    <row r="86" spans="1:5" x14ac:dyDescent="0.2">
      <c r="A86" s="373" t="s">
        <v>821</v>
      </c>
      <c r="B86" s="217"/>
      <c r="C86" s="218"/>
      <c r="D86" s="369">
        <f>IF(C86&lt;=0*(i.04130!$E$46-i.04130!$E$40-i.04130!$E$39),C86,0*(i.04130!$E$46-i.04130!$E$40-i.04130!$E$39))</f>
        <v>0</v>
      </c>
      <c r="E86" s="370">
        <f t="shared" si="2"/>
        <v>0</v>
      </c>
    </row>
    <row r="87" spans="1:5" x14ac:dyDescent="0.2">
      <c r="A87" s="373" t="s">
        <v>822</v>
      </c>
      <c r="B87" s="217"/>
      <c r="C87" s="218"/>
      <c r="D87" s="369">
        <f>IF(C87&lt;=0*(i.04130!$E$46-i.04130!$E$40-i.04130!$E$39),C87,0*(i.04130!$E$46-i.04130!$E$40-i.04130!$E$39))</f>
        <v>0</v>
      </c>
      <c r="E87" s="370">
        <f t="shared" si="2"/>
        <v>0</v>
      </c>
    </row>
    <row r="88" spans="1:5" x14ac:dyDescent="0.2">
      <c r="A88" s="373" t="s">
        <v>823</v>
      </c>
      <c r="B88" s="217"/>
      <c r="C88" s="218"/>
      <c r="D88" s="369">
        <f>IF(C88&lt;=0*(i.04130!$E$46-i.04130!$E$40-i.04130!$E$39),C88,0*(i.04130!$E$46-i.04130!$E$40-i.04130!$E$39))</f>
        <v>0</v>
      </c>
      <c r="E88" s="370">
        <f t="shared" si="2"/>
        <v>0</v>
      </c>
    </row>
    <row r="89" spans="1:5" x14ac:dyDescent="0.2">
      <c r="A89" s="373" t="s">
        <v>824</v>
      </c>
      <c r="B89" s="373" t="str">
        <f>"Бусад  "</f>
        <v xml:space="preserve">Бусад  </v>
      </c>
      <c r="C89" s="218"/>
      <c r="D89" s="369">
        <f>IF(C89&lt;=0*(i.04130!$E$46-i.04130!$E$40-i.04130!$E$39),C89,0*(i.04130!$E$46-i.04130!$E$40-i.04130!$E$39))</f>
        <v>0</v>
      </c>
      <c r="E89" s="370">
        <f t="shared" si="2"/>
        <v>0</v>
      </c>
    </row>
    <row r="90" spans="1:5" s="364" customFormat="1" ht="29.25" customHeight="1" x14ac:dyDescent="0.2">
      <c r="A90" s="332" t="s">
        <v>825</v>
      </c>
      <c r="B90" s="346" t="str">
        <f>"Банкны хадгаламжийн сертификат  /Хамгийн өндөр дүнтэйгээс эхлэн бичих/  "</f>
        <v xml:space="preserve">Банкны хадгаламжийн сертификат  /Хамгийн өндөр дүнтэйгээс эхлэн бичих/  </v>
      </c>
      <c r="C90" s="347">
        <f>C91+C92+C93+C94+C95+C96+C97+C98+C99+C100+C101</f>
        <v>0</v>
      </c>
      <c r="D90" s="348">
        <f>D91+D92+D93+D94+D95+D96+D97+D98+D99+D100+D101</f>
        <v>0</v>
      </c>
      <c r="E90" s="363">
        <f t="shared" si="2"/>
        <v>0</v>
      </c>
    </row>
    <row r="91" spans="1:5" x14ac:dyDescent="0.2">
      <c r="A91" s="345">
        <v>6.1</v>
      </c>
      <c r="B91" s="214"/>
      <c r="C91" s="69"/>
      <c r="D91" s="369">
        <f>IF(C91&lt;=0.2*(i.04130!$E$46-i.04130!$E$40-i.04130!$E$39),C91,0.2*(i.04130!$E$46-i.04130!$E$40-i.04130!$E$39))</f>
        <v>0</v>
      </c>
      <c r="E91" s="370">
        <f t="shared" si="2"/>
        <v>0</v>
      </c>
    </row>
    <row r="92" spans="1:5" x14ac:dyDescent="0.2">
      <c r="A92" s="345">
        <v>6.2</v>
      </c>
      <c r="B92" s="214"/>
      <c r="C92" s="69"/>
      <c r="D92" s="369">
        <f>IF(C92&lt;=0.2*(i.04130!$E$46-i.04130!$E$40-i.04130!$E$39),C92,0.2*(i.04130!$E$46-i.04130!$E$40-i.04130!$E$39))</f>
        <v>0</v>
      </c>
      <c r="E92" s="370">
        <f t="shared" si="2"/>
        <v>0</v>
      </c>
    </row>
    <row r="93" spans="1:5" x14ac:dyDescent="0.2">
      <c r="A93" s="345">
        <v>6.3</v>
      </c>
      <c r="B93" s="214"/>
      <c r="C93" s="69"/>
      <c r="D93" s="369">
        <f>IF(C93&lt;=0.2*(i.04130!$E$46-i.04130!$E$40-i.04130!$E$39),C93,0.2*(i.04130!$E$46-i.04130!$E$40-i.04130!$E$39))</f>
        <v>0</v>
      </c>
      <c r="E93" s="370">
        <f t="shared" si="2"/>
        <v>0</v>
      </c>
    </row>
    <row r="94" spans="1:5" x14ac:dyDescent="0.2">
      <c r="A94" s="345">
        <v>6.4</v>
      </c>
      <c r="B94" s="214"/>
      <c r="C94" s="69"/>
      <c r="D94" s="369">
        <f>IF(C94&lt;=0.2*(i.04130!$E$46-i.04130!$E$40-i.04130!$E$39),C94,0.2*(i.04130!$E$46-i.04130!$E$40-i.04130!$E$39))</f>
        <v>0</v>
      </c>
      <c r="E94" s="370">
        <f t="shared" si="2"/>
        <v>0</v>
      </c>
    </row>
    <row r="95" spans="1:5" x14ac:dyDescent="0.2">
      <c r="A95" s="345">
        <v>6.5</v>
      </c>
      <c r="B95" s="214"/>
      <c r="C95" s="69"/>
      <c r="D95" s="369">
        <f>IF(C95&lt;=0.2*(i.04130!$E$46-i.04130!$E$40-i.04130!$E$39),C95,0.2*(i.04130!$E$46-i.04130!$E$40-i.04130!$E$39))</f>
        <v>0</v>
      </c>
      <c r="E95" s="370">
        <f t="shared" si="2"/>
        <v>0</v>
      </c>
    </row>
    <row r="96" spans="1:5" x14ac:dyDescent="0.2">
      <c r="A96" s="345">
        <v>6.6</v>
      </c>
      <c r="B96" s="214"/>
      <c r="C96" s="69"/>
      <c r="D96" s="369">
        <f>IF(C96&lt;=0.2*(i.04130!$E$46-i.04130!$E$40-i.04130!$E$39),C96,0.2*(i.04130!$E$46-i.04130!$E$40-i.04130!$E$39))</f>
        <v>0</v>
      </c>
      <c r="E96" s="370">
        <f t="shared" si="2"/>
        <v>0</v>
      </c>
    </row>
    <row r="97" spans="1:5" x14ac:dyDescent="0.2">
      <c r="A97" s="345">
        <v>6.7</v>
      </c>
      <c r="B97" s="214"/>
      <c r="C97" s="69"/>
      <c r="D97" s="369">
        <f>IF(C97&lt;=0.2*(i.04130!$E$46-i.04130!$E$40-i.04130!$E$39),C97,0.2*(i.04130!$E$46-i.04130!$E$40-i.04130!$E$39))</f>
        <v>0</v>
      </c>
      <c r="E97" s="370">
        <f t="shared" si="2"/>
        <v>0</v>
      </c>
    </row>
    <row r="98" spans="1:5" x14ac:dyDescent="0.2">
      <c r="A98" s="345">
        <v>6.8</v>
      </c>
      <c r="B98" s="214"/>
      <c r="C98" s="69"/>
      <c r="D98" s="369">
        <f>IF(C98&lt;=0.2*(i.04130!$E$46-i.04130!$E$40-i.04130!$E$39),C98,0.2*(i.04130!$E$46-i.04130!$E$40-i.04130!$E$39))</f>
        <v>0</v>
      </c>
      <c r="E98" s="370">
        <f t="shared" si="2"/>
        <v>0</v>
      </c>
    </row>
    <row r="99" spans="1:5" x14ac:dyDescent="0.2">
      <c r="A99" s="345">
        <v>6.9</v>
      </c>
      <c r="B99" s="214"/>
      <c r="C99" s="69"/>
      <c r="D99" s="369">
        <f>IF(C99&lt;=0.2*(i.04130!$E$46-i.04130!$E$40-i.04130!$E$39),C99,0.2*(i.04130!$E$46-i.04130!$E$40-i.04130!$E$39))</f>
        <v>0</v>
      </c>
      <c r="E99" s="370">
        <f t="shared" si="2"/>
        <v>0</v>
      </c>
    </row>
    <row r="100" spans="1:5" x14ac:dyDescent="0.2">
      <c r="A100" s="341">
        <v>6.1</v>
      </c>
      <c r="B100" s="214"/>
      <c r="C100" s="69"/>
      <c r="D100" s="369">
        <f>IF(C100&lt;=0.2*(i.04130!$E$46-i.04130!$E$40-i.04130!$E$39),C100,0.2*(i.04130!$E$46-i.04130!$E$40-i.04130!$E$39))</f>
        <v>0</v>
      </c>
      <c r="E100" s="370">
        <f t="shared" si="2"/>
        <v>0</v>
      </c>
    </row>
    <row r="101" spans="1:5" x14ac:dyDescent="0.2">
      <c r="A101" s="345">
        <v>6.11</v>
      </c>
      <c r="B101" s="371" t="str">
        <f>"Бусад  "</f>
        <v xml:space="preserve">Бусад  </v>
      </c>
      <c r="C101" s="69"/>
      <c r="D101" s="369">
        <f>IF(C101&lt;=0.2*(i.04130!$E$46-i.04130!$E$40-i.04130!$E$39),C101,0.2*(i.04130!$E$46-i.04130!$E$40-i.04130!$E$39))</f>
        <v>0</v>
      </c>
      <c r="E101" s="370">
        <f t="shared" si="2"/>
        <v>0</v>
      </c>
    </row>
    <row r="102" spans="1:5" s="364" customFormat="1" ht="15.75" customHeight="1" x14ac:dyDescent="0.2">
      <c r="A102" s="368" t="s">
        <v>826</v>
      </c>
      <c r="B102" s="368" t="str">
        <f>"Засгийн газраас гаргасан өрийн хэрэгсэл  "</f>
        <v xml:space="preserve">Засгийн газраас гаргасан өрийн хэрэгсэл  </v>
      </c>
      <c r="C102" s="219"/>
      <c r="D102" s="348">
        <f>C102</f>
        <v>0</v>
      </c>
      <c r="E102" s="363">
        <f t="shared" si="2"/>
        <v>0</v>
      </c>
    </row>
    <row r="103" spans="1:5" s="364" customFormat="1" ht="15.75" customHeight="1" x14ac:dyDescent="0.2">
      <c r="A103" s="368" t="s">
        <v>827</v>
      </c>
      <c r="B103" s="368" t="str">
        <f>"Төв банкны үнэт цаас  "</f>
        <v xml:space="preserve">Төв банкны үнэт цаас  </v>
      </c>
      <c r="C103" s="219"/>
      <c r="D103" s="348">
        <f>IF(C103&lt;=0.6*(i.04130!$E$46-i.04130!$E$40-i.04130!$E$39),C103,0.6*(i.04130!$E$46-i.04130!$E$40-i.04130!$E$39))</f>
        <v>0</v>
      </c>
      <c r="E103" s="363">
        <f t="shared" si="2"/>
        <v>0</v>
      </c>
    </row>
    <row r="104" spans="1:5" s="364" customFormat="1" ht="23.25" customHeight="1" x14ac:dyDescent="0.2">
      <c r="A104" s="368" t="s">
        <v>828</v>
      </c>
      <c r="B104" s="368" t="str">
        <f>"Хөрөнгөөр баталгаажсан үнэт цаас /Хамгийн өндөр дүнтэйгээс эхлэн бичих/  "</f>
        <v xml:space="preserve">Хөрөнгөөр баталгаажсан үнэт цаас /Хамгийн өндөр дүнтэйгээс эхлэн бичих/  </v>
      </c>
      <c r="C104" s="372">
        <f>SUM(C105:C110)</f>
        <v>0</v>
      </c>
      <c r="D104" s="348">
        <f>D105+D106+D107+D108+D109+D110</f>
        <v>0</v>
      </c>
      <c r="E104" s="363">
        <f t="shared" si="2"/>
        <v>0</v>
      </c>
    </row>
    <row r="105" spans="1:5" x14ac:dyDescent="0.2">
      <c r="A105" s="376">
        <v>9.1</v>
      </c>
      <c r="B105" s="220"/>
      <c r="C105" s="67"/>
      <c r="D105" s="369">
        <f>IF(C105&lt;=0.2*(i.04130!$E$46-i.04130!$E$40-i.04130!$E$39),C105,0.2*(i.04130!$E$46-i.04130!$E$40-i.04130!$E$39))</f>
        <v>0</v>
      </c>
      <c r="E105" s="370">
        <f t="shared" si="2"/>
        <v>0</v>
      </c>
    </row>
    <row r="106" spans="1:5" x14ac:dyDescent="0.2">
      <c r="A106" s="376">
        <v>9.1999999999999993</v>
      </c>
      <c r="B106" s="220"/>
      <c r="C106" s="67"/>
      <c r="D106" s="369">
        <f>IF(C106&lt;=0.2*(i.04130!$E$46-i.04130!$E$40-i.04130!$E$39),C106,0.2*(i.04130!$E$46-i.04130!$E$40-i.04130!$E$39))</f>
        <v>0</v>
      </c>
      <c r="E106" s="370">
        <f t="shared" si="2"/>
        <v>0</v>
      </c>
    </row>
    <row r="107" spans="1:5" x14ac:dyDescent="0.2">
      <c r="A107" s="376">
        <v>9.3000000000000007</v>
      </c>
      <c r="B107" s="220"/>
      <c r="C107" s="67"/>
      <c r="D107" s="369">
        <f>IF(C107&lt;=0.2*(i.04130!$E$46-i.04130!$E$40-i.04130!$E$39),C107,0.2*(i.04130!$E$46-i.04130!$E$40-i.04130!$E$39))</f>
        <v>0</v>
      </c>
      <c r="E107" s="370">
        <f t="shared" si="2"/>
        <v>0</v>
      </c>
    </row>
    <row r="108" spans="1:5" x14ac:dyDescent="0.2">
      <c r="A108" s="376">
        <v>9.4</v>
      </c>
      <c r="B108" s="220"/>
      <c r="C108" s="67"/>
      <c r="D108" s="369">
        <f>IF(C108&lt;=0.2*(i.04130!$E$46-i.04130!$E$40-i.04130!$E$39),C108,0.2*(i.04130!$E$46-i.04130!$E$40-i.04130!$E$39))</f>
        <v>0</v>
      </c>
      <c r="E108" s="370">
        <f t="shared" si="2"/>
        <v>0</v>
      </c>
    </row>
    <row r="109" spans="1:5" x14ac:dyDescent="0.2">
      <c r="A109" s="376">
        <v>9.5</v>
      </c>
      <c r="B109" s="220"/>
      <c r="C109" s="67"/>
      <c r="D109" s="369">
        <f>IF(C109&lt;=0.2*(i.04130!$E$46-i.04130!$E$40-i.04130!$E$39),C109,0.2*(i.04130!$E$46-i.04130!$E$40-i.04130!$E$39))</f>
        <v>0</v>
      </c>
      <c r="E109" s="370">
        <f t="shared" si="2"/>
        <v>0</v>
      </c>
    </row>
    <row r="110" spans="1:5" x14ac:dyDescent="0.2">
      <c r="A110" s="376">
        <v>9.6</v>
      </c>
      <c r="B110" s="376" t="str">
        <f>"Бусад  "</f>
        <v xml:space="preserve">Бусад  </v>
      </c>
      <c r="C110" s="67"/>
      <c r="D110" s="369">
        <f>IF(C110&lt;=0.2*(i.04130!$E$46-i.04130!$E$40-i.04130!$E$39),C110,0.2*(i.04130!$E$46-i.04130!$E$40-i.04130!$E$39))</f>
        <v>0</v>
      </c>
      <c r="E110" s="370">
        <f t="shared" si="2"/>
        <v>0</v>
      </c>
    </row>
    <row r="111" spans="1:5" s="364" customFormat="1" ht="38.25" x14ac:dyDescent="0.2">
      <c r="A111" s="361" t="s">
        <v>829</v>
      </c>
      <c r="B111" s="361" t="str">
        <f>"Аймаг нийслэлийн гаргасан өрийн хэрэгсэл/Хамгийн өндөр дүнтэйгээс эхлэн бичих/   "</f>
        <v xml:space="preserve">Аймаг нийслэлийн гаргасан өрийн хэрэгсэл/Хамгийн өндөр дүнтэйгээс эхлэн бичих/   </v>
      </c>
      <c r="C111" s="372">
        <f>C112+C113+C114+C115+C116+C117+C118+C119+C120+C121+C122</f>
        <v>0</v>
      </c>
      <c r="D111" s="348">
        <f>D112+D113+D114+D115+D116+D117+D118+D119+D120+D121+D122</f>
        <v>0</v>
      </c>
      <c r="E111" s="363">
        <f t="shared" si="2"/>
        <v>0</v>
      </c>
    </row>
    <row r="112" spans="1:5" x14ac:dyDescent="0.2">
      <c r="A112" s="373">
        <v>10.1</v>
      </c>
      <c r="B112" s="217"/>
      <c r="C112" s="221"/>
      <c r="D112" s="369">
        <f>IF(C112&lt;=0.2*(i.04130!$E$46-i.04130!$E$40-i.04130!$E$39),C112,0.2*(i.04130!$E$46-i.04130!$E$40-i.04130!$E$39))</f>
        <v>0</v>
      </c>
      <c r="E112" s="370">
        <f t="shared" si="2"/>
        <v>0</v>
      </c>
    </row>
    <row r="113" spans="1:5" x14ac:dyDescent="0.2">
      <c r="A113" s="373">
        <v>10.199999999999999</v>
      </c>
      <c r="B113" s="217"/>
      <c r="C113" s="221"/>
      <c r="D113" s="369">
        <f>IF(C113&lt;=0.2*(i.04130!$E$46-i.04130!$E$40-i.04130!$E$39),C113,0.2*(i.04130!$E$46-i.04130!$E$40-i.04130!$E$39))</f>
        <v>0</v>
      </c>
      <c r="E113" s="370">
        <f t="shared" si="2"/>
        <v>0</v>
      </c>
    </row>
    <row r="114" spans="1:5" x14ac:dyDescent="0.2">
      <c r="A114" s="373">
        <v>10.3</v>
      </c>
      <c r="B114" s="217"/>
      <c r="C114" s="221"/>
      <c r="D114" s="369">
        <f>IF(C114&lt;=0.2*(i.04130!$E$46-i.04130!$E$40-i.04130!$E$39),C114,0.2*(i.04130!$E$46-i.04130!$E$40-i.04130!$E$39))</f>
        <v>0</v>
      </c>
      <c r="E114" s="370">
        <f t="shared" si="2"/>
        <v>0</v>
      </c>
    </row>
    <row r="115" spans="1:5" x14ac:dyDescent="0.2">
      <c r="A115" s="373">
        <v>10.4</v>
      </c>
      <c r="B115" s="217"/>
      <c r="C115" s="221"/>
      <c r="D115" s="369">
        <f>IF(C115&lt;=0.2*(i.04130!$E$46-i.04130!$E$40-i.04130!$E$39),C115,0.2*(i.04130!$E$46-i.04130!$E$40-i.04130!$E$39))</f>
        <v>0</v>
      </c>
      <c r="E115" s="370">
        <f t="shared" si="2"/>
        <v>0</v>
      </c>
    </row>
    <row r="116" spans="1:5" x14ac:dyDescent="0.2">
      <c r="A116" s="373">
        <v>10.5</v>
      </c>
      <c r="B116" s="217"/>
      <c r="C116" s="221"/>
      <c r="D116" s="369">
        <f>IF(C116&lt;=0.2*(i.04130!$E$46-i.04130!$E$40-i.04130!$E$39),C116,0.2*(i.04130!$E$46-i.04130!$E$40-i.04130!$E$39))</f>
        <v>0</v>
      </c>
      <c r="E116" s="370">
        <f t="shared" si="2"/>
        <v>0</v>
      </c>
    </row>
    <row r="117" spans="1:5" x14ac:dyDescent="0.2">
      <c r="A117" s="373">
        <v>10.6</v>
      </c>
      <c r="B117" s="217"/>
      <c r="C117" s="221"/>
      <c r="D117" s="369">
        <f>IF(C117&lt;=0.2*(i.04130!$E$46-i.04130!$E$40-i.04130!$E$39),C117,0.2*(i.04130!$E$46-i.04130!$E$40-i.04130!$E$39))</f>
        <v>0</v>
      </c>
      <c r="E117" s="370">
        <f t="shared" si="2"/>
        <v>0</v>
      </c>
    </row>
    <row r="118" spans="1:5" x14ac:dyDescent="0.2">
      <c r="A118" s="373">
        <v>10.7</v>
      </c>
      <c r="B118" s="217"/>
      <c r="C118" s="221"/>
      <c r="D118" s="369">
        <f>IF(C118&lt;=0.2*(i.04130!$E$46-i.04130!$E$40-i.04130!$E$39),C118,0.2*(i.04130!$E$46-i.04130!$E$40-i.04130!$E$39))</f>
        <v>0</v>
      </c>
      <c r="E118" s="370">
        <f t="shared" si="2"/>
        <v>0</v>
      </c>
    </row>
    <row r="119" spans="1:5" x14ac:dyDescent="0.2">
      <c r="A119" s="373">
        <v>10.8</v>
      </c>
      <c r="B119" s="217"/>
      <c r="C119" s="221"/>
      <c r="D119" s="369">
        <f>IF(C119&lt;=0.2*(i.04130!$E$46-i.04130!$E$40-i.04130!$E$39),C119,0.2*(i.04130!$E$46-i.04130!$E$40-i.04130!$E$39))</f>
        <v>0</v>
      </c>
      <c r="E119" s="370">
        <f t="shared" si="2"/>
        <v>0</v>
      </c>
    </row>
    <row r="120" spans="1:5" x14ac:dyDescent="0.2">
      <c r="A120" s="373">
        <v>10.9</v>
      </c>
      <c r="B120" s="217"/>
      <c r="C120" s="221"/>
      <c r="D120" s="369">
        <f>IF(C120&lt;=0.2*(i.04130!$E$46-i.04130!$E$40-i.04130!$E$39),C120,0.2*(i.04130!$E$46-i.04130!$E$40-i.04130!$E$39))</f>
        <v>0</v>
      </c>
      <c r="E120" s="370">
        <f t="shared" si="2"/>
        <v>0</v>
      </c>
    </row>
    <row r="121" spans="1:5" x14ac:dyDescent="0.2">
      <c r="A121" s="375">
        <v>10.1</v>
      </c>
      <c r="B121" s="217"/>
      <c r="C121" s="221"/>
      <c r="D121" s="369">
        <f>IF(C121&lt;=0.2*(i.04130!$E$46-i.04130!$E$40-i.04130!$E$39),C121,0.2*(i.04130!$E$46-i.04130!$E$40-i.04130!$E$39))</f>
        <v>0</v>
      </c>
      <c r="E121" s="370">
        <f t="shared" si="2"/>
        <v>0</v>
      </c>
    </row>
    <row r="122" spans="1:5" x14ac:dyDescent="0.2">
      <c r="A122" s="373">
        <v>10.11</v>
      </c>
      <c r="B122" s="373" t="str">
        <f>"Бусад  "</f>
        <v xml:space="preserve">Бусад  </v>
      </c>
      <c r="C122" s="221"/>
      <c r="D122" s="369">
        <f>IF(C122&lt;=0.2*(i.04130!$E$46-i.04130!$E$40-i.04130!$E$39),C122,0.2*(i.04130!$E$46-i.04130!$E$40-i.04130!$E$39))</f>
        <v>0</v>
      </c>
      <c r="E122" s="370">
        <f t="shared" si="2"/>
        <v>0</v>
      </c>
    </row>
    <row r="123" spans="1:5" s="364" customFormat="1" ht="28.5" customHeight="1" x14ac:dyDescent="0.2">
      <c r="A123" s="361" t="s">
        <v>830</v>
      </c>
      <c r="B123" s="361" t="str">
        <f>"Компанийн өрийн хэрэгсэл /Хамгийн өндөр дүнтэйгээс эхлэн бичих/   "</f>
        <v xml:space="preserve">Компанийн өрийн хэрэгсэл /Хамгийн өндөр дүнтэйгээс эхлэн бичих/   </v>
      </c>
      <c r="C123" s="372">
        <f>C124+C125+C126+C127+C128+C129+C130+C131+C132+C133+C134</f>
        <v>0</v>
      </c>
      <c r="D123" s="348">
        <f>D124+D125+D126+D127+D128+D129+D130+D131+D132+D133+D134</f>
        <v>0</v>
      </c>
      <c r="E123" s="363">
        <f t="shared" si="2"/>
        <v>0</v>
      </c>
    </row>
    <row r="124" spans="1:5" x14ac:dyDescent="0.2">
      <c r="A124" s="373">
        <v>11.1</v>
      </c>
      <c r="B124" s="217"/>
      <c r="C124" s="221"/>
      <c r="D124" s="369">
        <f>IF(C124&lt;=0.1*(i.04130!$E$46-i.04130!$E$40-i.04130!$E$39),C124,0.1*(i.04130!$E$46-i.04130!$E$40-i.04130!$E$39))</f>
        <v>0</v>
      </c>
      <c r="E124" s="370">
        <f t="shared" si="2"/>
        <v>0</v>
      </c>
    </row>
    <row r="125" spans="1:5" x14ac:dyDescent="0.2">
      <c r="A125" s="373">
        <v>11.2</v>
      </c>
      <c r="B125" s="217"/>
      <c r="C125" s="221"/>
      <c r="D125" s="369">
        <f>IF(C125&lt;=0.1*(i.04130!$E$46-i.04130!$E$40-i.04130!$E$39),C125,0.1*(i.04130!$E$46-i.04130!$E$40-i.04130!$E$39))</f>
        <v>0</v>
      </c>
      <c r="E125" s="370">
        <f t="shared" si="2"/>
        <v>0</v>
      </c>
    </row>
    <row r="126" spans="1:5" x14ac:dyDescent="0.2">
      <c r="A126" s="373">
        <v>11.3</v>
      </c>
      <c r="B126" s="217"/>
      <c r="C126" s="221"/>
      <c r="D126" s="369">
        <f>IF(C126&lt;=0.1*(i.04130!$E$46-i.04130!$E$40-i.04130!$E$39),C126,0.1*(i.04130!$E$46-i.04130!$E$40-i.04130!$E$39))</f>
        <v>0</v>
      </c>
      <c r="E126" s="370">
        <f t="shared" si="2"/>
        <v>0</v>
      </c>
    </row>
    <row r="127" spans="1:5" x14ac:dyDescent="0.2">
      <c r="A127" s="373">
        <v>11.4</v>
      </c>
      <c r="B127" s="217"/>
      <c r="C127" s="221"/>
      <c r="D127" s="369">
        <f>IF(C127&lt;=0.1*(i.04130!$E$46-i.04130!$E$40-i.04130!$E$39),C127,0.1*(i.04130!$E$46-i.04130!$E$40-i.04130!$E$39))</f>
        <v>0</v>
      </c>
      <c r="E127" s="370">
        <f t="shared" si="2"/>
        <v>0</v>
      </c>
    </row>
    <row r="128" spans="1:5" x14ac:dyDescent="0.2">
      <c r="A128" s="373">
        <v>11.5</v>
      </c>
      <c r="B128" s="217"/>
      <c r="C128" s="221"/>
      <c r="D128" s="369">
        <f>IF(C128&lt;=0.1*(i.04130!$E$46-i.04130!$E$40-i.04130!$E$39),C128,0.1*(i.04130!$E$46-i.04130!$E$40-i.04130!$E$39))</f>
        <v>0</v>
      </c>
      <c r="E128" s="370">
        <f t="shared" si="2"/>
        <v>0</v>
      </c>
    </row>
    <row r="129" spans="1:5" x14ac:dyDescent="0.2">
      <c r="A129" s="373">
        <v>11.6</v>
      </c>
      <c r="B129" s="217"/>
      <c r="C129" s="221"/>
      <c r="D129" s="369">
        <f>IF(C129&lt;=0.1*(i.04130!$E$46-i.04130!$E$40-i.04130!$E$39),C129,0.1*(i.04130!$E$46-i.04130!$E$40-i.04130!$E$39))</f>
        <v>0</v>
      </c>
      <c r="E129" s="370">
        <f t="shared" si="2"/>
        <v>0</v>
      </c>
    </row>
    <row r="130" spans="1:5" x14ac:dyDescent="0.2">
      <c r="A130" s="373">
        <v>11.7</v>
      </c>
      <c r="B130" s="217"/>
      <c r="C130" s="221"/>
      <c r="D130" s="369">
        <f>IF(C130&lt;=0.1*(i.04130!$E$46-i.04130!$E$40-i.04130!$E$39),C130,0.1*(i.04130!$E$46-i.04130!$E$40-i.04130!$E$39))</f>
        <v>0</v>
      </c>
      <c r="E130" s="370">
        <f t="shared" si="2"/>
        <v>0</v>
      </c>
    </row>
    <row r="131" spans="1:5" x14ac:dyDescent="0.2">
      <c r="A131" s="373">
        <v>11.8</v>
      </c>
      <c r="B131" s="217"/>
      <c r="C131" s="221"/>
      <c r="D131" s="369">
        <f>IF(C131&lt;=0.1*(i.04130!$E$46-i.04130!$E$40-i.04130!$E$39),C131,0.1*(i.04130!$E$46-i.04130!$E$40-i.04130!$E$39))</f>
        <v>0</v>
      </c>
      <c r="E131" s="370">
        <f t="shared" si="2"/>
        <v>0</v>
      </c>
    </row>
    <row r="132" spans="1:5" x14ac:dyDescent="0.2">
      <c r="A132" s="373">
        <v>11.9</v>
      </c>
      <c r="B132" s="217"/>
      <c r="C132" s="221"/>
      <c r="D132" s="369">
        <f>IF(C132&lt;=0.1*(i.04130!$E$46-i.04130!$E$40-i.04130!$E$39),C132,0.1*(i.04130!$E$46-i.04130!$E$40-i.04130!$E$39))</f>
        <v>0</v>
      </c>
      <c r="E132" s="370">
        <f t="shared" si="2"/>
        <v>0</v>
      </c>
    </row>
    <row r="133" spans="1:5" x14ac:dyDescent="0.2">
      <c r="A133" s="375">
        <v>11.1</v>
      </c>
      <c r="B133" s="217"/>
      <c r="C133" s="221"/>
      <c r="D133" s="369">
        <f>IF(C133&lt;=0.1*(i.04130!$E$46-i.04130!$E$40-i.04130!$E$39),C133,0.1*(i.04130!$E$46-i.04130!$E$40-i.04130!$E$39))</f>
        <v>0</v>
      </c>
      <c r="E133" s="370">
        <f t="shared" si="2"/>
        <v>0</v>
      </c>
    </row>
    <row r="134" spans="1:5" x14ac:dyDescent="0.2">
      <c r="A134" s="373">
        <v>11.11</v>
      </c>
      <c r="B134" s="373" t="str">
        <f>"Бусад  "</f>
        <v xml:space="preserve">Бусад  </v>
      </c>
      <c r="C134" s="221"/>
      <c r="D134" s="369">
        <f>IF(C134&lt;=0.1*(i.04130!$E$46-i.04130!$E$40-i.04130!$E$39),C134,0.1*(i.04130!$E$46-i.04130!$E$40-i.04130!$E$39))</f>
        <v>0</v>
      </c>
      <c r="E134" s="370">
        <f t="shared" si="2"/>
        <v>0</v>
      </c>
    </row>
    <row r="135" spans="1:5" s="364" customFormat="1" ht="38.25" x14ac:dyDescent="0.2">
      <c r="A135" s="332" t="s">
        <v>831</v>
      </c>
      <c r="B135" s="346" t="str">
        <f>"Монголын хөрөнгийн биржийн хувьцаат компанийн хувьцаа – 1 ангилал /Хамгийн өндөр дүнтэйгээс эхлэн бичих/  "</f>
        <v xml:space="preserve">Монголын хөрөнгийн биржийн хувьцаат компанийн хувьцаа – 1 ангилал /Хамгийн өндөр дүнтэйгээс эхлэн бичих/  </v>
      </c>
      <c r="C135" s="347">
        <f>C136+C137+C138+C139+C140+C141+C142+C143+C144+C145+C146</f>
        <v>0</v>
      </c>
      <c r="D135" s="348">
        <f>D136+D137+D138+D139+D140+D141+D142+D143+D144+D145+D146</f>
        <v>0</v>
      </c>
      <c r="E135" s="363">
        <f t="shared" si="2"/>
        <v>0</v>
      </c>
    </row>
    <row r="136" spans="1:5" x14ac:dyDescent="0.2">
      <c r="A136" s="345">
        <v>12.1</v>
      </c>
      <c r="B136" s="214"/>
      <c r="C136" s="69"/>
      <c r="D136" s="369">
        <f>IF(C136&lt;=0.05*(i.04130!$E$46-i.04130!$E$40-i.04130!$E$39),C136,0.05*(i.04130!$E$46-i.04130!$E$40-i.04130!$E$39))</f>
        <v>0</v>
      </c>
      <c r="E136" s="370">
        <f t="shared" si="2"/>
        <v>0</v>
      </c>
    </row>
    <row r="137" spans="1:5" x14ac:dyDescent="0.2">
      <c r="A137" s="345">
        <v>12.2</v>
      </c>
      <c r="B137" s="214"/>
      <c r="C137" s="69"/>
      <c r="D137" s="369">
        <f>IF(C137&lt;=0.05*(i.04130!$E$46-i.04130!$E$40-i.04130!$E$39),C137,0.05*(i.04130!$E$46-i.04130!$E$40-i.04130!$E$39))</f>
        <v>0</v>
      </c>
      <c r="E137" s="370">
        <f t="shared" si="2"/>
        <v>0</v>
      </c>
    </row>
    <row r="138" spans="1:5" x14ac:dyDescent="0.2">
      <c r="A138" s="345">
        <v>12.3</v>
      </c>
      <c r="B138" s="214"/>
      <c r="C138" s="69"/>
      <c r="D138" s="369">
        <f>IF(C138&lt;=0.05*(i.04130!$E$46-i.04130!$E$40-i.04130!$E$39),C138,0.05*(i.04130!$E$46-i.04130!$E$40-i.04130!$E$39))</f>
        <v>0</v>
      </c>
      <c r="E138" s="370">
        <f t="shared" ref="E138:E201" si="3">C138-D138</f>
        <v>0</v>
      </c>
    </row>
    <row r="139" spans="1:5" x14ac:dyDescent="0.2">
      <c r="A139" s="345">
        <v>12.4</v>
      </c>
      <c r="B139" s="214"/>
      <c r="C139" s="69"/>
      <c r="D139" s="369">
        <f>IF(C139&lt;=0.05*(i.04130!$E$46-i.04130!$E$40-i.04130!$E$39),C139,0.05*(i.04130!$E$46-i.04130!$E$40-i.04130!$E$39))</f>
        <v>0</v>
      </c>
      <c r="E139" s="370">
        <f t="shared" si="3"/>
        <v>0</v>
      </c>
    </row>
    <row r="140" spans="1:5" x14ac:dyDescent="0.2">
      <c r="A140" s="345">
        <v>12.5</v>
      </c>
      <c r="B140" s="214"/>
      <c r="C140" s="69"/>
      <c r="D140" s="369">
        <f>IF(C140&lt;=0.05*(i.04130!$E$46-i.04130!$E$40-i.04130!$E$39),C140,0.05*(i.04130!$E$46-i.04130!$E$40-i.04130!$E$39))</f>
        <v>0</v>
      </c>
      <c r="E140" s="370">
        <f t="shared" si="3"/>
        <v>0</v>
      </c>
    </row>
    <row r="141" spans="1:5" x14ac:dyDescent="0.2">
      <c r="A141" s="345">
        <v>12.6</v>
      </c>
      <c r="B141" s="214"/>
      <c r="C141" s="69"/>
      <c r="D141" s="369">
        <f>IF(C141&lt;=0.05*(i.04130!$E$46-i.04130!$E$40-i.04130!$E$39),C141,0.05*(i.04130!$E$46-i.04130!$E$40-i.04130!$E$39))</f>
        <v>0</v>
      </c>
      <c r="E141" s="370">
        <f t="shared" si="3"/>
        <v>0</v>
      </c>
    </row>
    <row r="142" spans="1:5" x14ac:dyDescent="0.2">
      <c r="A142" s="345">
        <v>12.7</v>
      </c>
      <c r="B142" s="214"/>
      <c r="C142" s="69"/>
      <c r="D142" s="369">
        <f>IF(C142&lt;=0.05*(i.04130!$E$46-i.04130!$E$40-i.04130!$E$39),C142,0.05*(i.04130!$E$46-i.04130!$E$40-i.04130!$E$39))</f>
        <v>0</v>
      </c>
      <c r="E142" s="370">
        <f t="shared" si="3"/>
        <v>0</v>
      </c>
    </row>
    <row r="143" spans="1:5" x14ac:dyDescent="0.2">
      <c r="A143" s="345">
        <v>12.8</v>
      </c>
      <c r="B143" s="214"/>
      <c r="C143" s="69"/>
      <c r="D143" s="369">
        <f>IF(C143&lt;=0.05*(i.04130!$E$46-i.04130!$E$40-i.04130!$E$39),C143,0.05*(i.04130!$E$46-i.04130!$E$40-i.04130!$E$39))</f>
        <v>0</v>
      </c>
      <c r="E143" s="370">
        <f t="shared" si="3"/>
        <v>0</v>
      </c>
    </row>
    <row r="144" spans="1:5" x14ac:dyDescent="0.2">
      <c r="A144" s="345">
        <v>12.9</v>
      </c>
      <c r="B144" s="214"/>
      <c r="C144" s="69"/>
      <c r="D144" s="369">
        <f>IF(C144&lt;=0.05*(i.04130!$E$46-i.04130!$E$40-i.04130!$E$39),C144,0.05*(i.04130!$E$46-i.04130!$E$40-i.04130!$E$39))</f>
        <v>0</v>
      </c>
      <c r="E144" s="370">
        <f t="shared" si="3"/>
        <v>0</v>
      </c>
    </row>
    <row r="145" spans="1:5" x14ac:dyDescent="0.2">
      <c r="A145" s="341">
        <v>12.1</v>
      </c>
      <c r="B145" s="214"/>
      <c r="C145" s="69"/>
      <c r="D145" s="369">
        <f>IF(C145&lt;=0.05*(i.04130!$E$46-i.04130!$E$40-i.04130!$E$39),C145,0.05*(i.04130!$E$46-i.04130!$E$40-i.04130!$E$39))</f>
        <v>0</v>
      </c>
      <c r="E145" s="370">
        <f t="shared" si="3"/>
        <v>0</v>
      </c>
    </row>
    <row r="146" spans="1:5" x14ac:dyDescent="0.2">
      <c r="A146" s="345">
        <v>12.11</v>
      </c>
      <c r="B146" s="371" t="str">
        <f>"Бусад  "</f>
        <v xml:space="preserve">Бусад  </v>
      </c>
      <c r="C146" s="69"/>
      <c r="D146" s="369">
        <f>IF(C146&lt;=0.05*(i.04130!$E$46-i.04130!$E$40-i.04130!$E$39),C146,0.05*(i.04130!$E$46-i.04130!$E$40-i.04130!$E$39))</f>
        <v>0</v>
      </c>
      <c r="E146" s="370">
        <f t="shared" si="3"/>
        <v>0</v>
      </c>
    </row>
    <row r="147" spans="1:5" s="364" customFormat="1" ht="38.25" x14ac:dyDescent="0.2">
      <c r="A147" s="332" t="s">
        <v>832</v>
      </c>
      <c r="B147" s="346" t="str">
        <f>"Монголын хөрөнгийн биржийн хувьцаат компанийн хувьцаа – 2 ангилал /Хамгийн өндөр дүнтэйгээс эхлэн бичих/   "</f>
        <v xml:space="preserve">Монголын хөрөнгийн биржийн хувьцаат компанийн хувьцаа – 2 ангилал /Хамгийн өндөр дүнтэйгээс эхлэн бичих/   </v>
      </c>
      <c r="C147" s="347">
        <f>C148+C149+C150+C151+C152+C153+C154+C155+C156+C157+C158</f>
        <v>0</v>
      </c>
      <c r="D147" s="348">
        <f>D148+D149+D150+D151+D152+D153+D154+D155+D156+D157+D158</f>
        <v>0</v>
      </c>
      <c r="E147" s="363">
        <f t="shared" si="3"/>
        <v>0</v>
      </c>
    </row>
    <row r="148" spans="1:5" x14ac:dyDescent="0.2">
      <c r="A148" s="345">
        <v>13.1</v>
      </c>
      <c r="B148" s="214"/>
      <c r="C148" s="69"/>
      <c r="D148" s="369">
        <f>IF(C148&lt;=0.05*(i.04130!$E$46-i.04130!$E$40-i.04130!$E$39),C148,0.05*(i.04130!$E$46-i.04130!$E$40-i.04130!$E$39))</f>
        <v>0</v>
      </c>
      <c r="E148" s="370">
        <f t="shared" si="3"/>
        <v>0</v>
      </c>
    </row>
    <row r="149" spans="1:5" x14ac:dyDescent="0.2">
      <c r="A149" s="345">
        <v>13.2</v>
      </c>
      <c r="B149" s="214"/>
      <c r="C149" s="69"/>
      <c r="D149" s="369">
        <f>IF(C149&lt;=0.05*(i.04130!$E$46-i.04130!$E$40-i.04130!$E$39),C149,0.05*(i.04130!$E$46-i.04130!$E$40-i.04130!$E$39))</f>
        <v>0</v>
      </c>
      <c r="E149" s="370">
        <f t="shared" si="3"/>
        <v>0</v>
      </c>
    </row>
    <row r="150" spans="1:5" x14ac:dyDescent="0.2">
      <c r="A150" s="345">
        <v>13.3</v>
      </c>
      <c r="B150" s="214"/>
      <c r="C150" s="69"/>
      <c r="D150" s="369">
        <f>IF(C150&lt;=0.05*(i.04130!$E$46-i.04130!$E$40-i.04130!$E$39),C150,0.05*(i.04130!$E$46-i.04130!$E$40-i.04130!$E$39))</f>
        <v>0</v>
      </c>
      <c r="E150" s="370">
        <f t="shared" si="3"/>
        <v>0</v>
      </c>
    </row>
    <row r="151" spans="1:5" x14ac:dyDescent="0.2">
      <c r="A151" s="345">
        <v>13.4</v>
      </c>
      <c r="B151" s="214"/>
      <c r="C151" s="69"/>
      <c r="D151" s="369">
        <f>IF(C151&lt;=0.05*(i.04130!$E$46-i.04130!$E$40-i.04130!$E$39),C151,0.05*(i.04130!$E$46-i.04130!$E$40-i.04130!$E$39))</f>
        <v>0</v>
      </c>
      <c r="E151" s="370">
        <f t="shared" si="3"/>
        <v>0</v>
      </c>
    </row>
    <row r="152" spans="1:5" x14ac:dyDescent="0.2">
      <c r="A152" s="345">
        <v>13.5</v>
      </c>
      <c r="B152" s="214"/>
      <c r="C152" s="69"/>
      <c r="D152" s="369">
        <f>IF(C152&lt;=0.05*(i.04130!$E$46-i.04130!$E$40-i.04130!$E$39),C152,0.05*(i.04130!$E$46-i.04130!$E$40-i.04130!$E$39))</f>
        <v>0</v>
      </c>
      <c r="E152" s="370">
        <f t="shared" si="3"/>
        <v>0</v>
      </c>
    </row>
    <row r="153" spans="1:5" x14ac:dyDescent="0.2">
      <c r="A153" s="345">
        <v>13.6</v>
      </c>
      <c r="B153" s="214"/>
      <c r="C153" s="69"/>
      <c r="D153" s="369">
        <f>IF(C153&lt;=0.05*(i.04130!$E$46-i.04130!$E$40-i.04130!$E$39),C153,0.05*(i.04130!$E$46-i.04130!$E$40-i.04130!$E$39))</f>
        <v>0</v>
      </c>
      <c r="E153" s="370">
        <f t="shared" si="3"/>
        <v>0</v>
      </c>
    </row>
    <row r="154" spans="1:5" x14ac:dyDescent="0.2">
      <c r="A154" s="345">
        <v>13.7</v>
      </c>
      <c r="B154" s="214"/>
      <c r="C154" s="69"/>
      <c r="D154" s="369">
        <f>IF(C154&lt;=0.05*(i.04130!$E$46-i.04130!$E$40-i.04130!$E$39),C154,0.05*(i.04130!$E$46-i.04130!$E$40-i.04130!$E$39))</f>
        <v>0</v>
      </c>
      <c r="E154" s="370">
        <f t="shared" si="3"/>
        <v>0</v>
      </c>
    </row>
    <row r="155" spans="1:5" x14ac:dyDescent="0.2">
      <c r="A155" s="345">
        <v>13.8</v>
      </c>
      <c r="B155" s="214"/>
      <c r="C155" s="69"/>
      <c r="D155" s="369">
        <f>IF(C155&lt;=0.05*(i.04130!$E$46-i.04130!$E$40-i.04130!$E$39),C155,0.05*(i.04130!$E$46-i.04130!$E$40-i.04130!$E$39))</f>
        <v>0</v>
      </c>
      <c r="E155" s="370">
        <f t="shared" si="3"/>
        <v>0</v>
      </c>
    </row>
    <row r="156" spans="1:5" x14ac:dyDescent="0.2">
      <c r="A156" s="345">
        <v>13.9</v>
      </c>
      <c r="B156" s="214"/>
      <c r="C156" s="69"/>
      <c r="D156" s="369">
        <f>IF(C156&lt;=0.05*(i.04130!$E$46-i.04130!$E$40-i.04130!$E$39),C156,0.05*(i.04130!$E$46-i.04130!$E$40-i.04130!$E$39))</f>
        <v>0</v>
      </c>
      <c r="E156" s="370">
        <f t="shared" si="3"/>
        <v>0</v>
      </c>
    </row>
    <row r="157" spans="1:5" x14ac:dyDescent="0.2">
      <c r="A157" s="341">
        <v>13.1</v>
      </c>
      <c r="B157" s="214"/>
      <c r="C157" s="69"/>
      <c r="D157" s="369">
        <f>IF(C157&lt;=0.05*(i.04130!$E$46-i.04130!$E$40-i.04130!$E$39),C157,0.05*(i.04130!$E$46-i.04130!$E$40-i.04130!$E$39))</f>
        <v>0</v>
      </c>
      <c r="E157" s="370">
        <f t="shared" si="3"/>
        <v>0</v>
      </c>
    </row>
    <row r="158" spans="1:5" x14ac:dyDescent="0.2">
      <c r="A158" s="345">
        <v>13.11</v>
      </c>
      <c r="B158" s="371" t="str">
        <f>"Бусад  "</f>
        <v xml:space="preserve">Бусад  </v>
      </c>
      <c r="C158" s="69"/>
      <c r="D158" s="369">
        <f>IF(C158&lt;=0.05*(i.04130!$E$46-i.04130!$E$40-i.04130!$E$39),C158,0.05*(i.04130!$E$46-i.04130!$E$40-i.04130!$E$39))</f>
        <v>0</v>
      </c>
      <c r="E158" s="370">
        <f t="shared" si="3"/>
        <v>0</v>
      </c>
    </row>
    <row r="159" spans="1:5" s="364" customFormat="1" ht="25.5" customHeight="1" x14ac:dyDescent="0.2">
      <c r="A159" s="332" t="s">
        <v>833</v>
      </c>
      <c r="B159" s="346" t="str">
        <f>"Хөрөнгө оруулалтын нээлттэй сан /Хамгийн өндөр дүнтэйгээс эхлэн бичих/   "</f>
        <v xml:space="preserve">Хөрөнгө оруулалтын нээлттэй сан /Хамгийн өндөр дүнтэйгээс эхлэн бичих/   </v>
      </c>
      <c r="C159" s="347">
        <f>C160+C161+C162+C163+C164+C165+C166+C167+C168+C169+C170</f>
        <v>0</v>
      </c>
      <c r="D159" s="348">
        <f>D160+D161+D162+D163+D164+D165+D166+D167+D168+D169+D170</f>
        <v>0</v>
      </c>
      <c r="E159" s="363">
        <f t="shared" si="3"/>
        <v>0</v>
      </c>
    </row>
    <row r="160" spans="1:5" x14ac:dyDescent="0.2">
      <c r="A160" s="345">
        <v>14.1</v>
      </c>
      <c r="B160" s="214"/>
      <c r="C160" s="69"/>
      <c r="D160" s="369">
        <f>IF(C160&lt;=0.1*(i.04130!$E$46-i.04130!$E$40-i.04130!$E$39),C160,0.1*(i.04130!$E$46-i.04130!$E$40-i.04130!$E$39))</f>
        <v>0</v>
      </c>
      <c r="E160" s="370">
        <f t="shared" si="3"/>
        <v>0</v>
      </c>
    </row>
    <row r="161" spans="1:5" x14ac:dyDescent="0.2">
      <c r="A161" s="345">
        <v>14.2</v>
      </c>
      <c r="B161" s="214"/>
      <c r="C161" s="69"/>
      <c r="D161" s="369">
        <f>IF(C161&lt;=0.1*(i.04130!$E$46-i.04130!$E$40-i.04130!$E$39),C161,0.1*(i.04130!$E$46-i.04130!$E$40-i.04130!$E$39))</f>
        <v>0</v>
      </c>
      <c r="E161" s="370">
        <f t="shared" si="3"/>
        <v>0</v>
      </c>
    </row>
    <row r="162" spans="1:5" x14ac:dyDescent="0.2">
      <c r="A162" s="345">
        <v>14.3</v>
      </c>
      <c r="B162" s="214"/>
      <c r="C162" s="69"/>
      <c r="D162" s="369">
        <f>IF(C162&lt;=0.1*(i.04130!$E$46-i.04130!$E$40-i.04130!$E$39),C162,0.1*(i.04130!$E$46-i.04130!$E$40-i.04130!$E$39))</f>
        <v>0</v>
      </c>
      <c r="E162" s="370">
        <f t="shared" si="3"/>
        <v>0</v>
      </c>
    </row>
    <row r="163" spans="1:5" x14ac:dyDescent="0.2">
      <c r="A163" s="345">
        <v>14.4</v>
      </c>
      <c r="B163" s="214"/>
      <c r="C163" s="69"/>
      <c r="D163" s="369">
        <f>IF(C163&lt;=0.1*(i.04130!$E$46-i.04130!$E$40-i.04130!$E$39),C163,0.1*(i.04130!$E$46-i.04130!$E$40-i.04130!$E$39))</f>
        <v>0</v>
      </c>
      <c r="E163" s="370">
        <f t="shared" si="3"/>
        <v>0</v>
      </c>
    </row>
    <row r="164" spans="1:5" x14ac:dyDescent="0.2">
      <c r="A164" s="345">
        <v>14.5</v>
      </c>
      <c r="B164" s="214"/>
      <c r="C164" s="69"/>
      <c r="D164" s="369">
        <f>IF(C164&lt;=0.1*(i.04130!$E$46-i.04130!$E$40-i.04130!$E$39),C164,0.1*(i.04130!$E$46-i.04130!$E$40-i.04130!$E$39))</f>
        <v>0</v>
      </c>
      <c r="E164" s="370">
        <f t="shared" si="3"/>
        <v>0</v>
      </c>
    </row>
    <row r="165" spans="1:5" x14ac:dyDescent="0.2">
      <c r="A165" s="345">
        <v>14.6</v>
      </c>
      <c r="B165" s="214"/>
      <c r="C165" s="69"/>
      <c r="D165" s="369">
        <f>IF(C165&lt;=0.1*(i.04130!$E$46-i.04130!$E$40-i.04130!$E$39),C165,0.1*(i.04130!$E$46-i.04130!$E$40-i.04130!$E$39))</f>
        <v>0</v>
      </c>
      <c r="E165" s="370">
        <f t="shared" si="3"/>
        <v>0</v>
      </c>
    </row>
    <row r="166" spans="1:5" x14ac:dyDescent="0.2">
      <c r="A166" s="345">
        <v>14.7</v>
      </c>
      <c r="B166" s="214"/>
      <c r="C166" s="69"/>
      <c r="D166" s="369">
        <f>IF(C166&lt;=0.1*(i.04130!$E$46-i.04130!$E$40-i.04130!$E$39),C166,0.1*(i.04130!$E$46-i.04130!$E$40-i.04130!$E$39))</f>
        <v>0</v>
      </c>
      <c r="E166" s="370">
        <f t="shared" si="3"/>
        <v>0</v>
      </c>
    </row>
    <row r="167" spans="1:5" x14ac:dyDescent="0.2">
      <c r="A167" s="345">
        <v>14.8</v>
      </c>
      <c r="B167" s="214"/>
      <c r="C167" s="69"/>
      <c r="D167" s="369">
        <f>IF(C167&lt;=0.1*(i.04130!$E$46-i.04130!$E$40-i.04130!$E$39),C167,0.1*(i.04130!$E$46-i.04130!$E$40-i.04130!$E$39))</f>
        <v>0</v>
      </c>
      <c r="E167" s="370">
        <f t="shared" si="3"/>
        <v>0</v>
      </c>
    </row>
    <row r="168" spans="1:5" x14ac:dyDescent="0.2">
      <c r="A168" s="345">
        <v>14.9</v>
      </c>
      <c r="B168" s="214"/>
      <c r="C168" s="69"/>
      <c r="D168" s="369">
        <f>IF(C168&lt;=0.1*(i.04130!$E$46-i.04130!$E$40-i.04130!$E$39),C168,0.1*(i.04130!$E$46-i.04130!$E$40-i.04130!$E$39))</f>
        <v>0</v>
      </c>
      <c r="E168" s="370">
        <f t="shared" si="3"/>
        <v>0</v>
      </c>
    </row>
    <row r="169" spans="1:5" x14ac:dyDescent="0.2">
      <c r="A169" s="341">
        <v>14.1</v>
      </c>
      <c r="B169" s="214"/>
      <c r="C169" s="69"/>
      <c r="D169" s="369">
        <f>IF(C169&lt;=0.1*(i.04130!$E$46-i.04130!$E$40-i.04130!$E$39),C169,0.1*(i.04130!$E$46-i.04130!$E$40-i.04130!$E$39))</f>
        <v>0</v>
      </c>
      <c r="E169" s="370">
        <f t="shared" si="3"/>
        <v>0</v>
      </c>
    </row>
    <row r="170" spans="1:5" x14ac:dyDescent="0.2">
      <c r="A170" s="345">
        <v>14.11</v>
      </c>
      <c r="B170" s="371" t="str">
        <f>"Бусад  "</f>
        <v xml:space="preserve">Бусад  </v>
      </c>
      <c r="C170" s="69"/>
      <c r="D170" s="369">
        <f>IF(C170&lt;=0.1*(i.04130!$E$46-i.04130!$E$40-i.04130!$E$39),C170,0.1*(i.04130!$E$46-i.04130!$E$40-i.04130!$E$39))</f>
        <v>0</v>
      </c>
      <c r="E170" s="370">
        <f t="shared" si="3"/>
        <v>0</v>
      </c>
    </row>
    <row r="171" spans="1:5" s="364" customFormat="1" ht="27" customHeight="1" x14ac:dyDescent="0.2">
      <c r="A171" s="332" t="s">
        <v>834</v>
      </c>
      <c r="B171" s="346" t="str">
        <f>"Хөрөнгө оруулалтын хаалттай сан /Хамгийн өндөр дүнтэйгээс эхлэн бичих/   "</f>
        <v xml:space="preserve">Хөрөнгө оруулалтын хаалттай сан /Хамгийн өндөр дүнтэйгээс эхлэн бичих/   </v>
      </c>
      <c r="C171" s="347">
        <f>C172+C173+C174+C175+C176+C177+C178+C179+C180+C181+C182</f>
        <v>0</v>
      </c>
      <c r="D171" s="348">
        <f>D172+D173+D174+D175+D176+D177+D178+D179+D180+D181+D182</f>
        <v>0</v>
      </c>
      <c r="E171" s="363">
        <f t="shared" si="3"/>
        <v>0</v>
      </c>
    </row>
    <row r="172" spans="1:5" x14ac:dyDescent="0.2">
      <c r="A172" s="345">
        <v>15.1</v>
      </c>
      <c r="B172" s="214"/>
      <c r="C172" s="69"/>
      <c r="D172" s="369">
        <f>IF(C172&lt;=0.1*(i.04130!$E$46-i.04130!$E$40-i.04130!$E$39),C172,0.1*(i.04130!$E$46-i.04130!$E$40-i.04130!$E$39))</f>
        <v>0</v>
      </c>
      <c r="E172" s="370">
        <f t="shared" si="3"/>
        <v>0</v>
      </c>
    </row>
    <row r="173" spans="1:5" x14ac:dyDescent="0.2">
      <c r="A173" s="345">
        <v>15.2</v>
      </c>
      <c r="B173" s="214"/>
      <c r="C173" s="69"/>
      <c r="D173" s="369">
        <f>IF(C173&lt;=0.1*(i.04130!$E$46-i.04130!$E$40-i.04130!$E$39),C173,0.1*(i.04130!$E$46-i.04130!$E$40-i.04130!$E$39))</f>
        <v>0</v>
      </c>
      <c r="E173" s="370">
        <f t="shared" si="3"/>
        <v>0</v>
      </c>
    </row>
    <row r="174" spans="1:5" x14ac:dyDescent="0.2">
      <c r="A174" s="345">
        <v>15.3</v>
      </c>
      <c r="B174" s="214"/>
      <c r="C174" s="69"/>
      <c r="D174" s="369">
        <f>IF(C174&lt;=0.1*(i.04130!$E$46-i.04130!$E$40-i.04130!$E$39),C174,0.1*(i.04130!$E$46-i.04130!$E$40-i.04130!$E$39))</f>
        <v>0</v>
      </c>
      <c r="E174" s="370">
        <f t="shared" si="3"/>
        <v>0</v>
      </c>
    </row>
    <row r="175" spans="1:5" x14ac:dyDescent="0.2">
      <c r="A175" s="345">
        <v>15.4</v>
      </c>
      <c r="B175" s="214"/>
      <c r="C175" s="69"/>
      <c r="D175" s="369">
        <f>IF(C175&lt;=0.1*(i.04130!$E$46-i.04130!$E$40-i.04130!$E$39),C175,0.1*(i.04130!$E$46-i.04130!$E$40-i.04130!$E$39))</f>
        <v>0</v>
      </c>
      <c r="E175" s="370">
        <f t="shared" si="3"/>
        <v>0</v>
      </c>
    </row>
    <row r="176" spans="1:5" x14ac:dyDescent="0.2">
      <c r="A176" s="345">
        <v>15.5</v>
      </c>
      <c r="B176" s="214"/>
      <c r="C176" s="69"/>
      <c r="D176" s="369">
        <f>IF(C176&lt;=0.1*(i.04130!$E$46-i.04130!$E$40-i.04130!$E$39),C176,0.1*(i.04130!$E$46-i.04130!$E$40-i.04130!$E$39))</f>
        <v>0</v>
      </c>
      <c r="E176" s="370">
        <f t="shared" si="3"/>
        <v>0</v>
      </c>
    </row>
    <row r="177" spans="1:5" x14ac:dyDescent="0.2">
      <c r="A177" s="345">
        <v>15.6</v>
      </c>
      <c r="B177" s="214"/>
      <c r="C177" s="69"/>
      <c r="D177" s="369">
        <f>IF(C177&lt;=0.1*(i.04130!$E$46-i.04130!$E$40-i.04130!$E$39),C177,0.1*(i.04130!$E$46-i.04130!$E$40-i.04130!$E$39))</f>
        <v>0</v>
      </c>
      <c r="E177" s="370">
        <f t="shared" si="3"/>
        <v>0</v>
      </c>
    </row>
    <row r="178" spans="1:5" x14ac:dyDescent="0.2">
      <c r="A178" s="345">
        <v>15.7</v>
      </c>
      <c r="B178" s="214"/>
      <c r="C178" s="69"/>
      <c r="D178" s="369">
        <f>IF(C178&lt;=0.1*(i.04130!$E$46-i.04130!$E$40-i.04130!$E$39),C178,0.1*(i.04130!$E$46-i.04130!$E$40-i.04130!$E$39))</f>
        <v>0</v>
      </c>
      <c r="E178" s="370">
        <f t="shared" si="3"/>
        <v>0</v>
      </c>
    </row>
    <row r="179" spans="1:5" x14ac:dyDescent="0.2">
      <c r="A179" s="345">
        <v>15.8</v>
      </c>
      <c r="B179" s="214"/>
      <c r="C179" s="69"/>
      <c r="D179" s="369">
        <f>IF(C179&lt;=0.1*(i.04130!$E$46-i.04130!$E$40-i.04130!$E$39),C179,0.1*(i.04130!$E$46-i.04130!$E$40-i.04130!$E$39))</f>
        <v>0</v>
      </c>
      <c r="E179" s="370">
        <f t="shared" si="3"/>
        <v>0</v>
      </c>
    </row>
    <row r="180" spans="1:5" x14ac:dyDescent="0.2">
      <c r="A180" s="345">
        <v>15.9</v>
      </c>
      <c r="B180" s="214"/>
      <c r="C180" s="69"/>
      <c r="D180" s="369">
        <f>IF(C180&lt;=0.1*(i.04130!$E$46-i.04130!$E$40-i.04130!$E$39),C180,0.1*(i.04130!$E$46-i.04130!$E$40-i.04130!$E$39))</f>
        <v>0</v>
      </c>
      <c r="E180" s="370">
        <f t="shared" si="3"/>
        <v>0</v>
      </c>
    </row>
    <row r="181" spans="1:5" x14ac:dyDescent="0.2">
      <c r="A181" s="341">
        <v>15.1</v>
      </c>
      <c r="B181" s="214"/>
      <c r="C181" s="69"/>
      <c r="D181" s="369">
        <f>IF(C181&lt;=0.1*(i.04130!$E$46-i.04130!$E$40-i.04130!$E$39),C181,0.1*(i.04130!$E$46-i.04130!$E$40-i.04130!$E$39))</f>
        <v>0</v>
      </c>
      <c r="E181" s="370">
        <f t="shared" si="3"/>
        <v>0</v>
      </c>
    </row>
    <row r="182" spans="1:5" x14ac:dyDescent="0.2">
      <c r="A182" s="345">
        <v>15.11</v>
      </c>
      <c r="B182" s="371" t="str">
        <f>"Бусад  "</f>
        <v xml:space="preserve">Бусад  </v>
      </c>
      <c r="C182" s="69"/>
      <c r="D182" s="369">
        <f>IF(C182&lt;=0.1*(i.04130!$E$46-i.04130!$E$40-i.04130!$E$39),C182,0.1*(i.04130!$E$46-i.04130!$E$40-i.04130!$E$39))</f>
        <v>0</v>
      </c>
      <c r="E182" s="370">
        <f t="shared" si="3"/>
        <v>0</v>
      </c>
    </row>
    <row r="183" spans="1:5" s="364" customFormat="1" ht="38.25" x14ac:dyDescent="0.2">
      <c r="A183" s="332" t="s">
        <v>835</v>
      </c>
      <c r="B183" s="346" t="str">
        <f>"Гадаадын Засгийн газраас гаргасан өрийн хэрэгсэл /Хамгийн өндөр дүнтэйгээс эхлэн бичих/   "</f>
        <v xml:space="preserve">Гадаадын Засгийн газраас гаргасан өрийн хэрэгсэл /Хамгийн өндөр дүнтэйгээс эхлэн бичих/   </v>
      </c>
      <c r="C183" s="347">
        <f>C184+C185+C186+C187+C188+C189+C190+C191+C192+C193+C194</f>
        <v>0</v>
      </c>
      <c r="D183" s="348">
        <f>D184+D185+D186+D187+D188+D189+D190+D191+D192+D193+D194</f>
        <v>0</v>
      </c>
      <c r="E183" s="363">
        <f t="shared" si="3"/>
        <v>0</v>
      </c>
    </row>
    <row r="184" spans="1:5" x14ac:dyDescent="0.2">
      <c r="A184" s="345">
        <v>16.100000000000001</v>
      </c>
      <c r="B184" s="214"/>
      <c r="C184" s="69"/>
      <c r="D184" s="369">
        <f>IF(C184&lt;=0.01*(i.04130!$E$46-i.04130!$E$40-i.04130!$E$39),C184,0.01*(i.04130!$E$46-i.04130!$E$40-i.04130!$E$39))</f>
        <v>0</v>
      </c>
      <c r="E184" s="370">
        <f t="shared" si="3"/>
        <v>0</v>
      </c>
    </row>
    <row r="185" spans="1:5" x14ac:dyDescent="0.2">
      <c r="A185" s="345">
        <v>16.2</v>
      </c>
      <c r="B185" s="214"/>
      <c r="C185" s="69"/>
      <c r="D185" s="369">
        <f>IF(C185&lt;=0.01*(i.04130!$E$46-i.04130!$E$40-i.04130!$E$39),C185,0.01*(i.04130!$E$46-i.04130!$E$40-i.04130!$E$39))</f>
        <v>0</v>
      </c>
      <c r="E185" s="370">
        <f t="shared" si="3"/>
        <v>0</v>
      </c>
    </row>
    <row r="186" spans="1:5" x14ac:dyDescent="0.2">
      <c r="A186" s="345">
        <v>16.3</v>
      </c>
      <c r="B186" s="214"/>
      <c r="C186" s="69"/>
      <c r="D186" s="369">
        <f>IF(C186&lt;=0.01*(i.04130!$E$46-i.04130!$E$40-i.04130!$E$39),C186,0.01*(i.04130!$E$46-i.04130!$E$40-i.04130!$E$39))</f>
        <v>0</v>
      </c>
      <c r="E186" s="370">
        <f t="shared" si="3"/>
        <v>0</v>
      </c>
    </row>
    <row r="187" spans="1:5" x14ac:dyDescent="0.2">
      <c r="A187" s="345">
        <v>16.399999999999999</v>
      </c>
      <c r="B187" s="214"/>
      <c r="C187" s="69"/>
      <c r="D187" s="369">
        <f>IF(C187&lt;=0.01*(i.04130!$E$46-i.04130!$E$40-i.04130!$E$39),C187,0.01*(i.04130!$E$46-i.04130!$E$40-i.04130!$E$39))</f>
        <v>0</v>
      </c>
      <c r="E187" s="370">
        <f t="shared" si="3"/>
        <v>0</v>
      </c>
    </row>
    <row r="188" spans="1:5" x14ac:dyDescent="0.2">
      <c r="A188" s="345">
        <v>16.5</v>
      </c>
      <c r="B188" s="214"/>
      <c r="C188" s="69"/>
      <c r="D188" s="369">
        <f>IF(C188&lt;=0.01*(i.04130!$E$46-i.04130!$E$40-i.04130!$E$39),C188,0.01*(i.04130!$E$46-i.04130!$E$40-i.04130!$E$39))</f>
        <v>0</v>
      </c>
      <c r="E188" s="370">
        <f t="shared" si="3"/>
        <v>0</v>
      </c>
    </row>
    <row r="189" spans="1:5" x14ac:dyDescent="0.2">
      <c r="A189" s="345">
        <v>16.600000000000001</v>
      </c>
      <c r="B189" s="214"/>
      <c r="C189" s="69"/>
      <c r="D189" s="369">
        <f>IF(C189&lt;=0.01*(i.04130!$E$46-i.04130!$E$40-i.04130!$E$39),C189,0.01*(i.04130!$E$46-i.04130!$E$40-i.04130!$E$39))</f>
        <v>0</v>
      </c>
      <c r="E189" s="370">
        <f t="shared" si="3"/>
        <v>0</v>
      </c>
    </row>
    <row r="190" spans="1:5" x14ac:dyDescent="0.2">
      <c r="A190" s="345">
        <v>16.7</v>
      </c>
      <c r="B190" s="214"/>
      <c r="C190" s="69"/>
      <c r="D190" s="369">
        <f>IF(C190&lt;=0.01*(i.04130!$E$46-i.04130!$E$40-i.04130!$E$39),C190,0.01*(i.04130!$E$46-i.04130!$E$40-i.04130!$E$39))</f>
        <v>0</v>
      </c>
      <c r="E190" s="370">
        <f t="shared" si="3"/>
        <v>0</v>
      </c>
    </row>
    <row r="191" spans="1:5" x14ac:dyDescent="0.2">
      <c r="A191" s="345">
        <v>16.8</v>
      </c>
      <c r="B191" s="214"/>
      <c r="C191" s="69"/>
      <c r="D191" s="369">
        <f>IF(C191&lt;=0.01*(i.04130!$E$46-i.04130!$E$40-i.04130!$E$39),C191,0.01*(i.04130!$E$46-i.04130!$E$40-i.04130!$E$39))</f>
        <v>0</v>
      </c>
      <c r="E191" s="370">
        <f t="shared" si="3"/>
        <v>0</v>
      </c>
    </row>
    <row r="192" spans="1:5" x14ac:dyDescent="0.2">
      <c r="A192" s="345">
        <v>16.899999999999999</v>
      </c>
      <c r="B192" s="214"/>
      <c r="C192" s="69"/>
      <c r="D192" s="369">
        <f>IF(C192&lt;=0.01*(i.04130!$E$46-i.04130!$E$40-i.04130!$E$39),C192,0.01*(i.04130!$E$46-i.04130!$E$40-i.04130!$E$39))</f>
        <v>0</v>
      </c>
      <c r="E192" s="370">
        <f t="shared" si="3"/>
        <v>0</v>
      </c>
    </row>
    <row r="193" spans="1:5" x14ac:dyDescent="0.2">
      <c r="A193" s="341">
        <v>16.100000000000001</v>
      </c>
      <c r="B193" s="214"/>
      <c r="C193" s="69"/>
      <c r="D193" s="369">
        <f>IF(C193&lt;=0.01*(i.04130!$E$46-i.04130!$E$40-i.04130!$E$39),C193,0.01*(i.04130!$E$46-i.04130!$E$40-i.04130!$E$39))</f>
        <v>0</v>
      </c>
      <c r="E193" s="370">
        <f t="shared" si="3"/>
        <v>0</v>
      </c>
    </row>
    <row r="194" spans="1:5" x14ac:dyDescent="0.2">
      <c r="A194" s="345">
        <v>16.11</v>
      </c>
      <c r="B194" s="371" t="str">
        <f>"Бусад  "</f>
        <v xml:space="preserve">Бусад  </v>
      </c>
      <c r="C194" s="69"/>
      <c r="D194" s="369">
        <f>IF(C194&lt;=0.01*(i.04130!$E$46-i.04130!$E$40-i.04130!$E$39),C194,0.01*(i.04130!$E$46-i.04130!$E$40-i.04130!$E$39))</f>
        <v>0</v>
      </c>
      <c r="E194" s="370">
        <f t="shared" si="3"/>
        <v>0</v>
      </c>
    </row>
    <row r="195" spans="1:5" s="364" customFormat="1" ht="28.5" customHeight="1" x14ac:dyDescent="0.2">
      <c r="A195" s="332" t="s">
        <v>836</v>
      </c>
      <c r="B195" s="346" t="str">
        <f>"Гадаадын Төв банкны үнэт цаас /Хамгийн өндөр дүнтэйгээс эхлэн бичих/   "</f>
        <v xml:space="preserve">Гадаадын Төв банкны үнэт цаас /Хамгийн өндөр дүнтэйгээс эхлэн бичих/   </v>
      </c>
      <c r="C195" s="347">
        <f>C196+C197+C198+C199+C200+C201+C202+C203+C204+C205+C206</f>
        <v>0</v>
      </c>
      <c r="D195" s="348">
        <f>D196+D197+D198+D199+D200+D201+D202+D203+D204+D205+D206</f>
        <v>0</v>
      </c>
      <c r="E195" s="363">
        <f t="shared" si="3"/>
        <v>0</v>
      </c>
    </row>
    <row r="196" spans="1:5" x14ac:dyDescent="0.2">
      <c r="A196" s="345">
        <v>17.100000000000001</v>
      </c>
      <c r="B196" s="214"/>
      <c r="C196" s="69"/>
      <c r="D196" s="369">
        <f>IF(C196&lt;=0.01*(i.04130!$E$46-i.04130!$E$40-i.04130!$E$39),C196,0.01*(i.04130!$E$46-i.04130!$E$40-i.04130!$E$39))</f>
        <v>0</v>
      </c>
      <c r="E196" s="370">
        <f t="shared" si="3"/>
        <v>0</v>
      </c>
    </row>
    <row r="197" spans="1:5" x14ac:dyDescent="0.2">
      <c r="A197" s="345">
        <v>17.2</v>
      </c>
      <c r="B197" s="214"/>
      <c r="C197" s="69"/>
      <c r="D197" s="369">
        <f>IF(C197&lt;=0.01*(i.04130!$E$46-i.04130!$E$40-i.04130!$E$39),C197,0.01*(i.04130!$E$46-i.04130!$E$40-i.04130!$E$39))</f>
        <v>0</v>
      </c>
      <c r="E197" s="370">
        <f t="shared" si="3"/>
        <v>0</v>
      </c>
    </row>
    <row r="198" spans="1:5" x14ac:dyDescent="0.2">
      <c r="A198" s="345">
        <v>17.3</v>
      </c>
      <c r="B198" s="214"/>
      <c r="C198" s="69"/>
      <c r="D198" s="369">
        <f>IF(C198&lt;=0.01*(i.04130!$E$46-i.04130!$E$40-i.04130!$E$39),C198,0.01*(i.04130!$E$46-i.04130!$E$40-i.04130!$E$39))</f>
        <v>0</v>
      </c>
      <c r="E198" s="370">
        <f t="shared" si="3"/>
        <v>0</v>
      </c>
    </row>
    <row r="199" spans="1:5" x14ac:dyDescent="0.2">
      <c r="A199" s="345">
        <v>17.399999999999999</v>
      </c>
      <c r="B199" s="214"/>
      <c r="C199" s="69"/>
      <c r="D199" s="369">
        <f>IF(C199&lt;=0.01*(i.04130!$E$46-i.04130!$E$40-i.04130!$E$39),C199,0.01*(i.04130!$E$46-i.04130!$E$40-i.04130!$E$39))</f>
        <v>0</v>
      </c>
      <c r="E199" s="370">
        <f t="shared" si="3"/>
        <v>0</v>
      </c>
    </row>
    <row r="200" spans="1:5" x14ac:dyDescent="0.2">
      <c r="A200" s="345">
        <v>17.5</v>
      </c>
      <c r="B200" s="214"/>
      <c r="C200" s="69"/>
      <c r="D200" s="369">
        <f>IF(C200&lt;=0.01*(i.04130!$E$46-i.04130!$E$40-i.04130!$E$39),C200,0.01*(i.04130!$E$46-i.04130!$E$40-i.04130!$E$39))</f>
        <v>0</v>
      </c>
      <c r="E200" s="370">
        <f t="shared" si="3"/>
        <v>0</v>
      </c>
    </row>
    <row r="201" spans="1:5" x14ac:dyDescent="0.2">
      <c r="A201" s="345">
        <v>17.600000000000001</v>
      </c>
      <c r="B201" s="214"/>
      <c r="C201" s="69"/>
      <c r="D201" s="369">
        <f>IF(C201&lt;=0.01*(i.04130!$E$46-i.04130!$E$40-i.04130!$E$39),C201,0.01*(i.04130!$E$46-i.04130!$E$40-i.04130!$E$39))</f>
        <v>0</v>
      </c>
      <c r="E201" s="370">
        <f t="shared" si="3"/>
        <v>0</v>
      </c>
    </row>
    <row r="202" spans="1:5" x14ac:dyDescent="0.2">
      <c r="A202" s="345">
        <v>17.7</v>
      </c>
      <c r="B202" s="214"/>
      <c r="C202" s="69"/>
      <c r="D202" s="369">
        <f>IF(C202&lt;=0.01*(i.04130!$E$46-i.04130!$E$40-i.04130!$E$39),C202,0.01*(i.04130!$E$46-i.04130!$E$40-i.04130!$E$39))</f>
        <v>0</v>
      </c>
      <c r="E202" s="370">
        <f t="shared" ref="E202:E265" si="4">C202-D202</f>
        <v>0</v>
      </c>
    </row>
    <row r="203" spans="1:5" x14ac:dyDescent="0.2">
      <c r="A203" s="345">
        <v>17.8</v>
      </c>
      <c r="B203" s="214"/>
      <c r="C203" s="69"/>
      <c r="D203" s="369">
        <f>IF(C203&lt;=0.01*(i.04130!$E$46-i.04130!$E$40-i.04130!$E$39),C203,0.01*(i.04130!$E$46-i.04130!$E$40-i.04130!$E$39))</f>
        <v>0</v>
      </c>
      <c r="E203" s="370">
        <f t="shared" si="4"/>
        <v>0</v>
      </c>
    </row>
    <row r="204" spans="1:5" x14ac:dyDescent="0.2">
      <c r="A204" s="345">
        <v>17.899999999999999</v>
      </c>
      <c r="B204" s="214"/>
      <c r="C204" s="69"/>
      <c r="D204" s="369">
        <f>IF(C204&lt;=0.01*(i.04130!$E$46-i.04130!$E$40-i.04130!$E$39),C204,0.01*(i.04130!$E$46-i.04130!$E$40-i.04130!$E$39))</f>
        <v>0</v>
      </c>
      <c r="E204" s="370">
        <f t="shared" si="4"/>
        <v>0</v>
      </c>
    </row>
    <row r="205" spans="1:5" x14ac:dyDescent="0.2">
      <c r="A205" s="341">
        <v>17.100000000000001</v>
      </c>
      <c r="B205" s="214"/>
      <c r="C205" s="69"/>
      <c r="D205" s="369">
        <f>IF(C205&lt;=0.01*(i.04130!$E$46-i.04130!$E$40-i.04130!$E$39),C205,0.01*(i.04130!$E$46-i.04130!$E$40-i.04130!$E$39))</f>
        <v>0</v>
      </c>
      <c r="E205" s="370">
        <f t="shared" si="4"/>
        <v>0</v>
      </c>
    </row>
    <row r="206" spans="1:5" x14ac:dyDescent="0.2">
      <c r="A206" s="345">
        <v>17.11</v>
      </c>
      <c r="B206" s="371" t="str">
        <f>"Бусад  "</f>
        <v xml:space="preserve">Бусад  </v>
      </c>
      <c r="C206" s="69"/>
      <c r="D206" s="369">
        <f>IF(C206&lt;=0.01*(i.04130!$E$46-i.04130!$E$40-i.04130!$E$39),C206,0.01*(i.04130!$E$46-i.04130!$E$40-i.04130!$E$39))</f>
        <v>0</v>
      </c>
      <c r="E206" s="370">
        <f t="shared" si="4"/>
        <v>0</v>
      </c>
    </row>
    <row r="207" spans="1:5" s="364" customFormat="1" ht="27" customHeight="1" x14ac:dyDescent="0.2">
      <c r="A207" s="332" t="s">
        <v>837</v>
      </c>
      <c r="B207" s="346" t="str">
        <f>"Гадаадын компанийн өрийн хэрэгсэл /Хамгийн өндөр дүнтэйгээс эхлэн бичих/  "</f>
        <v xml:space="preserve">Гадаадын компанийн өрийн хэрэгсэл /Хамгийн өндөр дүнтэйгээс эхлэн бичих/  </v>
      </c>
      <c r="C207" s="347">
        <f>C208+C209+C210+C211+C212+C213+C214+C215+C216+C217+C218</f>
        <v>0</v>
      </c>
      <c r="D207" s="348">
        <f>D208+D209+D210+D211+D212+D213+D214+D215+D216+D217+D218</f>
        <v>0</v>
      </c>
      <c r="E207" s="363">
        <f t="shared" si="4"/>
        <v>0</v>
      </c>
    </row>
    <row r="208" spans="1:5" x14ac:dyDescent="0.2">
      <c r="A208" s="345">
        <v>18.100000000000001</v>
      </c>
      <c r="B208" s="214"/>
      <c r="C208" s="69"/>
      <c r="D208" s="369">
        <f>IF(C208&lt;=0.005*(i.04130!$E$46-i.04130!$E$40-i.04130!$E$39),C208,0.005*(i.04130!$E$46-i.04130!$E$40-i.04130!$E$39))</f>
        <v>0</v>
      </c>
      <c r="E208" s="370">
        <f t="shared" si="4"/>
        <v>0</v>
      </c>
    </row>
    <row r="209" spans="1:5" x14ac:dyDescent="0.2">
      <c r="A209" s="345">
        <v>18.2</v>
      </c>
      <c r="B209" s="214"/>
      <c r="C209" s="69"/>
      <c r="D209" s="369">
        <f>IF(C209&lt;=0.005*(i.04130!$E$46-i.04130!$E$40-i.04130!$E$39),C209,0.005*(i.04130!$E$46-i.04130!$E$40-i.04130!$E$39))</f>
        <v>0</v>
      </c>
      <c r="E209" s="370">
        <f t="shared" si="4"/>
        <v>0</v>
      </c>
    </row>
    <row r="210" spans="1:5" x14ac:dyDescent="0.2">
      <c r="A210" s="345">
        <v>18.3</v>
      </c>
      <c r="B210" s="214"/>
      <c r="C210" s="69"/>
      <c r="D210" s="369">
        <f>IF(C210&lt;=0.005*(i.04130!$E$46-i.04130!$E$40-i.04130!$E$39),C210,0.005*(i.04130!$E$46-i.04130!$E$40-i.04130!$E$39))</f>
        <v>0</v>
      </c>
      <c r="E210" s="370">
        <f t="shared" si="4"/>
        <v>0</v>
      </c>
    </row>
    <row r="211" spans="1:5" x14ac:dyDescent="0.2">
      <c r="A211" s="345">
        <v>18.399999999999999</v>
      </c>
      <c r="B211" s="214"/>
      <c r="C211" s="69"/>
      <c r="D211" s="369">
        <f>IF(C211&lt;=0.005*(i.04130!$E$46-i.04130!$E$40-i.04130!$E$39),C211,0.005*(i.04130!$E$46-i.04130!$E$40-i.04130!$E$39))</f>
        <v>0</v>
      </c>
      <c r="E211" s="370">
        <f t="shared" si="4"/>
        <v>0</v>
      </c>
    </row>
    <row r="212" spans="1:5" x14ac:dyDescent="0.2">
      <c r="A212" s="345">
        <v>18.5</v>
      </c>
      <c r="B212" s="214"/>
      <c r="C212" s="69"/>
      <c r="D212" s="369">
        <f>IF(C212&lt;=0.005*(i.04130!$E$46-i.04130!$E$40-i.04130!$E$39),C212,0.005*(i.04130!$E$46-i.04130!$E$40-i.04130!$E$39))</f>
        <v>0</v>
      </c>
      <c r="E212" s="370">
        <f t="shared" si="4"/>
        <v>0</v>
      </c>
    </row>
    <row r="213" spans="1:5" x14ac:dyDescent="0.2">
      <c r="A213" s="345">
        <v>18.600000000000001</v>
      </c>
      <c r="B213" s="214"/>
      <c r="C213" s="69"/>
      <c r="D213" s="369">
        <f>IF(C213&lt;=0.005*(i.04130!$E$46-i.04130!$E$40-i.04130!$E$39),C213,0.005*(i.04130!$E$46-i.04130!$E$40-i.04130!$E$39))</f>
        <v>0</v>
      </c>
      <c r="E213" s="370">
        <f t="shared" si="4"/>
        <v>0</v>
      </c>
    </row>
    <row r="214" spans="1:5" x14ac:dyDescent="0.2">
      <c r="A214" s="345">
        <v>18.7</v>
      </c>
      <c r="B214" s="214"/>
      <c r="C214" s="69"/>
      <c r="D214" s="369">
        <f>IF(C214&lt;=0.005*(i.04130!$E$46-i.04130!$E$40-i.04130!$E$39),C214,0.005*(i.04130!$E$46-i.04130!$E$40-i.04130!$E$39))</f>
        <v>0</v>
      </c>
      <c r="E214" s="370">
        <f t="shared" si="4"/>
        <v>0</v>
      </c>
    </row>
    <row r="215" spans="1:5" x14ac:dyDescent="0.2">
      <c r="A215" s="345">
        <v>18.8</v>
      </c>
      <c r="B215" s="214"/>
      <c r="C215" s="69"/>
      <c r="D215" s="369">
        <f>IF(C215&lt;=0.005*(i.04130!$E$46-i.04130!$E$40-i.04130!$E$39),C215,0.005*(i.04130!$E$46-i.04130!$E$40-i.04130!$E$39))</f>
        <v>0</v>
      </c>
      <c r="E215" s="370">
        <f t="shared" si="4"/>
        <v>0</v>
      </c>
    </row>
    <row r="216" spans="1:5" x14ac:dyDescent="0.2">
      <c r="A216" s="345">
        <v>18.899999999999999</v>
      </c>
      <c r="B216" s="214"/>
      <c r="C216" s="69"/>
      <c r="D216" s="369">
        <f>IF(C216&lt;=0.005*(i.04130!$E$46-i.04130!$E$40-i.04130!$E$39),C216,0.005*(i.04130!$E$46-i.04130!$E$40-i.04130!$E$39))</f>
        <v>0</v>
      </c>
      <c r="E216" s="370">
        <f t="shared" si="4"/>
        <v>0</v>
      </c>
    </row>
    <row r="217" spans="1:5" x14ac:dyDescent="0.2">
      <c r="A217" s="341">
        <v>18.100000000000001</v>
      </c>
      <c r="B217" s="214"/>
      <c r="C217" s="69"/>
      <c r="D217" s="369">
        <f>IF(C217&lt;=0.005*(i.04130!$E$46-i.04130!$E$40-i.04130!$E$39),C217,0.005*(i.04130!$E$46-i.04130!$E$40-i.04130!$E$39))</f>
        <v>0</v>
      </c>
      <c r="E217" s="370">
        <f t="shared" si="4"/>
        <v>0</v>
      </c>
    </row>
    <row r="218" spans="1:5" x14ac:dyDescent="0.2">
      <c r="A218" s="345">
        <v>18.11</v>
      </c>
      <c r="B218" s="371" t="str">
        <f>"Бусад  "</f>
        <v xml:space="preserve">Бусад  </v>
      </c>
      <c r="C218" s="69"/>
      <c r="D218" s="369">
        <f>IF(C218&lt;=0.005*(i.04130!$E$46-i.04130!$E$40-i.04130!$E$39),C218,0.005*(i.04130!$E$46-i.04130!$E$40-i.04130!$E$39))</f>
        <v>0</v>
      </c>
      <c r="E218" s="370">
        <f t="shared" si="4"/>
        <v>0</v>
      </c>
    </row>
    <row r="219" spans="1:5" s="364" customFormat="1" ht="26.25" customHeight="1" x14ac:dyDescent="0.2">
      <c r="A219" s="332" t="s">
        <v>838</v>
      </c>
      <c r="B219" s="346" t="str">
        <f>"Гадаадын компанийн хувьцаа /Хамгийн өндөр дүнтэйгээс эхлэн бичих/   "</f>
        <v xml:space="preserve">Гадаадын компанийн хувьцаа /Хамгийн өндөр дүнтэйгээс эхлэн бичих/   </v>
      </c>
      <c r="C219" s="374">
        <f>C220+C221+C222+C223+C224+C225+C226+C227+C228+C229+C230</f>
        <v>0</v>
      </c>
      <c r="D219" s="348">
        <f>D220+D221+D222+D223+D224+D225+D226+D227+D228+D229+D230</f>
        <v>0</v>
      </c>
      <c r="E219" s="363">
        <f t="shared" si="4"/>
        <v>0</v>
      </c>
    </row>
    <row r="220" spans="1:5" x14ac:dyDescent="0.2">
      <c r="A220" s="345">
        <v>19.100000000000001</v>
      </c>
      <c r="B220" s="214"/>
      <c r="C220" s="222"/>
      <c r="D220" s="369">
        <f>IF(C220&lt;=0.005*(i.04130!$E$46-i.04130!$E$40-i.04130!$E$39),C220,0.005*(i.04130!$E$46-i.04130!$E$40-i.04130!$E$39))</f>
        <v>0</v>
      </c>
      <c r="E220" s="370">
        <f t="shared" si="4"/>
        <v>0</v>
      </c>
    </row>
    <row r="221" spans="1:5" x14ac:dyDescent="0.2">
      <c r="A221" s="345">
        <v>19.2</v>
      </c>
      <c r="B221" s="214"/>
      <c r="C221" s="222"/>
      <c r="D221" s="369">
        <f>IF(C221&lt;=0.005*(i.04130!$E$46-i.04130!$E$40-i.04130!$E$39),C221,0.005*(i.04130!$E$46-i.04130!$E$40-i.04130!$E$39))</f>
        <v>0</v>
      </c>
      <c r="E221" s="370">
        <f t="shared" si="4"/>
        <v>0</v>
      </c>
    </row>
    <row r="222" spans="1:5" x14ac:dyDescent="0.2">
      <c r="A222" s="345">
        <v>19.3</v>
      </c>
      <c r="B222" s="214"/>
      <c r="C222" s="222"/>
      <c r="D222" s="369">
        <f>IF(C222&lt;=0.005*(i.04130!$E$46-i.04130!$E$40-i.04130!$E$39),C222,0.005*(i.04130!$E$46-i.04130!$E$40-i.04130!$E$39))</f>
        <v>0</v>
      </c>
      <c r="E222" s="370">
        <f t="shared" si="4"/>
        <v>0</v>
      </c>
    </row>
    <row r="223" spans="1:5" x14ac:dyDescent="0.2">
      <c r="A223" s="345">
        <v>19.399999999999999</v>
      </c>
      <c r="B223" s="214"/>
      <c r="C223" s="222"/>
      <c r="D223" s="369">
        <f>IF(C223&lt;=0.005*(i.04130!$E$46-i.04130!$E$40-i.04130!$E$39),C223,0.005*(i.04130!$E$46-i.04130!$E$40-i.04130!$E$39))</f>
        <v>0</v>
      </c>
      <c r="E223" s="370">
        <f t="shared" si="4"/>
        <v>0</v>
      </c>
    </row>
    <row r="224" spans="1:5" x14ac:dyDescent="0.2">
      <c r="A224" s="345">
        <v>19.5</v>
      </c>
      <c r="B224" s="214"/>
      <c r="C224" s="222"/>
      <c r="D224" s="369">
        <f>IF(C224&lt;=0.005*(i.04130!$E$46-i.04130!$E$40-i.04130!$E$39),C224,0.005*(i.04130!$E$46-i.04130!$E$40-i.04130!$E$39))</f>
        <v>0</v>
      </c>
      <c r="E224" s="370">
        <f t="shared" si="4"/>
        <v>0</v>
      </c>
    </row>
    <row r="225" spans="1:5" x14ac:dyDescent="0.2">
      <c r="A225" s="345">
        <v>19.600000000000001</v>
      </c>
      <c r="B225" s="214"/>
      <c r="C225" s="222"/>
      <c r="D225" s="369">
        <f>IF(C225&lt;=0.005*(i.04130!$E$46-i.04130!$E$40-i.04130!$E$39),C225,0.005*(i.04130!$E$46-i.04130!$E$40-i.04130!$E$39))</f>
        <v>0</v>
      </c>
      <c r="E225" s="370">
        <f t="shared" si="4"/>
        <v>0</v>
      </c>
    </row>
    <row r="226" spans="1:5" x14ac:dyDescent="0.2">
      <c r="A226" s="345">
        <v>19.7</v>
      </c>
      <c r="B226" s="214"/>
      <c r="C226" s="222"/>
      <c r="D226" s="369">
        <f>IF(C226&lt;=0.005*(i.04130!$E$46-i.04130!$E$40-i.04130!$E$39),C226,0.005*(i.04130!$E$46-i.04130!$E$40-i.04130!$E$39))</f>
        <v>0</v>
      </c>
      <c r="E226" s="370">
        <f t="shared" si="4"/>
        <v>0</v>
      </c>
    </row>
    <row r="227" spans="1:5" x14ac:dyDescent="0.2">
      <c r="A227" s="345">
        <v>19.8</v>
      </c>
      <c r="B227" s="214"/>
      <c r="C227" s="222"/>
      <c r="D227" s="369">
        <f>IF(C227&lt;=0.005*(i.04130!$E$46-i.04130!$E$40-i.04130!$E$39),C227,0.005*(i.04130!$E$46-i.04130!$E$40-i.04130!$E$39))</f>
        <v>0</v>
      </c>
      <c r="E227" s="370">
        <f t="shared" si="4"/>
        <v>0</v>
      </c>
    </row>
    <row r="228" spans="1:5" x14ac:dyDescent="0.2">
      <c r="A228" s="345">
        <v>19.899999999999999</v>
      </c>
      <c r="B228" s="214"/>
      <c r="C228" s="222"/>
      <c r="D228" s="369">
        <f>IF(C228&lt;=0.005*(i.04130!$E$46-i.04130!$E$40-i.04130!$E$39),C228,0.005*(i.04130!$E$46-i.04130!$E$40-i.04130!$E$39))</f>
        <v>0</v>
      </c>
      <c r="E228" s="370">
        <f t="shared" si="4"/>
        <v>0</v>
      </c>
    </row>
    <row r="229" spans="1:5" x14ac:dyDescent="0.2">
      <c r="A229" s="341">
        <v>19.100000000000001</v>
      </c>
      <c r="B229" s="214"/>
      <c r="C229" s="222"/>
      <c r="D229" s="369">
        <f>IF(C229&lt;=0.005*(i.04130!$E$46-i.04130!$E$40-i.04130!$E$39),C229,0.005*(i.04130!$E$46-i.04130!$E$40-i.04130!$E$39))</f>
        <v>0</v>
      </c>
      <c r="E229" s="370">
        <f t="shared" si="4"/>
        <v>0</v>
      </c>
    </row>
    <row r="230" spans="1:5" x14ac:dyDescent="0.2">
      <c r="A230" s="345">
        <v>19.11</v>
      </c>
      <c r="B230" s="371" t="str">
        <f>"Бусад  "</f>
        <v xml:space="preserve">Бусад  </v>
      </c>
      <c r="C230" s="222"/>
      <c r="D230" s="369">
        <f>IF(C230&lt;=0.005*(i.04130!$E$46-i.04130!$E$40-i.04130!$E$39),C230,0.005*(i.04130!$E$46-i.04130!$E$40-i.04130!$E$39))</f>
        <v>0</v>
      </c>
      <c r="E230" s="370">
        <f t="shared" si="4"/>
        <v>0</v>
      </c>
    </row>
    <row r="231" spans="1:5" s="364" customFormat="1" ht="24" customHeight="1" x14ac:dyDescent="0.2">
      <c r="A231" s="361" t="s">
        <v>839</v>
      </c>
      <c r="B231" s="361" t="str">
        <f>"Давхар даатгалын хойшлогдсон хураамж /Хамгийн өндөр дүнтэйгээс эхлэн бичих/   "</f>
        <v xml:space="preserve">Давхар даатгалын хойшлогдсон хураамж /Хамгийн өндөр дүнтэйгээс эхлэн бичих/   </v>
      </c>
      <c r="C231" s="362">
        <f>C232+C233+C234+C235+C236+C237+C238+C239+C240+C241+C242</f>
        <v>0</v>
      </c>
      <c r="D231" s="348">
        <f>D232+D233+D234+D235+D236+D237+D238+D239+D240+D241+D242</f>
        <v>0</v>
      </c>
      <c r="E231" s="363">
        <f t="shared" si="4"/>
        <v>0</v>
      </c>
    </row>
    <row r="232" spans="1:5" x14ac:dyDescent="0.2">
      <c r="A232" s="345">
        <v>20.100000000000001</v>
      </c>
      <c r="B232" s="214"/>
      <c r="C232" s="218"/>
      <c r="D232" s="369">
        <f>C232</f>
        <v>0</v>
      </c>
      <c r="E232" s="370">
        <f t="shared" si="4"/>
        <v>0</v>
      </c>
    </row>
    <row r="233" spans="1:5" x14ac:dyDescent="0.2">
      <c r="A233" s="345">
        <v>20.2</v>
      </c>
      <c r="B233" s="214"/>
      <c r="C233" s="218"/>
      <c r="D233" s="369">
        <f t="shared" ref="D233:D242" si="5">C233</f>
        <v>0</v>
      </c>
      <c r="E233" s="370">
        <f t="shared" si="4"/>
        <v>0</v>
      </c>
    </row>
    <row r="234" spans="1:5" x14ac:dyDescent="0.2">
      <c r="A234" s="345">
        <v>20.3</v>
      </c>
      <c r="B234" s="214"/>
      <c r="C234" s="218"/>
      <c r="D234" s="369">
        <f t="shared" si="5"/>
        <v>0</v>
      </c>
      <c r="E234" s="370">
        <f t="shared" si="4"/>
        <v>0</v>
      </c>
    </row>
    <row r="235" spans="1:5" x14ac:dyDescent="0.2">
      <c r="A235" s="345">
        <v>20.399999999999999</v>
      </c>
      <c r="B235" s="214"/>
      <c r="C235" s="218"/>
      <c r="D235" s="369">
        <f t="shared" si="5"/>
        <v>0</v>
      </c>
      <c r="E235" s="370">
        <f t="shared" si="4"/>
        <v>0</v>
      </c>
    </row>
    <row r="236" spans="1:5" x14ac:dyDescent="0.2">
      <c r="A236" s="345">
        <v>20.5</v>
      </c>
      <c r="B236" s="214"/>
      <c r="C236" s="218"/>
      <c r="D236" s="369">
        <f t="shared" si="5"/>
        <v>0</v>
      </c>
      <c r="E236" s="370">
        <f t="shared" si="4"/>
        <v>0</v>
      </c>
    </row>
    <row r="237" spans="1:5" x14ac:dyDescent="0.2">
      <c r="A237" s="345">
        <v>20.6</v>
      </c>
      <c r="B237" s="214"/>
      <c r="C237" s="218"/>
      <c r="D237" s="369">
        <f t="shared" si="5"/>
        <v>0</v>
      </c>
      <c r="E237" s="370">
        <f t="shared" si="4"/>
        <v>0</v>
      </c>
    </row>
    <row r="238" spans="1:5" x14ac:dyDescent="0.2">
      <c r="A238" s="345">
        <v>20.7</v>
      </c>
      <c r="B238" s="214"/>
      <c r="C238" s="218"/>
      <c r="D238" s="369">
        <f t="shared" si="5"/>
        <v>0</v>
      </c>
      <c r="E238" s="370">
        <f t="shared" si="4"/>
        <v>0</v>
      </c>
    </row>
    <row r="239" spans="1:5" x14ac:dyDescent="0.2">
      <c r="A239" s="345">
        <v>20.8</v>
      </c>
      <c r="B239" s="214"/>
      <c r="C239" s="218"/>
      <c r="D239" s="369">
        <f t="shared" si="5"/>
        <v>0</v>
      </c>
      <c r="E239" s="370">
        <f t="shared" si="4"/>
        <v>0</v>
      </c>
    </row>
    <row r="240" spans="1:5" x14ac:dyDescent="0.2">
      <c r="A240" s="345">
        <v>20.9</v>
      </c>
      <c r="B240" s="214"/>
      <c r="C240" s="218"/>
      <c r="D240" s="369">
        <f t="shared" si="5"/>
        <v>0</v>
      </c>
      <c r="E240" s="370">
        <f t="shared" si="4"/>
        <v>0</v>
      </c>
    </row>
    <row r="241" spans="1:5" x14ac:dyDescent="0.2">
      <c r="A241" s="341">
        <v>20.100000000000001</v>
      </c>
      <c r="B241" s="214"/>
      <c r="C241" s="218"/>
      <c r="D241" s="369">
        <f t="shared" si="5"/>
        <v>0</v>
      </c>
      <c r="E241" s="370">
        <f t="shared" si="4"/>
        <v>0</v>
      </c>
    </row>
    <row r="242" spans="1:5" x14ac:dyDescent="0.2">
      <c r="A242" s="345">
        <v>20.11</v>
      </c>
      <c r="B242" s="371" t="str">
        <f>"Бусад  "</f>
        <v xml:space="preserve">Бусад  </v>
      </c>
      <c r="C242" s="218"/>
      <c r="D242" s="369">
        <f t="shared" si="5"/>
        <v>0</v>
      </c>
      <c r="E242" s="370">
        <f t="shared" si="4"/>
        <v>0</v>
      </c>
    </row>
    <row r="243" spans="1:5" s="364" customFormat="1" ht="38.25" x14ac:dyDescent="0.2">
      <c r="A243" s="361" t="s">
        <v>840</v>
      </c>
      <c r="B243" s="361" t="str">
        <f>"Нөхөн төлбөрийн нөөцийн давхар даатгагчид ногдох хэсэг /Хамгийн өндөр дүнтэйгээс эхлэн бичих/   "</f>
        <v xml:space="preserve">Нөхөн төлбөрийн нөөцийн давхар даатгагчид ногдох хэсэг /Хамгийн өндөр дүнтэйгээс эхлэн бичих/   </v>
      </c>
      <c r="C243" s="362">
        <f>C244+C245+C246+C247+C248+C249+C250+C251+C252+C253+C254</f>
        <v>0</v>
      </c>
      <c r="D243" s="348">
        <f>D244+D245+D246+D247+D248+D249+D250+D251+D252+D253+D254</f>
        <v>0</v>
      </c>
      <c r="E243" s="363">
        <f t="shared" si="4"/>
        <v>0</v>
      </c>
    </row>
    <row r="244" spans="1:5" x14ac:dyDescent="0.2">
      <c r="A244" s="345">
        <v>21.1</v>
      </c>
      <c r="B244" s="214"/>
      <c r="C244" s="218"/>
      <c r="D244" s="369">
        <f>C244</f>
        <v>0</v>
      </c>
      <c r="E244" s="370">
        <f t="shared" si="4"/>
        <v>0</v>
      </c>
    </row>
    <row r="245" spans="1:5" x14ac:dyDescent="0.2">
      <c r="A245" s="345">
        <v>21.2</v>
      </c>
      <c r="B245" s="214"/>
      <c r="C245" s="218"/>
      <c r="D245" s="369">
        <f t="shared" ref="D245:D253" si="6">C245</f>
        <v>0</v>
      </c>
      <c r="E245" s="370">
        <f t="shared" si="4"/>
        <v>0</v>
      </c>
    </row>
    <row r="246" spans="1:5" x14ac:dyDescent="0.2">
      <c r="A246" s="345">
        <v>21.3</v>
      </c>
      <c r="B246" s="214"/>
      <c r="C246" s="218"/>
      <c r="D246" s="369">
        <f t="shared" si="6"/>
        <v>0</v>
      </c>
      <c r="E246" s="370">
        <f t="shared" si="4"/>
        <v>0</v>
      </c>
    </row>
    <row r="247" spans="1:5" x14ac:dyDescent="0.2">
      <c r="A247" s="345">
        <v>21.4</v>
      </c>
      <c r="B247" s="214"/>
      <c r="C247" s="218"/>
      <c r="D247" s="369">
        <f t="shared" si="6"/>
        <v>0</v>
      </c>
      <c r="E247" s="370">
        <f t="shared" si="4"/>
        <v>0</v>
      </c>
    </row>
    <row r="248" spans="1:5" x14ac:dyDescent="0.2">
      <c r="A248" s="345">
        <v>21.5</v>
      </c>
      <c r="B248" s="214"/>
      <c r="C248" s="218"/>
      <c r="D248" s="369">
        <f t="shared" si="6"/>
        <v>0</v>
      </c>
      <c r="E248" s="370">
        <f t="shared" si="4"/>
        <v>0</v>
      </c>
    </row>
    <row r="249" spans="1:5" x14ac:dyDescent="0.2">
      <c r="A249" s="345">
        <v>21.6</v>
      </c>
      <c r="B249" s="214"/>
      <c r="C249" s="218"/>
      <c r="D249" s="369">
        <f t="shared" si="6"/>
        <v>0</v>
      </c>
      <c r="E249" s="370">
        <f t="shared" si="4"/>
        <v>0</v>
      </c>
    </row>
    <row r="250" spans="1:5" x14ac:dyDescent="0.2">
      <c r="A250" s="345">
        <v>21.7</v>
      </c>
      <c r="B250" s="214"/>
      <c r="C250" s="218"/>
      <c r="D250" s="369">
        <f t="shared" si="6"/>
        <v>0</v>
      </c>
      <c r="E250" s="370">
        <f t="shared" si="4"/>
        <v>0</v>
      </c>
    </row>
    <row r="251" spans="1:5" x14ac:dyDescent="0.2">
      <c r="A251" s="345">
        <v>21.8</v>
      </c>
      <c r="B251" s="214"/>
      <c r="C251" s="218"/>
      <c r="D251" s="369">
        <f t="shared" si="6"/>
        <v>0</v>
      </c>
      <c r="E251" s="370">
        <f t="shared" si="4"/>
        <v>0</v>
      </c>
    </row>
    <row r="252" spans="1:5" x14ac:dyDescent="0.2">
      <c r="A252" s="345">
        <v>21.9</v>
      </c>
      <c r="B252" s="214"/>
      <c r="C252" s="218"/>
      <c r="D252" s="369">
        <f t="shared" si="6"/>
        <v>0</v>
      </c>
      <c r="E252" s="370">
        <f t="shared" si="4"/>
        <v>0</v>
      </c>
    </row>
    <row r="253" spans="1:5" x14ac:dyDescent="0.2">
      <c r="A253" s="341">
        <v>21.1</v>
      </c>
      <c r="B253" s="214"/>
      <c r="C253" s="218"/>
      <c r="D253" s="369">
        <f t="shared" si="6"/>
        <v>0</v>
      </c>
      <c r="E253" s="370">
        <f t="shared" si="4"/>
        <v>0</v>
      </c>
    </row>
    <row r="254" spans="1:5" x14ac:dyDescent="0.2">
      <c r="A254" s="345">
        <v>21.11</v>
      </c>
      <c r="B254" s="371" t="str">
        <f>"Бусад  "</f>
        <v xml:space="preserve">Бусад  </v>
      </c>
      <c r="C254" s="218"/>
      <c r="D254" s="369">
        <f>C254</f>
        <v>0</v>
      </c>
      <c r="E254" s="370">
        <f t="shared" si="4"/>
        <v>0</v>
      </c>
    </row>
    <row r="255" spans="1:5" s="364" customFormat="1" ht="38.25" x14ac:dyDescent="0.2">
      <c r="A255" s="332" t="s">
        <v>841</v>
      </c>
      <c r="B255" s="346" t="str">
        <f>"Даатгалын орлогын шимтгэлийн хойшлогдсон зардал /Хамгийн өндөр дүнтэйгээс эхлэн бичих/   "</f>
        <v xml:space="preserve">Даатгалын орлогын шимтгэлийн хойшлогдсон зардал /Хамгийн өндөр дүнтэйгээс эхлэн бичих/   </v>
      </c>
      <c r="C255" s="347">
        <f>C256+C257+C258+C259+C260+C261+C262+C263+C264+C265+C266</f>
        <v>0</v>
      </c>
      <c r="D255" s="348">
        <f>D256+D257+D258+D259+D260+D261+D262+D263+D264+D265+D266</f>
        <v>0</v>
      </c>
      <c r="E255" s="363">
        <f t="shared" si="4"/>
        <v>0</v>
      </c>
    </row>
    <row r="256" spans="1:5" x14ac:dyDescent="0.2">
      <c r="A256" s="345">
        <v>22.1</v>
      </c>
      <c r="B256" s="214"/>
      <c r="C256" s="67"/>
      <c r="D256" s="369">
        <f>IF(C256&lt;=0.05*(i.04130!$E$46-i.04130!$E$40-i.04130!$E$39),C256,0.05*(i.04130!$E$46-i.04130!$E$40-i.04130!$E$39))</f>
        <v>0</v>
      </c>
      <c r="E256" s="370">
        <f t="shared" si="4"/>
        <v>0</v>
      </c>
    </row>
    <row r="257" spans="1:5" x14ac:dyDescent="0.2">
      <c r="A257" s="345">
        <v>22.2</v>
      </c>
      <c r="B257" s="214"/>
      <c r="C257" s="67"/>
      <c r="D257" s="369">
        <f>IF(C257&lt;=0.05*(i.04130!$E$46-i.04130!$E$40-i.04130!$E$39),C257,0.05*(i.04130!$E$46-i.04130!$E$40-i.04130!$E$39))</f>
        <v>0</v>
      </c>
      <c r="E257" s="370">
        <f t="shared" si="4"/>
        <v>0</v>
      </c>
    </row>
    <row r="258" spans="1:5" x14ac:dyDescent="0.2">
      <c r="A258" s="345">
        <v>22.3</v>
      </c>
      <c r="B258" s="214"/>
      <c r="C258" s="67"/>
      <c r="D258" s="369">
        <f>IF(C258&lt;=0.05*(i.04130!$E$46-i.04130!$E$40-i.04130!$E$39),C258,0.05*(i.04130!$E$46-i.04130!$E$40-i.04130!$E$39))</f>
        <v>0</v>
      </c>
      <c r="E258" s="370">
        <f t="shared" si="4"/>
        <v>0</v>
      </c>
    </row>
    <row r="259" spans="1:5" x14ac:dyDescent="0.2">
      <c r="A259" s="345">
        <v>22.4</v>
      </c>
      <c r="B259" s="214"/>
      <c r="C259" s="67"/>
      <c r="D259" s="369">
        <f>IF(C259&lt;=0.05*(i.04130!$E$46-i.04130!$E$40-i.04130!$E$39),C259,0.05*(i.04130!$E$46-i.04130!$E$40-i.04130!$E$39))</f>
        <v>0</v>
      </c>
      <c r="E259" s="370">
        <f t="shared" si="4"/>
        <v>0</v>
      </c>
    </row>
    <row r="260" spans="1:5" x14ac:dyDescent="0.2">
      <c r="A260" s="345">
        <v>22.5</v>
      </c>
      <c r="B260" s="214"/>
      <c r="C260" s="67"/>
      <c r="D260" s="369">
        <f>IF(C260&lt;=0.05*(i.04130!$E$46-i.04130!$E$40-i.04130!$E$39),C260,0.05*(i.04130!$E$46-i.04130!$E$40-i.04130!$E$39))</f>
        <v>0</v>
      </c>
      <c r="E260" s="370">
        <f t="shared" si="4"/>
        <v>0</v>
      </c>
    </row>
    <row r="261" spans="1:5" x14ac:dyDescent="0.2">
      <c r="A261" s="345">
        <v>22.6</v>
      </c>
      <c r="B261" s="214"/>
      <c r="C261" s="67"/>
      <c r="D261" s="369">
        <f>IF(C261&lt;=0.05*(i.04130!$E$46-i.04130!$E$40-i.04130!$E$39),C261,0.05*(i.04130!$E$46-i.04130!$E$40-i.04130!$E$39))</f>
        <v>0</v>
      </c>
      <c r="E261" s="370">
        <f t="shared" si="4"/>
        <v>0</v>
      </c>
    </row>
    <row r="262" spans="1:5" x14ac:dyDescent="0.2">
      <c r="A262" s="345">
        <v>22.7</v>
      </c>
      <c r="B262" s="214"/>
      <c r="C262" s="67"/>
      <c r="D262" s="369">
        <f>IF(C262&lt;=0.05*(i.04130!$E$46-i.04130!$E$40-i.04130!$E$39),C262,0.05*(i.04130!$E$46-i.04130!$E$40-i.04130!$E$39))</f>
        <v>0</v>
      </c>
      <c r="E262" s="370">
        <f t="shared" si="4"/>
        <v>0</v>
      </c>
    </row>
    <row r="263" spans="1:5" x14ac:dyDescent="0.2">
      <c r="A263" s="345">
        <v>22.8</v>
      </c>
      <c r="B263" s="214"/>
      <c r="C263" s="67"/>
      <c r="D263" s="369">
        <f>IF(C263&lt;=0.05*(i.04130!$E$46-i.04130!$E$40-i.04130!$E$39),C263,0.05*(i.04130!$E$46-i.04130!$E$40-i.04130!$E$39))</f>
        <v>0</v>
      </c>
      <c r="E263" s="370">
        <f t="shared" si="4"/>
        <v>0</v>
      </c>
    </row>
    <row r="264" spans="1:5" x14ac:dyDescent="0.2">
      <c r="A264" s="345">
        <v>22.9</v>
      </c>
      <c r="B264" s="214"/>
      <c r="C264" s="67"/>
      <c r="D264" s="369">
        <f>IF(C264&lt;=0.05*(i.04130!$E$46-i.04130!$E$40-i.04130!$E$39),C264,0.05*(i.04130!$E$46-i.04130!$E$40-i.04130!$E$39))</f>
        <v>0</v>
      </c>
      <c r="E264" s="370">
        <f t="shared" si="4"/>
        <v>0</v>
      </c>
    </row>
    <row r="265" spans="1:5" x14ac:dyDescent="0.2">
      <c r="A265" s="341">
        <v>22.1</v>
      </c>
      <c r="B265" s="214"/>
      <c r="C265" s="67"/>
      <c r="D265" s="369">
        <f>IF(C265&lt;=0.05*(i.04130!$E$46-i.04130!$E$40-i.04130!$E$39),C265,0.05*(i.04130!$E$46-i.04130!$E$40-i.04130!$E$39))</f>
        <v>0</v>
      </c>
      <c r="E265" s="370">
        <f t="shared" si="4"/>
        <v>0</v>
      </c>
    </row>
    <row r="266" spans="1:5" x14ac:dyDescent="0.2">
      <c r="A266" s="345">
        <v>22.11</v>
      </c>
      <c r="B266" s="371" t="str">
        <f>"Бусад  "</f>
        <v xml:space="preserve">Бусад  </v>
      </c>
      <c r="C266" s="67"/>
      <c r="D266" s="369">
        <f>IF(C266&lt;=0.05*(i.04130!$E$46-i.04130!$E$40-i.04130!$E$39),C266,0.05*(i.04130!$E$46-i.04130!$E$40-i.04130!$E$39))</f>
        <v>0</v>
      </c>
      <c r="E266" s="370">
        <f t="shared" ref="E266:E329" si="7">C266-D266</f>
        <v>0</v>
      </c>
    </row>
    <row r="267" spans="1:5" s="364" customFormat="1" ht="27" customHeight="1" x14ac:dyDescent="0.2">
      <c r="A267" s="361" t="s">
        <v>842</v>
      </c>
      <c r="B267" s="361" t="str">
        <f>"Хэвийн өмчлөх бусад хөрөнгө /Хамгийн өндөр дүнтэйгээс эхлэн бичих/   "</f>
        <v xml:space="preserve">Хэвийн өмчлөх бусад хөрөнгө /Хамгийн өндөр дүнтэйгээс эхлэн бичих/   </v>
      </c>
      <c r="C267" s="362">
        <f>C268+C269+C270+C271+C272+C273</f>
        <v>0</v>
      </c>
      <c r="D267" s="348">
        <f>D268+D269+D270+D271+D272+D273</f>
        <v>0</v>
      </c>
      <c r="E267" s="363">
        <f t="shared" si="7"/>
        <v>0</v>
      </c>
    </row>
    <row r="268" spans="1:5" x14ac:dyDescent="0.2">
      <c r="A268" s="373" t="s">
        <v>843</v>
      </c>
      <c r="B268" s="217"/>
      <c r="C268" s="218"/>
      <c r="D268" s="369">
        <f>IF(C268&lt;=0.05*(i.04130!$E$46-i.04130!$E$40-i.04130!$E$39),C268,0.05*(i.04130!$E$46-i.04130!$E$40-i.04130!$E$39))</f>
        <v>0</v>
      </c>
      <c r="E268" s="370">
        <f t="shared" si="7"/>
        <v>0</v>
      </c>
    </row>
    <row r="269" spans="1:5" x14ac:dyDescent="0.2">
      <c r="A269" s="373" t="s">
        <v>844</v>
      </c>
      <c r="B269" s="217"/>
      <c r="C269" s="218"/>
      <c r="D269" s="369">
        <f>IF(C269&lt;=0.05*(i.04130!$E$46-i.04130!$E$40-i.04130!$E$39),C269,0.05*(i.04130!$E$46-i.04130!$E$40-i.04130!$E$39))</f>
        <v>0</v>
      </c>
      <c r="E269" s="370">
        <f t="shared" si="7"/>
        <v>0</v>
      </c>
    </row>
    <row r="270" spans="1:5" x14ac:dyDescent="0.2">
      <c r="A270" s="373" t="s">
        <v>845</v>
      </c>
      <c r="B270" s="217"/>
      <c r="C270" s="218"/>
      <c r="D270" s="369">
        <f>IF(C270&lt;=0.05*(i.04130!$E$46-i.04130!$E$40-i.04130!$E$39),C270,0.05*(i.04130!$E$46-i.04130!$E$40-i.04130!$E$39))</f>
        <v>0</v>
      </c>
      <c r="E270" s="370">
        <f t="shared" si="7"/>
        <v>0</v>
      </c>
    </row>
    <row r="271" spans="1:5" x14ac:dyDescent="0.2">
      <c r="A271" s="373" t="s">
        <v>846</v>
      </c>
      <c r="B271" s="217"/>
      <c r="C271" s="218"/>
      <c r="D271" s="369">
        <f>IF(C271&lt;=0.05*(i.04130!$E$46-i.04130!$E$40-i.04130!$E$39),C271,0.05*(i.04130!$E$46-i.04130!$E$40-i.04130!$E$39))</f>
        <v>0</v>
      </c>
      <c r="E271" s="370">
        <f t="shared" si="7"/>
        <v>0</v>
      </c>
    </row>
    <row r="272" spans="1:5" x14ac:dyDescent="0.2">
      <c r="A272" s="373" t="s">
        <v>847</v>
      </c>
      <c r="B272" s="217"/>
      <c r="C272" s="218"/>
      <c r="D272" s="369">
        <f>IF(C272&lt;=0.05*(i.04130!$E$46-i.04130!$E$40-i.04130!$E$39),C272,0.05*(i.04130!$E$46-i.04130!$E$40-i.04130!$E$39))</f>
        <v>0</v>
      </c>
      <c r="E272" s="370">
        <f t="shared" si="7"/>
        <v>0</v>
      </c>
    </row>
    <row r="273" spans="1:5" x14ac:dyDescent="0.2">
      <c r="A273" s="373" t="s">
        <v>848</v>
      </c>
      <c r="B273" s="373" t="str">
        <f>"Бусад  "</f>
        <v xml:space="preserve">Бусад  </v>
      </c>
      <c r="C273" s="218"/>
      <c r="D273" s="369">
        <f>IF(C273&lt;=0.05*(i.04130!$E$46-i.04130!$E$40-i.04130!$E$39),C273,0.05*(i.04130!$E$46-i.04130!$E$40-i.04130!$E$39))</f>
        <v>0</v>
      </c>
      <c r="E273" s="370">
        <f t="shared" si="7"/>
        <v>0</v>
      </c>
    </row>
    <row r="274" spans="1:5" s="364" customFormat="1" ht="25.5" x14ac:dyDescent="0.2">
      <c r="A274" s="361">
        <v>23.2</v>
      </c>
      <c r="B274" s="361" t="str">
        <f>"Хугацаа хэтэрсэн өмчлөх бусад хөрөнгө  /Хамгийн өндөр дүнтэйгээс эхлэн бичих/   "</f>
        <v xml:space="preserve">Хугацаа хэтэрсэн өмчлөх бусад хөрөнгө  /Хамгийн өндөр дүнтэйгээс эхлэн бичих/   </v>
      </c>
      <c r="C274" s="362">
        <f>C275+C276+C277+C278+C279+C280</f>
        <v>0</v>
      </c>
      <c r="D274" s="348">
        <f>D275+D276+D277+D278+D279+D280</f>
        <v>0</v>
      </c>
      <c r="E274" s="363">
        <f t="shared" si="7"/>
        <v>0</v>
      </c>
    </row>
    <row r="275" spans="1:5" x14ac:dyDescent="0.2">
      <c r="A275" s="373" t="s">
        <v>849</v>
      </c>
      <c r="B275" s="217"/>
      <c r="C275" s="218"/>
      <c r="D275" s="369">
        <f>IF(C275&lt;=0.025*(i.04130!$E$46-i.04130!$E$40-i.04130!$E$39),C275,0.025*(i.04130!$E$46-i.04130!$E$40-i.04130!$E$39))</f>
        <v>0</v>
      </c>
      <c r="E275" s="370">
        <f t="shared" si="7"/>
        <v>0</v>
      </c>
    </row>
    <row r="276" spans="1:5" x14ac:dyDescent="0.2">
      <c r="A276" s="373" t="s">
        <v>850</v>
      </c>
      <c r="B276" s="217"/>
      <c r="C276" s="218"/>
      <c r="D276" s="369">
        <f>IF(C276&lt;=0.025*(i.04130!$E$46-i.04130!$E$40-i.04130!$E$39),C276,0.025*(i.04130!$E$46-i.04130!$E$40-i.04130!$E$39))</f>
        <v>0</v>
      </c>
      <c r="E276" s="370">
        <f t="shared" si="7"/>
        <v>0</v>
      </c>
    </row>
    <row r="277" spans="1:5" x14ac:dyDescent="0.2">
      <c r="A277" s="373" t="s">
        <v>851</v>
      </c>
      <c r="B277" s="217"/>
      <c r="C277" s="218"/>
      <c r="D277" s="369">
        <f>IF(C277&lt;=0.025*(i.04130!$E$46-i.04130!$E$40-i.04130!$E$39),C277,0.025*(i.04130!$E$46-i.04130!$E$40-i.04130!$E$39))</f>
        <v>0</v>
      </c>
      <c r="E277" s="370">
        <f t="shared" si="7"/>
        <v>0</v>
      </c>
    </row>
    <row r="278" spans="1:5" x14ac:dyDescent="0.2">
      <c r="A278" s="373" t="s">
        <v>852</v>
      </c>
      <c r="B278" s="217"/>
      <c r="C278" s="218"/>
      <c r="D278" s="369">
        <f>IF(C278&lt;=0.025*(i.04130!$E$46-i.04130!$E$40-i.04130!$E$39),C278,0.025*(i.04130!$E$46-i.04130!$E$40-i.04130!$E$39))</f>
        <v>0</v>
      </c>
      <c r="E278" s="370">
        <f t="shared" si="7"/>
        <v>0</v>
      </c>
    </row>
    <row r="279" spans="1:5" x14ac:dyDescent="0.2">
      <c r="A279" s="373" t="s">
        <v>853</v>
      </c>
      <c r="B279" s="217"/>
      <c r="C279" s="218"/>
      <c r="D279" s="369">
        <f>IF(C279&lt;=0.025*(i.04130!$E$46-i.04130!$E$40-i.04130!$E$39),C279,0.025*(i.04130!$E$46-i.04130!$E$40-i.04130!$E$39))</f>
        <v>0</v>
      </c>
      <c r="E279" s="370">
        <f t="shared" si="7"/>
        <v>0</v>
      </c>
    </row>
    <row r="280" spans="1:5" x14ac:dyDescent="0.2">
      <c r="A280" s="373" t="s">
        <v>854</v>
      </c>
      <c r="B280" s="373" t="str">
        <f>"Бусад  "</f>
        <v xml:space="preserve">Бусад  </v>
      </c>
      <c r="C280" s="218"/>
      <c r="D280" s="369">
        <f>IF(C280&lt;=0.025*(i.04130!$E$46-i.04130!$E$40-i.04130!$E$39),C280,0.025*(i.04130!$E$46-i.04130!$E$40-i.04130!$E$39))</f>
        <v>0</v>
      </c>
      <c r="E280" s="370">
        <f t="shared" si="7"/>
        <v>0</v>
      </c>
    </row>
    <row r="281" spans="1:5" s="364" customFormat="1" ht="25.5" x14ac:dyDescent="0.2">
      <c r="A281" s="361">
        <v>23.3</v>
      </c>
      <c r="B281" s="361" t="str">
        <f>"Хэвийн бус өмчлөх бусад хөрөнгө  /Хамгийн өндөр дүнтэйгээс эхлэн бичих/   "</f>
        <v xml:space="preserve">Хэвийн бус өмчлөх бусад хөрөнгө  /Хамгийн өндөр дүнтэйгээс эхлэн бичих/   </v>
      </c>
      <c r="C281" s="362">
        <f>C282+C283+C284+C285+C286+C287</f>
        <v>0</v>
      </c>
      <c r="D281" s="348">
        <f>D282+D283+D284+D285+D286+D287</f>
        <v>0</v>
      </c>
      <c r="E281" s="363">
        <f t="shared" si="7"/>
        <v>0</v>
      </c>
    </row>
    <row r="282" spans="1:5" x14ac:dyDescent="0.2">
      <c r="A282" s="373" t="s">
        <v>855</v>
      </c>
      <c r="B282" s="217"/>
      <c r="C282" s="218"/>
      <c r="D282" s="369">
        <f>IF(C282&lt;=0.025*(i.04130!$E$46-i.04130!$E$40-i.04130!$E$39),C282,0.025*(i.04130!$E$46-i.04130!$E$40-i.04130!$E$39))</f>
        <v>0</v>
      </c>
      <c r="E282" s="370">
        <f t="shared" si="7"/>
        <v>0</v>
      </c>
    </row>
    <row r="283" spans="1:5" x14ac:dyDescent="0.2">
      <c r="A283" s="373" t="s">
        <v>856</v>
      </c>
      <c r="B283" s="217"/>
      <c r="C283" s="218"/>
      <c r="D283" s="369">
        <f>IF(C283&lt;=0.025*(i.04130!$E$46-i.04130!$E$40-i.04130!$E$39),C283,0.025*(i.04130!$E$46-i.04130!$E$40-i.04130!$E$39))</f>
        <v>0</v>
      </c>
      <c r="E283" s="370">
        <f t="shared" si="7"/>
        <v>0</v>
      </c>
    </row>
    <row r="284" spans="1:5" x14ac:dyDescent="0.2">
      <c r="A284" s="373" t="s">
        <v>857</v>
      </c>
      <c r="B284" s="217"/>
      <c r="C284" s="218"/>
      <c r="D284" s="369">
        <f>IF(C284&lt;=0.025*(i.04130!$E$46-i.04130!$E$40-i.04130!$E$39),C284,0.025*(i.04130!$E$46-i.04130!$E$40-i.04130!$E$39))</f>
        <v>0</v>
      </c>
      <c r="E284" s="370">
        <f t="shared" si="7"/>
        <v>0</v>
      </c>
    </row>
    <row r="285" spans="1:5" x14ac:dyDescent="0.2">
      <c r="A285" s="373" t="s">
        <v>858</v>
      </c>
      <c r="B285" s="217"/>
      <c r="C285" s="218"/>
      <c r="D285" s="369">
        <f>IF(C285&lt;=0.025*(i.04130!$E$46-i.04130!$E$40-i.04130!$E$39),C285,0.025*(i.04130!$E$46-i.04130!$E$40-i.04130!$E$39))</f>
        <v>0</v>
      </c>
      <c r="E285" s="370">
        <f t="shared" si="7"/>
        <v>0</v>
      </c>
    </row>
    <row r="286" spans="1:5" x14ac:dyDescent="0.2">
      <c r="A286" s="373" t="s">
        <v>859</v>
      </c>
      <c r="B286" s="217"/>
      <c r="C286" s="218"/>
      <c r="D286" s="369">
        <f>IF(C286&lt;=0.025*(i.04130!$E$46-i.04130!$E$40-i.04130!$E$39),C286,0.025*(i.04130!$E$46-i.04130!$E$40-i.04130!$E$39))</f>
        <v>0</v>
      </c>
      <c r="E286" s="370">
        <f t="shared" si="7"/>
        <v>0</v>
      </c>
    </row>
    <row r="287" spans="1:5" x14ac:dyDescent="0.2">
      <c r="A287" s="373" t="s">
        <v>860</v>
      </c>
      <c r="B287" s="373" t="str">
        <f>"Бусад  "</f>
        <v xml:space="preserve">Бусад  </v>
      </c>
      <c r="C287" s="218"/>
      <c r="D287" s="369">
        <f>IF(C287&lt;=0.025*(i.04130!$E$46-i.04130!$E$40-i.04130!$E$39),C287,0.025*(i.04130!$E$46-i.04130!$E$40-i.04130!$E$39))</f>
        <v>0</v>
      </c>
      <c r="E287" s="370">
        <f t="shared" si="7"/>
        <v>0</v>
      </c>
    </row>
    <row r="288" spans="1:5" s="364" customFormat="1" ht="25.5" x14ac:dyDescent="0.2">
      <c r="A288" s="361">
        <v>23.4</v>
      </c>
      <c r="B288" s="361" t="str">
        <f>"Эргэлзээтэй өмчлөх бусад хөрөнгө  /Хамгийн өндөр дүнтэйгээс эхлэн бичих/  "</f>
        <v xml:space="preserve">Эргэлзээтэй өмчлөх бусад хөрөнгө  /Хамгийн өндөр дүнтэйгээс эхлэн бичих/  </v>
      </c>
      <c r="C288" s="362">
        <f>C289+C290+C291+C292+C293+C294</f>
        <v>0</v>
      </c>
      <c r="D288" s="348">
        <f>D289+D290+D291+D292+D293+D294</f>
        <v>0</v>
      </c>
      <c r="E288" s="363">
        <f t="shared" si="7"/>
        <v>0</v>
      </c>
    </row>
    <row r="289" spans="1:5" x14ac:dyDescent="0.2">
      <c r="A289" s="373" t="s">
        <v>861</v>
      </c>
      <c r="B289" s="217"/>
      <c r="C289" s="218"/>
      <c r="D289" s="369">
        <f>IF(C289&lt;=0*(i.04130!$E$46-i.04130!$E$40-i.04130!$E$39),C289,0*(i.04130!$E$46-i.04130!$E$40-i.04130!$E$39))</f>
        <v>0</v>
      </c>
      <c r="E289" s="370">
        <f t="shared" si="7"/>
        <v>0</v>
      </c>
    </row>
    <row r="290" spans="1:5" x14ac:dyDescent="0.2">
      <c r="A290" s="373" t="s">
        <v>862</v>
      </c>
      <c r="B290" s="217"/>
      <c r="C290" s="218"/>
      <c r="D290" s="369">
        <f>IF(C290&lt;=0*(i.04130!$E$46-i.04130!$E$40-i.04130!$E$39),C290,0*(i.04130!$E$46-i.04130!$E$40-i.04130!$E$39))</f>
        <v>0</v>
      </c>
      <c r="E290" s="370">
        <f t="shared" si="7"/>
        <v>0</v>
      </c>
    </row>
    <row r="291" spans="1:5" x14ac:dyDescent="0.2">
      <c r="A291" s="373" t="s">
        <v>863</v>
      </c>
      <c r="B291" s="217"/>
      <c r="C291" s="218"/>
      <c r="D291" s="369">
        <f>IF(C291&lt;=0*(i.04130!$E$46-i.04130!$E$40-i.04130!$E$39),C291,0*(i.04130!$E$46-i.04130!$E$40-i.04130!$E$39))</f>
        <v>0</v>
      </c>
      <c r="E291" s="370">
        <f t="shared" si="7"/>
        <v>0</v>
      </c>
    </row>
    <row r="292" spans="1:5" x14ac:dyDescent="0.2">
      <c r="A292" s="373" t="s">
        <v>864</v>
      </c>
      <c r="B292" s="217"/>
      <c r="C292" s="218"/>
      <c r="D292" s="369">
        <f>IF(C292&lt;=0*(i.04130!$E$46-i.04130!$E$40-i.04130!$E$39),C292,0*(i.04130!$E$46-i.04130!$E$40-i.04130!$E$39))</f>
        <v>0</v>
      </c>
      <c r="E292" s="370">
        <f t="shared" si="7"/>
        <v>0</v>
      </c>
    </row>
    <row r="293" spans="1:5" x14ac:dyDescent="0.2">
      <c r="A293" s="373" t="s">
        <v>865</v>
      </c>
      <c r="B293" s="217"/>
      <c r="C293" s="218"/>
      <c r="D293" s="369">
        <f>IF(C293&lt;=0*(i.04130!$E$46-i.04130!$E$40-i.04130!$E$39),C293,0*(i.04130!$E$46-i.04130!$E$40-i.04130!$E$39))</f>
        <v>0</v>
      </c>
      <c r="E293" s="370">
        <f t="shared" si="7"/>
        <v>0</v>
      </c>
    </row>
    <row r="294" spans="1:5" x14ac:dyDescent="0.2">
      <c r="A294" s="373" t="s">
        <v>866</v>
      </c>
      <c r="B294" s="373" t="str">
        <f>"Бусад  "</f>
        <v xml:space="preserve">Бусад  </v>
      </c>
      <c r="C294" s="218"/>
      <c r="D294" s="369">
        <f>IF(C294&lt;=0*(i.04130!$E$46-i.04130!$E$40-i.04130!$E$39),C294,0*(i.04130!$E$46-i.04130!$E$40-i.04130!$E$39))</f>
        <v>0</v>
      </c>
      <c r="E294" s="370">
        <f t="shared" si="7"/>
        <v>0</v>
      </c>
    </row>
    <row r="295" spans="1:5" s="364" customFormat="1" ht="25.5" x14ac:dyDescent="0.2">
      <c r="A295" s="361">
        <v>23.5</v>
      </c>
      <c r="B295" s="361" t="str">
        <f>"Муу өмчлөх бусад хөрөнгө  /Хамгийн өндөр дүнтэйгээс эхлэн бичих/   "</f>
        <v xml:space="preserve">Муу өмчлөх бусад хөрөнгө  /Хамгийн өндөр дүнтэйгээс эхлэн бичих/   </v>
      </c>
      <c r="C295" s="362">
        <f>C296+C297+C298+C299+C300+C301</f>
        <v>0</v>
      </c>
      <c r="D295" s="348">
        <f>D296+D297+D298+D299+D300+D301</f>
        <v>0</v>
      </c>
      <c r="E295" s="363">
        <f t="shared" si="7"/>
        <v>0</v>
      </c>
    </row>
    <row r="296" spans="1:5" x14ac:dyDescent="0.2">
      <c r="A296" s="373" t="s">
        <v>867</v>
      </c>
      <c r="B296" s="217"/>
      <c r="C296" s="218"/>
      <c r="D296" s="369">
        <f>IF(C296&lt;=0*(i.04130!$E$46-i.04130!$E$40-i.04130!$E$39),C296,0*(i.04130!$E$46-i.04130!$E$40-i.04130!$E$39))</f>
        <v>0</v>
      </c>
      <c r="E296" s="370">
        <f t="shared" si="7"/>
        <v>0</v>
      </c>
    </row>
    <row r="297" spans="1:5" x14ac:dyDescent="0.2">
      <c r="A297" s="373" t="s">
        <v>868</v>
      </c>
      <c r="B297" s="217"/>
      <c r="C297" s="218"/>
      <c r="D297" s="369">
        <f>IF(C297&lt;=0*(i.04130!$E$46-i.04130!$E$40-i.04130!$E$39),C297,0*(i.04130!$E$46-i.04130!$E$40-i.04130!$E$39))</f>
        <v>0</v>
      </c>
      <c r="E297" s="370">
        <f t="shared" si="7"/>
        <v>0</v>
      </c>
    </row>
    <row r="298" spans="1:5" x14ac:dyDescent="0.2">
      <c r="A298" s="373" t="s">
        <v>869</v>
      </c>
      <c r="B298" s="217"/>
      <c r="C298" s="218"/>
      <c r="D298" s="369">
        <f>IF(C298&lt;=0*(i.04130!$E$46-i.04130!$E$40-i.04130!$E$39),C298,0*(i.04130!$E$46-i.04130!$E$40-i.04130!$E$39))</f>
        <v>0</v>
      </c>
      <c r="E298" s="370">
        <f t="shared" si="7"/>
        <v>0</v>
      </c>
    </row>
    <row r="299" spans="1:5" x14ac:dyDescent="0.2">
      <c r="A299" s="373" t="s">
        <v>870</v>
      </c>
      <c r="B299" s="217"/>
      <c r="C299" s="218"/>
      <c r="D299" s="369">
        <f>IF(C299&lt;=0*(i.04130!$E$46-i.04130!$E$40-i.04130!$E$39),C299,0*(i.04130!$E$46-i.04130!$E$40-i.04130!$E$39))</f>
        <v>0</v>
      </c>
      <c r="E299" s="370">
        <f t="shared" si="7"/>
        <v>0</v>
      </c>
    </row>
    <row r="300" spans="1:5" x14ac:dyDescent="0.2">
      <c r="A300" s="373" t="s">
        <v>871</v>
      </c>
      <c r="B300" s="217"/>
      <c r="C300" s="218"/>
      <c r="D300" s="369">
        <f>IF(C300&lt;=0*(i.04130!$E$46-i.04130!$E$40-i.04130!$E$39),C300,0*(i.04130!$E$46-i.04130!$E$40-i.04130!$E$39))</f>
        <v>0</v>
      </c>
      <c r="E300" s="370">
        <f t="shared" si="7"/>
        <v>0</v>
      </c>
    </row>
    <row r="301" spans="1:5" x14ac:dyDescent="0.2">
      <c r="A301" s="373" t="s">
        <v>872</v>
      </c>
      <c r="B301" s="373" t="str">
        <f>"Бусад  "</f>
        <v xml:space="preserve">Бусад  </v>
      </c>
      <c r="C301" s="218"/>
      <c r="D301" s="369">
        <f>IF(C301&lt;=0*(i.04130!$E$46-i.04130!$E$40-i.04130!$E$39),C301,0*(i.04130!$E$46-i.04130!$E$40-i.04130!$E$39))</f>
        <v>0</v>
      </c>
      <c r="E301" s="370">
        <f t="shared" si="7"/>
        <v>0</v>
      </c>
    </row>
    <row r="302" spans="1:5" s="364" customFormat="1" ht="25.5" customHeight="1" x14ac:dyDescent="0.2">
      <c r="A302" s="332" t="s">
        <v>873</v>
      </c>
      <c r="B302" s="346" t="str">
        <f>"Санхүүгийн түрээс  /Хамгийн өндөр дүнтэйгээс эхлэн бичих/   "</f>
        <v xml:space="preserve">Санхүүгийн түрээс  /Хамгийн өндөр дүнтэйгээс эхлэн бичих/   </v>
      </c>
      <c r="C302" s="347">
        <f>C303+C304+C305+C306+C307+C308+C309+C310+C311+C312+C313</f>
        <v>0</v>
      </c>
      <c r="D302" s="348">
        <f>D303+D304+D305+D306+D307+D308+D309+D310+D311+D312+D313</f>
        <v>0</v>
      </c>
      <c r="E302" s="363">
        <f t="shared" si="7"/>
        <v>0</v>
      </c>
    </row>
    <row r="303" spans="1:5" x14ac:dyDescent="0.2">
      <c r="A303" s="345">
        <v>24.1</v>
      </c>
      <c r="B303" s="214"/>
      <c r="C303" s="69"/>
      <c r="D303" s="369">
        <f>IF(C303&lt;=0.05*(i.04130!$E$46-i.04130!$E$40-i.04130!$E$39),C303,0.05*(i.04130!$E$46-i.04130!$E$40-i.04130!$E$39))</f>
        <v>0</v>
      </c>
      <c r="E303" s="370">
        <f t="shared" si="7"/>
        <v>0</v>
      </c>
    </row>
    <row r="304" spans="1:5" x14ac:dyDescent="0.2">
      <c r="A304" s="345">
        <v>24.2</v>
      </c>
      <c r="B304" s="214"/>
      <c r="C304" s="69"/>
      <c r="D304" s="369">
        <f>IF(C304&lt;=0.05*(i.04130!$E$46-i.04130!$E$40-i.04130!$E$39),C304,0.05*(i.04130!$E$46-i.04130!$E$40-i.04130!$E$39))</f>
        <v>0</v>
      </c>
      <c r="E304" s="370">
        <f t="shared" si="7"/>
        <v>0</v>
      </c>
    </row>
    <row r="305" spans="1:5" x14ac:dyDescent="0.2">
      <c r="A305" s="345">
        <v>24.3</v>
      </c>
      <c r="B305" s="214"/>
      <c r="C305" s="69"/>
      <c r="D305" s="369">
        <f>IF(C305&lt;=0.05*(i.04130!$E$46-i.04130!$E$40-i.04130!$E$39),C305,0.05*(i.04130!$E$46-i.04130!$E$40-i.04130!$E$39))</f>
        <v>0</v>
      </c>
      <c r="E305" s="370">
        <f t="shared" si="7"/>
        <v>0</v>
      </c>
    </row>
    <row r="306" spans="1:5" x14ac:dyDescent="0.2">
      <c r="A306" s="345">
        <v>24.4</v>
      </c>
      <c r="B306" s="214"/>
      <c r="C306" s="69"/>
      <c r="D306" s="369">
        <f>IF(C306&lt;=0.05*(i.04130!$E$46-i.04130!$E$40-i.04130!$E$39),C306,0.05*(i.04130!$E$46-i.04130!$E$40-i.04130!$E$39))</f>
        <v>0</v>
      </c>
      <c r="E306" s="370">
        <f t="shared" si="7"/>
        <v>0</v>
      </c>
    </row>
    <row r="307" spans="1:5" x14ac:dyDescent="0.2">
      <c r="A307" s="345">
        <v>24.5</v>
      </c>
      <c r="B307" s="214"/>
      <c r="C307" s="69"/>
      <c r="D307" s="369">
        <f>IF(C307&lt;=0.05*(i.04130!$E$46-i.04130!$E$40-i.04130!$E$39),C307,0.05*(i.04130!$E$46-i.04130!$E$40-i.04130!$E$39))</f>
        <v>0</v>
      </c>
      <c r="E307" s="370">
        <f t="shared" si="7"/>
        <v>0</v>
      </c>
    </row>
    <row r="308" spans="1:5" x14ac:dyDescent="0.2">
      <c r="A308" s="345">
        <v>24.6</v>
      </c>
      <c r="B308" s="214"/>
      <c r="C308" s="69"/>
      <c r="D308" s="369">
        <f>IF(C308&lt;=0.05*(i.04130!$E$46-i.04130!$E$40-i.04130!$E$39),C308,0.05*(i.04130!$E$46-i.04130!$E$40-i.04130!$E$39))</f>
        <v>0</v>
      </c>
      <c r="E308" s="370">
        <f t="shared" si="7"/>
        <v>0</v>
      </c>
    </row>
    <row r="309" spans="1:5" x14ac:dyDescent="0.2">
      <c r="A309" s="345">
        <v>24.7</v>
      </c>
      <c r="B309" s="214"/>
      <c r="C309" s="69"/>
      <c r="D309" s="369">
        <f>IF(C309&lt;=0.05*(i.04130!$E$46-i.04130!$E$40-i.04130!$E$39),C309,0.05*(i.04130!$E$46-i.04130!$E$40-i.04130!$E$39))</f>
        <v>0</v>
      </c>
      <c r="E309" s="370">
        <f t="shared" si="7"/>
        <v>0</v>
      </c>
    </row>
    <row r="310" spans="1:5" x14ac:dyDescent="0.2">
      <c r="A310" s="345">
        <v>24.8</v>
      </c>
      <c r="B310" s="214"/>
      <c r="C310" s="69"/>
      <c r="D310" s="369">
        <f>IF(C310&lt;=0.05*(i.04130!$E$46-i.04130!$E$40-i.04130!$E$39),C310,0.05*(i.04130!$E$46-i.04130!$E$40-i.04130!$E$39))</f>
        <v>0</v>
      </c>
      <c r="E310" s="370">
        <f t="shared" si="7"/>
        <v>0</v>
      </c>
    </row>
    <row r="311" spans="1:5" x14ac:dyDescent="0.2">
      <c r="A311" s="345">
        <v>24.9</v>
      </c>
      <c r="B311" s="214"/>
      <c r="C311" s="69"/>
      <c r="D311" s="369">
        <f>IF(C311&lt;=0.05*(i.04130!$E$46-i.04130!$E$40-i.04130!$E$39),C311,0.05*(i.04130!$E$46-i.04130!$E$40-i.04130!$E$39))</f>
        <v>0</v>
      </c>
      <c r="E311" s="370">
        <f t="shared" si="7"/>
        <v>0</v>
      </c>
    </row>
    <row r="312" spans="1:5" x14ac:dyDescent="0.2">
      <c r="A312" s="341">
        <v>24.1</v>
      </c>
      <c r="B312" s="214"/>
      <c r="C312" s="69"/>
      <c r="D312" s="369">
        <f>IF(C312&lt;=0.05*(i.04130!$E$46-i.04130!$E$40-i.04130!$E$39),C312,0.05*(i.04130!$E$46-i.04130!$E$40-i.04130!$E$39))</f>
        <v>0</v>
      </c>
      <c r="E312" s="370">
        <f t="shared" si="7"/>
        <v>0</v>
      </c>
    </row>
    <row r="313" spans="1:5" x14ac:dyDescent="0.2">
      <c r="A313" s="345">
        <v>24.11</v>
      </c>
      <c r="B313" s="371" t="str">
        <f>"Бусад  "</f>
        <v xml:space="preserve">Бусад  </v>
      </c>
      <c r="C313" s="69"/>
      <c r="D313" s="369">
        <f>IF(C313&lt;=0.05*(i.04130!$E$46-i.04130!$E$40-i.04130!$E$39),C313,0.05*(i.04130!$E$46-i.04130!$E$40-i.04130!$E$39))</f>
        <v>0</v>
      </c>
      <c r="E313" s="370">
        <f t="shared" si="7"/>
        <v>0</v>
      </c>
    </row>
    <row r="314" spans="1:5" s="364" customFormat="1" ht="25.5" customHeight="1" x14ac:dyDescent="0.2">
      <c r="A314" s="361" t="s">
        <v>874</v>
      </c>
      <c r="B314" s="368" t="str">
        <f>"Үл хөдлөх хөрөнгө  /Хамгийн өндөр дүнтэйгээс эхлэн бичих/  "</f>
        <v xml:space="preserve">Үл хөдлөх хөрөнгө  /Хамгийн өндөр дүнтэйгээс эхлэн бичих/  </v>
      </c>
      <c r="C314" s="372">
        <f>C315+C316+C317+C318+C319+C320+C321+C322+C323+C324+C325</f>
        <v>0</v>
      </c>
      <c r="D314" s="348">
        <f>D315+D316+D317+D318+D319+D320+D321+D322+D323+D324+D325</f>
        <v>0</v>
      </c>
      <c r="E314" s="363">
        <f t="shared" si="7"/>
        <v>0</v>
      </c>
    </row>
    <row r="315" spans="1:5" x14ac:dyDescent="0.2">
      <c r="A315" s="345">
        <v>25.1</v>
      </c>
      <c r="B315" s="214"/>
      <c r="C315" s="67"/>
      <c r="D315" s="369">
        <f>IF(C315&lt;=0.25*(i.04130!$E$46-i.04130!$E$40-i.04130!$E$39),C315,0.25*(i.04130!$E$46-i.04130!$E$40-i.04130!$E$39))</f>
        <v>0</v>
      </c>
      <c r="E315" s="370">
        <f t="shared" si="7"/>
        <v>0</v>
      </c>
    </row>
    <row r="316" spans="1:5" x14ac:dyDescent="0.2">
      <c r="A316" s="345">
        <v>25.2</v>
      </c>
      <c r="B316" s="214"/>
      <c r="C316" s="67"/>
      <c r="D316" s="369">
        <f>IF(C316&lt;=0.25*(i.04130!$E$46-i.04130!$E$40-i.04130!$E$39),C316,0.25*(i.04130!$E$46-i.04130!$E$40-i.04130!$E$39))</f>
        <v>0</v>
      </c>
      <c r="E316" s="370">
        <f t="shared" si="7"/>
        <v>0</v>
      </c>
    </row>
    <row r="317" spans="1:5" x14ac:dyDescent="0.2">
      <c r="A317" s="345">
        <v>25.3</v>
      </c>
      <c r="B317" s="214"/>
      <c r="C317" s="67"/>
      <c r="D317" s="369">
        <f>IF(C317&lt;=0.25*(i.04130!$E$46-i.04130!$E$40-i.04130!$E$39),C317,0.25*(i.04130!$E$46-i.04130!$E$40-i.04130!$E$39))</f>
        <v>0</v>
      </c>
      <c r="E317" s="370">
        <f t="shared" si="7"/>
        <v>0</v>
      </c>
    </row>
    <row r="318" spans="1:5" x14ac:dyDescent="0.2">
      <c r="A318" s="345">
        <v>25.4</v>
      </c>
      <c r="B318" s="214"/>
      <c r="C318" s="67"/>
      <c r="D318" s="369">
        <f>IF(C318&lt;=0.25*(i.04130!$E$46-i.04130!$E$40-i.04130!$E$39),C318,0.25*(i.04130!$E$46-i.04130!$E$40-i.04130!$E$39))</f>
        <v>0</v>
      </c>
      <c r="E318" s="370">
        <f t="shared" si="7"/>
        <v>0</v>
      </c>
    </row>
    <row r="319" spans="1:5" x14ac:dyDescent="0.2">
      <c r="A319" s="345">
        <v>25.5</v>
      </c>
      <c r="B319" s="214"/>
      <c r="C319" s="67"/>
      <c r="D319" s="369">
        <f>IF(C319&lt;=0.25*(i.04130!$E$46-i.04130!$E$40-i.04130!$E$39),C319,0.25*(i.04130!$E$46-i.04130!$E$40-i.04130!$E$39))</f>
        <v>0</v>
      </c>
      <c r="E319" s="370">
        <f t="shared" si="7"/>
        <v>0</v>
      </c>
    </row>
    <row r="320" spans="1:5" x14ac:dyDescent="0.2">
      <c r="A320" s="345">
        <v>25.6</v>
      </c>
      <c r="B320" s="214"/>
      <c r="C320" s="67"/>
      <c r="D320" s="369">
        <f>IF(C320&lt;=0.25*(i.04130!$E$46-i.04130!$E$40-i.04130!$E$39),C320,0.25*(i.04130!$E$46-i.04130!$E$40-i.04130!$E$39))</f>
        <v>0</v>
      </c>
      <c r="E320" s="370">
        <f t="shared" si="7"/>
        <v>0</v>
      </c>
    </row>
    <row r="321" spans="1:5" x14ac:dyDescent="0.2">
      <c r="A321" s="345">
        <v>25.7</v>
      </c>
      <c r="B321" s="214"/>
      <c r="C321" s="67"/>
      <c r="D321" s="369">
        <f>IF(C321&lt;=0.25*(i.04130!$E$46-i.04130!$E$40-i.04130!$E$39),C321,0.25*(i.04130!$E$46-i.04130!$E$40-i.04130!$E$39))</f>
        <v>0</v>
      </c>
      <c r="E321" s="370">
        <f t="shared" si="7"/>
        <v>0</v>
      </c>
    </row>
    <row r="322" spans="1:5" x14ac:dyDescent="0.2">
      <c r="A322" s="345">
        <v>25.8</v>
      </c>
      <c r="B322" s="214"/>
      <c r="C322" s="67"/>
      <c r="D322" s="369">
        <f>IF(C322&lt;=0.25*(i.04130!$E$46-i.04130!$E$40-i.04130!$E$39),C322,0.25*(i.04130!$E$46-i.04130!$E$40-i.04130!$E$39))</f>
        <v>0</v>
      </c>
      <c r="E322" s="370">
        <f t="shared" si="7"/>
        <v>0</v>
      </c>
    </row>
    <row r="323" spans="1:5" x14ac:dyDescent="0.2">
      <c r="A323" s="345">
        <v>25.9</v>
      </c>
      <c r="B323" s="214"/>
      <c r="C323" s="67"/>
      <c r="D323" s="369">
        <f>IF(C323&lt;=0.25*(i.04130!$E$46-i.04130!$E$40-i.04130!$E$39),C323,0.25*(i.04130!$E$46-i.04130!$E$40-i.04130!$E$39))</f>
        <v>0</v>
      </c>
      <c r="E323" s="370">
        <f t="shared" si="7"/>
        <v>0</v>
      </c>
    </row>
    <row r="324" spans="1:5" x14ac:dyDescent="0.2">
      <c r="A324" s="341">
        <v>25.1</v>
      </c>
      <c r="B324" s="214"/>
      <c r="C324" s="67"/>
      <c r="D324" s="369">
        <f>IF(C324&lt;=0.25*(i.04130!$E$46-i.04130!$E$40-i.04130!$E$39),C324,0.25*(i.04130!$E$46-i.04130!$E$40-i.04130!$E$39))</f>
        <v>0</v>
      </c>
      <c r="E324" s="370">
        <f t="shared" si="7"/>
        <v>0</v>
      </c>
    </row>
    <row r="325" spans="1:5" x14ac:dyDescent="0.2">
      <c r="A325" s="345">
        <v>25.11</v>
      </c>
      <c r="B325" s="371" t="str">
        <f>"Бусад  "</f>
        <v xml:space="preserve">Бусад  </v>
      </c>
      <c r="C325" s="67"/>
      <c r="D325" s="369">
        <f>IF(C325&lt;=0.25*(i.04130!$E$46-i.04130!$E$40-i.04130!$E$39),C325,0.25*(i.04130!$E$46-i.04130!$E$40-i.04130!$E$39))</f>
        <v>0</v>
      </c>
      <c r="E325" s="370">
        <f t="shared" si="7"/>
        <v>0</v>
      </c>
    </row>
    <row r="326" spans="1:5" s="364" customFormat="1" ht="24.75" customHeight="1" x14ac:dyDescent="0.2">
      <c r="A326" s="361" t="s">
        <v>875</v>
      </c>
      <c r="B326" s="368" t="str">
        <f>"Хөдлөх хөрөнгө /Хамгийн өндөр дүнтэйгээс эхлэн бичих/   "</f>
        <v xml:space="preserve">Хөдлөх хөрөнгө /Хамгийн өндөр дүнтэйгээс эхлэн бичих/   </v>
      </c>
      <c r="C326" s="372">
        <f>C327+C328+C329+C330+C331+C332+C333+C334+C335+C336+C337</f>
        <v>0</v>
      </c>
      <c r="D326" s="348">
        <f>D327+D328+D329+D330+D331+D332+D333+D334+D335+D336+D337</f>
        <v>0</v>
      </c>
      <c r="E326" s="363">
        <f t="shared" si="7"/>
        <v>0</v>
      </c>
    </row>
    <row r="327" spans="1:5" x14ac:dyDescent="0.2">
      <c r="A327" s="345">
        <v>26.1</v>
      </c>
      <c r="B327" s="214"/>
      <c r="C327" s="221"/>
      <c r="D327" s="369">
        <f>IF(C327&lt;=0.05*(i.04130!$E$46-i.04130!$E$40-i.04130!$E$39),C327,0.05*(i.04130!$E$46-i.04130!$E$40-i.04130!$E$39))</f>
        <v>0</v>
      </c>
      <c r="E327" s="370">
        <f t="shared" si="7"/>
        <v>0</v>
      </c>
    </row>
    <row r="328" spans="1:5" x14ac:dyDescent="0.2">
      <c r="A328" s="345">
        <v>26.2</v>
      </c>
      <c r="B328" s="214"/>
      <c r="C328" s="221"/>
      <c r="D328" s="369">
        <f>IF(C328&lt;=0.05*(i.04130!$E$46-i.04130!$E$40-i.04130!$E$39),C328,0.05*(i.04130!$E$46-i.04130!$E$40-i.04130!$E$39))</f>
        <v>0</v>
      </c>
      <c r="E328" s="370">
        <f t="shared" si="7"/>
        <v>0</v>
      </c>
    </row>
    <row r="329" spans="1:5" x14ac:dyDescent="0.2">
      <c r="A329" s="345">
        <v>26.3</v>
      </c>
      <c r="B329" s="214"/>
      <c r="C329" s="221"/>
      <c r="D329" s="369">
        <f>IF(C329&lt;=0.05*(i.04130!$E$46-i.04130!$E$40-i.04130!$E$39),C329,0.05*(i.04130!$E$46-i.04130!$E$40-i.04130!$E$39))</f>
        <v>0</v>
      </c>
      <c r="E329" s="370">
        <f t="shared" si="7"/>
        <v>0</v>
      </c>
    </row>
    <row r="330" spans="1:5" x14ac:dyDescent="0.2">
      <c r="A330" s="345">
        <v>26.4</v>
      </c>
      <c r="B330" s="214"/>
      <c r="C330" s="221"/>
      <c r="D330" s="369">
        <f>IF(C330&lt;=0.05*(i.04130!$E$46-i.04130!$E$40-i.04130!$E$39),C330,0.05*(i.04130!$E$46-i.04130!$E$40-i.04130!$E$39))</f>
        <v>0</v>
      </c>
      <c r="E330" s="370">
        <f t="shared" ref="E330:E350" si="8">C330-D330</f>
        <v>0</v>
      </c>
    </row>
    <row r="331" spans="1:5" x14ac:dyDescent="0.2">
      <c r="A331" s="345">
        <v>26.5</v>
      </c>
      <c r="B331" s="214"/>
      <c r="C331" s="221"/>
      <c r="D331" s="369">
        <f>IF(C331&lt;=0.05*(i.04130!$E$46-i.04130!$E$40-i.04130!$E$39),C331,0.05*(i.04130!$E$46-i.04130!$E$40-i.04130!$E$39))</f>
        <v>0</v>
      </c>
      <c r="E331" s="370">
        <f t="shared" si="8"/>
        <v>0</v>
      </c>
    </row>
    <row r="332" spans="1:5" x14ac:dyDescent="0.2">
      <c r="A332" s="345">
        <v>26.6</v>
      </c>
      <c r="B332" s="214"/>
      <c r="C332" s="221"/>
      <c r="D332" s="369">
        <f>IF(C332&lt;=0.05*(i.04130!$E$46-i.04130!$E$40-i.04130!$E$39),C332,0.05*(i.04130!$E$46-i.04130!$E$40-i.04130!$E$39))</f>
        <v>0</v>
      </c>
      <c r="E332" s="370">
        <f t="shared" si="8"/>
        <v>0</v>
      </c>
    </row>
    <row r="333" spans="1:5" x14ac:dyDescent="0.2">
      <c r="A333" s="345">
        <v>26.7</v>
      </c>
      <c r="B333" s="214"/>
      <c r="C333" s="221"/>
      <c r="D333" s="369">
        <f>IF(C333&lt;=0.05*(i.04130!$E$46-i.04130!$E$40-i.04130!$E$39),C333,0.05*(i.04130!$E$46-i.04130!$E$40-i.04130!$E$39))</f>
        <v>0</v>
      </c>
      <c r="E333" s="370">
        <f t="shared" si="8"/>
        <v>0</v>
      </c>
    </row>
    <row r="334" spans="1:5" x14ac:dyDescent="0.2">
      <c r="A334" s="345">
        <v>26.8</v>
      </c>
      <c r="B334" s="214"/>
      <c r="C334" s="221"/>
      <c r="D334" s="369">
        <f>IF(C334&lt;=0.05*(i.04130!$E$46-i.04130!$E$40-i.04130!$E$39),C334,0.05*(i.04130!$E$46-i.04130!$E$40-i.04130!$E$39))</f>
        <v>0</v>
      </c>
      <c r="E334" s="370">
        <f t="shared" si="8"/>
        <v>0</v>
      </c>
    </row>
    <row r="335" spans="1:5" x14ac:dyDescent="0.2">
      <c r="A335" s="345">
        <v>26.9</v>
      </c>
      <c r="B335" s="214"/>
      <c r="C335" s="221"/>
      <c r="D335" s="369">
        <f>IF(C335&lt;=0.05*(i.04130!$E$46-i.04130!$E$40-i.04130!$E$39),C335,0.05*(i.04130!$E$46-i.04130!$E$40-i.04130!$E$39))</f>
        <v>0</v>
      </c>
      <c r="E335" s="370">
        <f t="shared" si="8"/>
        <v>0</v>
      </c>
    </row>
    <row r="336" spans="1:5" x14ac:dyDescent="0.2">
      <c r="A336" s="341">
        <v>26.1</v>
      </c>
      <c r="B336" s="214"/>
      <c r="C336" s="221"/>
      <c r="D336" s="369">
        <f>IF(C336&lt;=0.05*(i.04130!$E$46-i.04130!$E$40-i.04130!$E$39),C336,0.05*(i.04130!$E$46-i.04130!$E$40-i.04130!$E$39))</f>
        <v>0</v>
      </c>
      <c r="E336" s="370">
        <f t="shared" si="8"/>
        <v>0</v>
      </c>
    </row>
    <row r="337" spans="1:5" x14ac:dyDescent="0.2">
      <c r="A337" s="345">
        <v>26.11</v>
      </c>
      <c r="B337" s="371" t="str">
        <f>"Бусад  "</f>
        <v xml:space="preserve">Бусад  </v>
      </c>
      <c r="C337" s="221"/>
      <c r="D337" s="369">
        <f>IF(C337&lt;=0.05*(i.04130!$E$46-i.04130!$E$40-i.04130!$E$39),C337,0.05*(i.04130!$E$46-i.04130!$E$40-i.04130!$E$39))</f>
        <v>0</v>
      </c>
      <c r="E337" s="370">
        <f t="shared" si="8"/>
        <v>0</v>
      </c>
    </row>
    <row r="338" spans="1:5" s="364" customFormat="1" ht="38.25" x14ac:dyDescent="0.2">
      <c r="A338" s="361" t="s">
        <v>876</v>
      </c>
      <c r="B338" s="368" t="str">
        <f>"Даатгалын үндсэн үйл ажиллагаанд зориулан авсан биет бус хөрөнгө  /Хамгийн өндөр дүнтэйгээс эхлэн бичих/  "</f>
        <v xml:space="preserve">Даатгалын үндсэн үйл ажиллагаанд зориулан авсан биет бус хөрөнгө  /Хамгийн өндөр дүнтэйгээс эхлэн бичих/  </v>
      </c>
      <c r="C338" s="372">
        <f>C339+C340+C341+C342+C343+C344+C345+C346+C347+C348+C349</f>
        <v>0</v>
      </c>
      <c r="D338" s="348">
        <f>D339+D340+D341+D342+D343+D344+D345+D346+D347+D348+D349</f>
        <v>0</v>
      </c>
      <c r="E338" s="363">
        <f t="shared" si="8"/>
        <v>0</v>
      </c>
    </row>
    <row r="339" spans="1:5" x14ac:dyDescent="0.2">
      <c r="A339" s="345">
        <v>27.1</v>
      </c>
      <c r="B339" s="214"/>
      <c r="C339" s="67"/>
      <c r="D339" s="369">
        <f>IF(C339&lt;=0.1*(i.04130!$E$46-i.04130!$E$40-i.04130!$E$39),C339,0.1*(i.04130!$E$46-i.04130!$E$40-i.04130!$E$39))</f>
        <v>0</v>
      </c>
      <c r="E339" s="370">
        <f t="shared" si="8"/>
        <v>0</v>
      </c>
    </row>
    <row r="340" spans="1:5" x14ac:dyDescent="0.2">
      <c r="A340" s="345">
        <v>27.2</v>
      </c>
      <c r="B340" s="214"/>
      <c r="C340" s="67"/>
      <c r="D340" s="369">
        <f>IF(C340&lt;=0.1*(i.04130!$E$46-i.04130!$E$40-i.04130!$E$39),C340,0.1*(i.04130!$E$46-i.04130!$E$40-i.04130!$E$39))</f>
        <v>0</v>
      </c>
      <c r="E340" s="370">
        <f t="shared" si="8"/>
        <v>0</v>
      </c>
    </row>
    <row r="341" spans="1:5" x14ac:dyDescent="0.2">
      <c r="A341" s="345">
        <v>27.3</v>
      </c>
      <c r="B341" s="214"/>
      <c r="C341" s="67"/>
      <c r="D341" s="369">
        <f>IF(C341&lt;=0.1*(i.04130!$E$46-i.04130!$E$40-i.04130!$E$39),C341,0.1*(i.04130!$E$46-i.04130!$E$40-i.04130!$E$39))</f>
        <v>0</v>
      </c>
      <c r="E341" s="370">
        <f t="shared" si="8"/>
        <v>0</v>
      </c>
    </row>
    <row r="342" spans="1:5" x14ac:dyDescent="0.2">
      <c r="A342" s="345">
        <v>27.4</v>
      </c>
      <c r="B342" s="214"/>
      <c r="C342" s="67"/>
      <c r="D342" s="369">
        <f>IF(C342&lt;=0.1*(i.04130!$E$46-i.04130!$E$40-i.04130!$E$39),C342,0.1*(i.04130!$E$46-i.04130!$E$40-i.04130!$E$39))</f>
        <v>0</v>
      </c>
      <c r="E342" s="370">
        <f t="shared" si="8"/>
        <v>0</v>
      </c>
    </row>
    <row r="343" spans="1:5" x14ac:dyDescent="0.2">
      <c r="A343" s="345">
        <v>27.5</v>
      </c>
      <c r="B343" s="214"/>
      <c r="C343" s="67"/>
      <c r="D343" s="369">
        <f>IF(C343&lt;=0.1*(i.04130!$E$46-i.04130!$E$40-i.04130!$E$39),C343,0.1*(i.04130!$E$46-i.04130!$E$40-i.04130!$E$39))</f>
        <v>0</v>
      </c>
      <c r="E343" s="370">
        <f t="shared" si="8"/>
        <v>0</v>
      </c>
    </row>
    <row r="344" spans="1:5" x14ac:dyDescent="0.2">
      <c r="A344" s="345">
        <v>27.6</v>
      </c>
      <c r="B344" s="214"/>
      <c r="C344" s="67"/>
      <c r="D344" s="369">
        <f>IF(C344&lt;=0.1*(i.04130!$E$46-i.04130!$E$40-i.04130!$E$39),C344,0.1*(i.04130!$E$46-i.04130!$E$40-i.04130!$E$39))</f>
        <v>0</v>
      </c>
      <c r="E344" s="370">
        <f t="shared" si="8"/>
        <v>0</v>
      </c>
    </row>
    <row r="345" spans="1:5" x14ac:dyDescent="0.2">
      <c r="A345" s="345">
        <v>27.7</v>
      </c>
      <c r="B345" s="214"/>
      <c r="C345" s="67"/>
      <c r="D345" s="369">
        <f>IF(C345&lt;=0.1*(i.04130!$E$46-i.04130!$E$40-i.04130!$E$39),C345,0.1*(i.04130!$E$46-i.04130!$E$40-i.04130!$E$39))</f>
        <v>0</v>
      </c>
      <c r="E345" s="370">
        <f t="shared" si="8"/>
        <v>0</v>
      </c>
    </row>
    <row r="346" spans="1:5" x14ac:dyDescent="0.2">
      <c r="A346" s="345">
        <v>27.8</v>
      </c>
      <c r="B346" s="214"/>
      <c r="C346" s="67"/>
      <c r="D346" s="369">
        <f>IF(C346&lt;=0.1*(i.04130!$E$46-i.04130!$E$40-i.04130!$E$39),C346,0.1*(i.04130!$E$46-i.04130!$E$40-i.04130!$E$39))</f>
        <v>0</v>
      </c>
      <c r="E346" s="370">
        <f t="shared" si="8"/>
        <v>0</v>
      </c>
    </row>
    <row r="347" spans="1:5" x14ac:dyDescent="0.2">
      <c r="A347" s="345">
        <v>27.9</v>
      </c>
      <c r="B347" s="214"/>
      <c r="C347" s="67"/>
      <c r="D347" s="369">
        <f>IF(C347&lt;=0.1*(i.04130!$E$46-i.04130!$E$40-i.04130!$E$39),C347,0.1*(i.04130!$E$46-i.04130!$E$40-i.04130!$E$39))</f>
        <v>0</v>
      </c>
      <c r="E347" s="370">
        <f t="shared" si="8"/>
        <v>0</v>
      </c>
    </row>
    <row r="348" spans="1:5" x14ac:dyDescent="0.2">
      <c r="A348" s="341">
        <v>27.1</v>
      </c>
      <c r="B348" s="214"/>
      <c r="C348" s="67"/>
      <c r="D348" s="369">
        <f>IF(C348&lt;=0.1*(i.04130!$E$46-i.04130!$E$40-i.04130!$E$39),C348,0.1*(i.04130!$E$46-i.04130!$E$40-i.04130!$E$39))</f>
        <v>0</v>
      </c>
      <c r="E348" s="370">
        <f t="shared" si="8"/>
        <v>0</v>
      </c>
    </row>
    <row r="349" spans="1:5" x14ac:dyDescent="0.2">
      <c r="A349" s="345">
        <v>27.11</v>
      </c>
      <c r="B349" s="371" t="str">
        <f>"Бусад  "</f>
        <v xml:space="preserve">Бусад  </v>
      </c>
      <c r="C349" s="67"/>
      <c r="D349" s="369">
        <f>IF(C349&lt;=0.1*(i.04130!$E$46-i.04130!$E$40-i.04130!$E$39),C349,0.1*(i.04130!$E$46-i.04130!$E$40-i.04130!$E$39))</f>
        <v>0</v>
      </c>
      <c r="E349" s="370">
        <f t="shared" si="8"/>
        <v>0</v>
      </c>
    </row>
    <row r="350" spans="1:5" s="364" customFormat="1" ht="12.75" customHeight="1" x14ac:dyDescent="0.2">
      <c r="A350" s="368" t="s">
        <v>877</v>
      </c>
      <c r="B350" s="368" t="str">
        <f>"Бусад хөрөнгө "</f>
        <v xml:space="preserve">Бусад хөрөнгө </v>
      </c>
      <c r="C350" s="219"/>
      <c r="D350" s="348">
        <f>IF(C350&lt;=0*(i.04130!$E$46-i.04130!$E$40-i.04130!$E$39),C350,0*(i.04130!$E$46-i.04130!$E$40-i.04130!$E$39))</f>
        <v>0</v>
      </c>
      <c r="E350" s="363">
        <f t="shared" si="8"/>
        <v>0</v>
      </c>
    </row>
    <row r="351" spans="1:5" s="364" customFormat="1" x14ac:dyDescent="0.2">
      <c r="A351" s="361"/>
      <c r="B351" s="361" t="str">
        <f>"Нийт хөрөнгийн дүн  "</f>
        <v xml:space="preserve">Нийт хөрөнгийн дүн  </v>
      </c>
      <c r="C351" s="362">
        <f>C350+C338+C326+C314+C302+C295+C288+C281+C274+C267+C255+C243+C231+C219+C207+C195+C183+C171+C159+C147+C135+C123+C111+C90+C83+C76+C69+C62+C55+C42+C30+C9+C54+C102+C103</f>
        <v>0</v>
      </c>
      <c r="D351" s="348">
        <f>D350+D338+D326+D314+D302+D295+D288+D281+D274+D267+D255+D243+D231+D219+D207+D195+D183+D171+D159+D147+D135+D123+D111+D90+D83+D76+D69+D62+D55+D42+D30+D9+D54+D102+D103</f>
        <v>0</v>
      </c>
      <c r="E351" s="363">
        <f>C351-D351</f>
        <v>0</v>
      </c>
    </row>
    <row r="352" spans="1:5" x14ac:dyDescent="0.2">
      <c r="A352" s="74"/>
      <c r="B352" s="225"/>
      <c r="C352" s="226"/>
      <c r="D352" s="227"/>
      <c r="E352" s="74"/>
    </row>
    <row r="353" spans="1:7" x14ac:dyDescent="0.2">
      <c r="A353" s="71"/>
      <c r="B353" s="2" t="s">
        <v>285</v>
      </c>
      <c r="C353" s="272"/>
      <c r="D353" s="4"/>
      <c r="E353" s="4"/>
      <c r="F353" s="71"/>
      <c r="G353" s="223"/>
    </row>
    <row r="354" spans="1:7" x14ac:dyDescent="0.2">
      <c r="A354" s="71"/>
      <c r="B354" s="5"/>
      <c r="C354" s="272"/>
      <c r="D354" s="4"/>
      <c r="E354" s="4"/>
      <c r="F354" s="71"/>
      <c r="G354" s="224"/>
    </row>
    <row r="355" spans="1:7" x14ac:dyDescent="0.2">
      <c r="A355" s="71"/>
      <c r="B355" s="5" t="s">
        <v>286</v>
      </c>
      <c r="C355" s="272"/>
      <c r="D355" s="4"/>
      <c r="E355" s="4"/>
      <c r="F355" s="71"/>
    </row>
    <row r="356" spans="1:7" x14ac:dyDescent="0.2">
      <c r="A356" s="71"/>
      <c r="B356" s="5"/>
      <c r="C356" s="272"/>
      <c r="D356" s="4"/>
      <c r="E356" s="4"/>
      <c r="F356" s="71"/>
    </row>
    <row r="357" spans="1:7" x14ac:dyDescent="0.2">
      <c r="A357" s="71"/>
      <c r="B357" s="6" t="s">
        <v>287</v>
      </c>
      <c r="C357" s="520" t="s">
        <v>288</v>
      </c>
      <c r="D357" s="520"/>
      <c r="E357" s="4" t="s">
        <v>289</v>
      </c>
      <c r="F357" s="71"/>
    </row>
    <row r="358" spans="1:7" x14ac:dyDescent="0.2">
      <c r="A358" s="72"/>
      <c r="B358" s="5"/>
      <c r="C358" s="520"/>
      <c r="D358" s="520"/>
      <c r="E358" s="4"/>
    </row>
    <row r="359" spans="1:7" x14ac:dyDescent="0.2">
      <c r="B359" s="6" t="s">
        <v>290</v>
      </c>
      <c r="C359" s="520" t="s">
        <v>291</v>
      </c>
      <c r="D359" s="520"/>
      <c r="E359" s="4" t="s">
        <v>292</v>
      </c>
    </row>
    <row r="360" spans="1:7" x14ac:dyDescent="0.2">
      <c r="A360" s="74"/>
      <c r="B360" s="5"/>
      <c r="C360" s="520"/>
      <c r="D360" s="520"/>
      <c r="E360" s="4"/>
    </row>
    <row r="361" spans="1:7" x14ac:dyDescent="0.2">
      <c r="A361" s="74"/>
      <c r="B361" s="6" t="s">
        <v>293</v>
      </c>
      <c r="C361" s="520" t="s">
        <v>288</v>
      </c>
      <c r="D361" s="520"/>
      <c r="E361" s="4" t="s">
        <v>292</v>
      </c>
    </row>
    <row r="362" spans="1:7" x14ac:dyDescent="0.2">
      <c r="A362" s="74"/>
      <c r="B362" s="225"/>
      <c r="C362" s="226"/>
      <c r="D362" s="227"/>
      <c r="E362" s="74"/>
    </row>
    <row r="363" spans="1:7" x14ac:dyDescent="0.2">
      <c r="A363" s="74"/>
      <c r="B363" s="225"/>
      <c r="C363" s="226"/>
      <c r="D363" s="227"/>
      <c r="E363" s="74"/>
    </row>
    <row r="364" spans="1:7" x14ac:dyDescent="0.2">
      <c r="A364" s="74"/>
      <c r="B364" s="225"/>
      <c r="C364" s="226"/>
      <c r="D364" s="227"/>
      <c r="E364" s="74"/>
    </row>
    <row r="365" spans="1:7" x14ac:dyDescent="0.2">
      <c r="A365" s="74"/>
      <c r="B365" s="225"/>
      <c r="C365" s="226"/>
      <c r="D365" s="227"/>
      <c r="E365" s="74"/>
    </row>
    <row r="366" spans="1:7" x14ac:dyDescent="0.2">
      <c r="A366" s="74"/>
      <c r="B366" s="225"/>
      <c r="C366" s="226"/>
      <c r="D366" s="227"/>
      <c r="E366" s="74"/>
    </row>
    <row r="367" spans="1:7" x14ac:dyDescent="0.2">
      <c r="A367" s="74"/>
      <c r="B367" s="225"/>
      <c r="C367" s="226"/>
      <c r="D367" s="227"/>
      <c r="E367" s="74"/>
    </row>
    <row r="368" spans="1:7" x14ac:dyDescent="0.2">
      <c r="A368" s="74"/>
      <c r="B368" s="225"/>
      <c r="C368" s="226"/>
      <c r="D368" s="227"/>
      <c r="E368" s="74"/>
    </row>
    <row r="369" spans="1:5" x14ac:dyDescent="0.2">
      <c r="A369" s="74"/>
      <c r="B369" s="225"/>
      <c r="C369" s="226"/>
      <c r="D369" s="227"/>
      <c r="E369" s="74"/>
    </row>
    <row r="370" spans="1:5" x14ac:dyDescent="0.2">
      <c r="A370" s="74"/>
      <c r="B370" s="225"/>
      <c r="C370" s="226"/>
      <c r="D370" s="227"/>
      <c r="E370" s="74"/>
    </row>
    <row r="371" spans="1:5" x14ac:dyDescent="0.2">
      <c r="A371" s="74"/>
      <c r="B371" s="225"/>
      <c r="C371" s="226"/>
      <c r="D371" s="227"/>
      <c r="E371" s="74"/>
    </row>
    <row r="372" spans="1:5" x14ac:dyDescent="0.2">
      <c r="A372" s="74"/>
      <c r="B372" s="225"/>
      <c r="C372" s="226"/>
      <c r="D372" s="227"/>
      <c r="E372" s="74"/>
    </row>
    <row r="373" spans="1:5" x14ac:dyDescent="0.2">
      <c r="A373" s="74"/>
      <c r="B373" s="225"/>
      <c r="C373" s="226"/>
      <c r="D373" s="227"/>
      <c r="E373" s="74"/>
    </row>
    <row r="374" spans="1:5" x14ac:dyDescent="0.2">
      <c r="A374" s="74"/>
      <c r="B374" s="225"/>
      <c r="C374" s="226"/>
      <c r="D374" s="227"/>
      <c r="E374" s="74"/>
    </row>
    <row r="375" spans="1:5" x14ac:dyDescent="0.2">
      <c r="A375" s="74"/>
      <c r="B375" s="225"/>
      <c r="C375" s="226"/>
      <c r="D375" s="227"/>
      <c r="E375" s="74"/>
    </row>
    <row r="376" spans="1:5" x14ac:dyDescent="0.2">
      <c r="A376" s="74"/>
      <c r="B376" s="225"/>
      <c r="C376" s="226"/>
      <c r="D376" s="227"/>
      <c r="E376" s="74"/>
    </row>
    <row r="377" spans="1:5" x14ac:dyDescent="0.2">
      <c r="A377" s="74"/>
      <c r="B377" s="225"/>
      <c r="C377" s="226"/>
      <c r="D377" s="227"/>
      <c r="E377" s="74"/>
    </row>
    <row r="378" spans="1:5" x14ac:dyDescent="0.2">
      <c r="A378" s="74"/>
      <c r="B378" s="225"/>
      <c r="C378" s="226"/>
      <c r="D378" s="227"/>
      <c r="E378" s="74"/>
    </row>
    <row r="379" spans="1:5" x14ac:dyDescent="0.2">
      <c r="A379" s="74"/>
      <c r="B379" s="225"/>
      <c r="C379" s="226"/>
      <c r="D379" s="227"/>
      <c r="E379" s="74"/>
    </row>
    <row r="380" spans="1:5" x14ac:dyDescent="0.2">
      <c r="A380" s="74"/>
      <c r="B380" s="225"/>
      <c r="C380" s="226"/>
      <c r="D380" s="227"/>
      <c r="E380" s="74"/>
    </row>
    <row r="381" spans="1:5" x14ac:dyDescent="0.2">
      <c r="A381" s="74"/>
      <c r="B381" s="225"/>
      <c r="C381" s="226"/>
      <c r="D381" s="227"/>
      <c r="E381" s="74"/>
    </row>
    <row r="382" spans="1:5" x14ac:dyDescent="0.2">
      <c r="A382" s="74"/>
      <c r="B382" s="225"/>
      <c r="C382" s="226"/>
      <c r="D382" s="227"/>
      <c r="E382" s="74"/>
    </row>
    <row r="383" spans="1:5" x14ac:dyDescent="0.2">
      <c r="A383" s="74"/>
      <c r="B383" s="225"/>
      <c r="C383" s="226"/>
      <c r="D383" s="227"/>
      <c r="E383" s="74"/>
    </row>
    <row r="384" spans="1:5" x14ac:dyDescent="0.2">
      <c r="A384" s="74"/>
      <c r="B384" s="225"/>
      <c r="C384" s="226"/>
      <c r="D384" s="227"/>
      <c r="E384" s="74"/>
    </row>
    <row r="385" spans="1:5" x14ac:dyDescent="0.2">
      <c r="A385" s="74"/>
      <c r="B385" s="225"/>
      <c r="C385" s="226"/>
      <c r="D385" s="227"/>
      <c r="E385" s="74"/>
    </row>
    <row r="386" spans="1:5" x14ac:dyDescent="0.2">
      <c r="A386" s="74"/>
      <c r="B386" s="225"/>
      <c r="C386" s="226"/>
      <c r="D386" s="227"/>
      <c r="E386" s="74"/>
    </row>
    <row r="387" spans="1:5" x14ac:dyDescent="0.2">
      <c r="A387" s="74"/>
      <c r="B387" s="225"/>
      <c r="C387" s="226"/>
      <c r="D387" s="227"/>
      <c r="E387" s="74"/>
    </row>
    <row r="388" spans="1:5" x14ac:dyDescent="0.2">
      <c r="A388" s="74"/>
      <c r="B388" s="225"/>
      <c r="C388" s="226"/>
      <c r="D388" s="227"/>
      <c r="E388" s="74"/>
    </row>
    <row r="389" spans="1:5" x14ac:dyDescent="0.2">
      <c r="A389" s="74"/>
      <c r="B389" s="225"/>
      <c r="C389" s="226"/>
      <c r="D389" s="227"/>
      <c r="E389" s="74"/>
    </row>
    <row r="390" spans="1:5" x14ac:dyDescent="0.2">
      <c r="A390" s="74"/>
      <c r="B390" s="225"/>
      <c r="C390" s="226"/>
      <c r="D390" s="227"/>
      <c r="E390" s="74"/>
    </row>
    <row r="391" spans="1:5" x14ac:dyDescent="0.2">
      <c r="A391" s="74"/>
      <c r="B391" s="225"/>
      <c r="C391" s="226"/>
      <c r="D391" s="227"/>
      <c r="E391" s="74"/>
    </row>
    <row r="392" spans="1:5" x14ac:dyDescent="0.2">
      <c r="A392" s="74"/>
      <c r="B392" s="225"/>
      <c r="C392" s="226"/>
      <c r="D392" s="227"/>
      <c r="E392" s="74"/>
    </row>
    <row r="393" spans="1:5" x14ac:dyDescent="0.2">
      <c r="A393" s="74"/>
      <c r="B393" s="225"/>
      <c r="C393" s="226"/>
      <c r="D393" s="227"/>
      <c r="E393" s="74"/>
    </row>
    <row r="394" spans="1:5" x14ac:dyDescent="0.2">
      <c r="A394" s="74"/>
      <c r="B394" s="225"/>
      <c r="C394" s="226"/>
      <c r="D394" s="227"/>
      <c r="E394" s="74"/>
    </row>
    <row r="395" spans="1:5" x14ac:dyDescent="0.2">
      <c r="A395" s="74"/>
      <c r="B395" s="225"/>
      <c r="C395" s="226"/>
      <c r="D395" s="227"/>
      <c r="E395" s="74"/>
    </row>
    <row r="396" spans="1:5" x14ac:dyDescent="0.2">
      <c r="A396" s="74"/>
      <c r="B396" s="225"/>
      <c r="C396" s="226"/>
      <c r="D396" s="227"/>
      <c r="E396" s="74"/>
    </row>
    <row r="397" spans="1:5" x14ac:dyDescent="0.2">
      <c r="A397" s="74"/>
      <c r="B397" s="225"/>
      <c r="C397" s="226"/>
      <c r="D397" s="227"/>
      <c r="E397" s="74"/>
    </row>
    <row r="398" spans="1:5" x14ac:dyDescent="0.2">
      <c r="A398" s="74"/>
      <c r="B398" s="225"/>
      <c r="C398" s="226"/>
      <c r="D398" s="227"/>
      <c r="E398" s="74"/>
    </row>
    <row r="399" spans="1:5" x14ac:dyDescent="0.2">
      <c r="A399" s="74"/>
      <c r="B399" s="225"/>
      <c r="C399" s="226"/>
      <c r="D399" s="227"/>
      <c r="E399" s="74"/>
    </row>
    <row r="400" spans="1:5" x14ac:dyDescent="0.2">
      <c r="A400" s="74"/>
      <c r="B400" s="225"/>
      <c r="C400" s="226"/>
      <c r="D400" s="227"/>
      <c r="E400" s="74"/>
    </row>
    <row r="401" spans="1:5" x14ac:dyDescent="0.2">
      <c r="A401" s="74"/>
      <c r="B401" s="225"/>
      <c r="C401" s="226"/>
      <c r="D401" s="227"/>
      <c r="E401" s="74"/>
    </row>
    <row r="402" spans="1:5" x14ac:dyDescent="0.2">
      <c r="A402" s="74"/>
      <c r="B402" s="225"/>
      <c r="C402" s="226"/>
      <c r="D402" s="227"/>
      <c r="E402" s="74"/>
    </row>
    <row r="403" spans="1:5" x14ac:dyDescent="0.2">
      <c r="A403" s="74"/>
      <c r="B403" s="225"/>
      <c r="C403" s="226"/>
      <c r="D403" s="227"/>
      <c r="E403" s="74"/>
    </row>
    <row r="404" spans="1:5" x14ac:dyDescent="0.2">
      <c r="A404" s="74"/>
      <c r="B404" s="225"/>
      <c r="C404" s="226"/>
      <c r="D404" s="227"/>
      <c r="E404" s="74"/>
    </row>
    <row r="405" spans="1:5" x14ac:dyDescent="0.2">
      <c r="A405" s="74"/>
      <c r="B405" s="225"/>
      <c r="C405" s="226"/>
      <c r="D405" s="227"/>
      <c r="E405" s="74"/>
    </row>
    <row r="406" spans="1:5" x14ac:dyDescent="0.2">
      <c r="A406" s="74"/>
      <c r="B406" s="225"/>
      <c r="C406" s="226"/>
      <c r="D406" s="227"/>
      <c r="E406" s="74"/>
    </row>
    <row r="407" spans="1:5" x14ac:dyDescent="0.2">
      <c r="A407" s="74"/>
      <c r="B407" s="225"/>
      <c r="C407" s="226"/>
      <c r="D407" s="227"/>
      <c r="E407" s="74"/>
    </row>
    <row r="408" spans="1:5" x14ac:dyDescent="0.2">
      <c r="A408" s="74"/>
      <c r="B408" s="225"/>
      <c r="C408" s="226"/>
      <c r="D408" s="227"/>
      <c r="E408" s="74"/>
    </row>
    <row r="409" spans="1:5" x14ac:dyDescent="0.2">
      <c r="A409" s="74"/>
      <c r="B409" s="225"/>
      <c r="C409" s="226"/>
      <c r="D409" s="227"/>
      <c r="E409" s="74"/>
    </row>
    <row r="410" spans="1:5" x14ac:dyDescent="0.2">
      <c r="A410" s="74"/>
      <c r="B410" s="225"/>
      <c r="C410" s="226"/>
      <c r="D410" s="227"/>
      <c r="E410" s="74"/>
    </row>
    <row r="411" spans="1:5" x14ac:dyDescent="0.2">
      <c r="A411" s="74"/>
      <c r="B411" s="225"/>
      <c r="C411" s="226"/>
      <c r="D411" s="227"/>
      <c r="E411" s="74"/>
    </row>
    <row r="412" spans="1:5" x14ac:dyDescent="0.2">
      <c r="A412" s="74"/>
      <c r="B412" s="225"/>
      <c r="C412" s="226"/>
      <c r="D412" s="227"/>
      <c r="E412" s="74"/>
    </row>
    <row r="413" spans="1:5" x14ac:dyDescent="0.2">
      <c r="A413" s="74"/>
      <c r="B413" s="225"/>
      <c r="C413" s="226"/>
      <c r="D413" s="227"/>
      <c r="E413" s="74"/>
    </row>
    <row r="414" spans="1:5" x14ac:dyDescent="0.2">
      <c r="A414" s="74"/>
      <c r="B414" s="225"/>
      <c r="C414" s="226"/>
      <c r="D414" s="227"/>
      <c r="E414" s="74"/>
    </row>
    <row r="415" spans="1:5" x14ac:dyDescent="0.2">
      <c r="A415" s="74"/>
      <c r="B415" s="225"/>
      <c r="C415" s="226"/>
      <c r="D415" s="227"/>
      <c r="E415" s="74"/>
    </row>
    <row r="416" spans="1:5" x14ac:dyDescent="0.2">
      <c r="A416" s="74"/>
      <c r="B416" s="225"/>
      <c r="C416" s="226"/>
      <c r="D416" s="227"/>
      <c r="E416" s="74"/>
    </row>
    <row r="417" spans="1:5" x14ac:dyDescent="0.2">
      <c r="A417" s="74"/>
      <c r="B417" s="225"/>
      <c r="C417" s="226"/>
      <c r="D417" s="227"/>
      <c r="E417" s="74"/>
    </row>
    <row r="418" spans="1:5" x14ac:dyDescent="0.2">
      <c r="A418" s="74"/>
      <c r="B418" s="225"/>
      <c r="C418" s="226"/>
      <c r="D418" s="227"/>
      <c r="E418" s="74"/>
    </row>
    <row r="419" spans="1:5" x14ac:dyDescent="0.2">
      <c r="A419" s="74"/>
      <c r="B419" s="225"/>
      <c r="C419" s="226"/>
      <c r="D419" s="227"/>
      <c r="E419" s="74"/>
    </row>
    <row r="420" spans="1:5" x14ac:dyDescent="0.2">
      <c r="A420" s="74"/>
      <c r="B420" s="225"/>
      <c r="C420" s="226"/>
      <c r="D420" s="227"/>
      <c r="E420" s="74"/>
    </row>
    <row r="421" spans="1:5" x14ac:dyDescent="0.2">
      <c r="A421" s="74"/>
      <c r="B421" s="225"/>
      <c r="C421" s="226"/>
      <c r="D421" s="227"/>
      <c r="E421" s="74"/>
    </row>
    <row r="422" spans="1:5" x14ac:dyDescent="0.2">
      <c r="A422" s="74"/>
      <c r="B422" s="225"/>
      <c r="C422" s="226"/>
      <c r="D422" s="227"/>
      <c r="E422" s="74"/>
    </row>
    <row r="423" spans="1:5" x14ac:dyDescent="0.2">
      <c r="A423" s="74"/>
      <c r="B423" s="225"/>
      <c r="C423" s="226"/>
      <c r="D423" s="227"/>
      <c r="E423" s="74"/>
    </row>
    <row r="424" spans="1:5" x14ac:dyDescent="0.2">
      <c r="A424" s="74"/>
      <c r="B424" s="225"/>
      <c r="C424" s="226"/>
      <c r="D424" s="227"/>
      <c r="E424" s="74"/>
    </row>
    <row r="425" spans="1:5" x14ac:dyDescent="0.2">
      <c r="A425" s="74"/>
      <c r="B425" s="225"/>
      <c r="C425" s="226"/>
      <c r="D425" s="227"/>
      <c r="E425" s="74"/>
    </row>
    <row r="426" spans="1:5" x14ac:dyDescent="0.2">
      <c r="A426" s="74"/>
      <c r="B426" s="225"/>
      <c r="C426" s="226"/>
      <c r="D426" s="227"/>
      <c r="E426" s="74"/>
    </row>
    <row r="427" spans="1:5" x14ac:dyDescent="0.2">
      <c r="A427" s="74"/>
      <c r="B427" s="225"/>
      <c r="C427" s="226"/>
      <c r="D427" s="227"/>
      <c r="E427" s="74"/>
    </row>
    <row r="428" spans="1:5" x14ac:dyDescent="0.2">
      <c r="A428" s="74"/>
      <c r="B428" s="225"/>
      <c r="C428" s="226"/>
      <c r="D428" s="227"/>
      <c r="E428" s="74"/>
    </row>
    <row r="429" spans="1:5" x14ac:dyDescent="0.2">
      <c r="A429" s="74"/>
      <c r="B429" s="225"/>
      <c r="C429" s="226"/>
      <c r="D429" s="227"/>
      <c r="E429" s="74"/>
    </row>
    <row r="430" spans="1:5" x14ac:dyDescent="0.2">
      <c r="A430" s="74"/>
      <c r="B430" s="225"/>
      <c r="C430" s="226"/>
      <c r="D430" s="227"/>
      <c r="E430" s="74"/>
    </row>
    <row r="431" spans="1:5" x14ac:dyDescent="0.2">
      <c r="A431" s="74"/>
      <c r="B431" s="225"/>
      <c r="C431" s="226"/>
      <c r="D431" s="227"/>
      <c r="E431" s="74"/>
    </row>
    <row r="432" spans="1:5" x14ac:dyDescent="0.2">
      <c r="A432" s="74"/>
      <c r="B432" s="225"/>
      <c r="C432" s="226"/>
      <c r="D432" s="227"/>
      <c r="E432" s="74"/>
    </row>
    <row r="433" spans="1:5" x14ac:dyDescent="0.2">
      <c r="A433" s="74"/>
      <c r="B433" s="225"/>
      <c r="C433" s="226"/>
      <c r="D433" s="227"/>
      <c r="E433" s="74"/>
    </row>
    <row r="434" spans="1:5" x14ac:dyDescent="0.2">
      <c r="A434" s="74"/>
      <c r="B434" s="225"/>
      <c r="C434" s="226"/>
      <c r="D434" s="227"/>
      <c r="E434" s="74"/>
    </row>
    <row r="435" spans="1:5" x14ac:dyDescent="0.2">
      <c r="A435" s="74"/>
      <c r="B435" s="225"/>
      <c r="C435" s="226"/>
      <c r="D435" s="227"/>
      <c r="E435" s="74"/>
    </row>
    <row r="436" spans="1:5" x14ac:dyDescent="0.2">
      <c r="A436" s="74"/>
      <c r="B436" s="225"/>
      <c r="C436" s="226"/>
      <c r="D436" s="227"/>
      <c r="E436" s="74"/>
    </row>
    <row r="437" spans="1:5" x14ac:dyDescent="0.2">
      <c r="A437" s="74"/>
      <c r="B437" s="225"/>
      <c r="C437" s="226"/>
      <c r="D437" s="227"/>
      <c r="E437" s="74"/>
    </row>
    <row r="438" spans="1:5" x14ac:dyDescent="0.2">
      <c r="A438" s="74"/>
      <c r="B438" s="225"/>
      <c r="C438" s="226"/>
      <c r="D438" s="227"/>
      <c r="E438" s="74"/>
    </row>
    <row r="439" spans="1:5" x14ac:dyDescent="0.2">
      <c r="A439" s="74"/>
      <c r="B439" s="225"/>
      <c r="C439" s="226"/>
      <c r="D439" s="227"/>
      <c r="E439" s="74"/>
    </row>
    <row r="440" spans="1:5" x14ac:dyDescent="0.2">
      <c r="A440" s="74"/>
      <c r="B440" s="225"/>
      <c r="C440" s="226"/>
      <c r="D440" s="227"/>
      <c r="E440" s="74"/>
    </row>
    <row r="441" spans="1:5" x14ac:dyDescent="0.2">
      <c r="A441" s="74"/>
      <c r="B441" s="225"/>
      <c r="C441" s="226"/>
      <c r="D441" s="227"/>
      <c r="E441" s="74"/>
    </row>
    <row r="442" spans="1:5" x14ac:dyDescent="0.2">
      <c r="A442" s="74"/>
      <c r="B442" s="225"/>
      <c r="C442" s="226"/>
      <c r="D442" s="227"/>
      <c r="E442" s="74"/>
    </row>
    <row r="443" spans="1:5" x14ac:dyDescent="0.2">
      <c r="A443" s="74"/>
      <c r="B443" s="225"/>
      <c r="C443" s="226"/>
      <c r="D443" s="227"/>
      <c r="E443" s="74"/>
    </row>
    <row r="444" spans="1:5" x14ac:dyDescent="0.2">
      <c r="A444" s="74"/>
      <c r="B444" s="225"/>
      <c r="C444" s="226"/>
      <c r="D444" s="227"/>
      <c r="E444" s="74"/>
    </row>
    <row r="445" spans="1:5" x14ac:dyDescent="0.2">
      <c r="A445" s="74"/>
      <c r="B445" s="225"/>
      <c r="C445" s="226"/>
      <c r="D445" s="227"/>
      <c r="E445" s="74"/>
    </row>
    <row r="446" spans="1:5" x14ac:dyDescent="0.2">
      <c r="A446" s="74"/>
      <c r="B446" s="225"/>
      <c r="C446" s="226"/>
      <c r="D446" s="227"/>
      <c r="E446" s="74"/>
    </row>
    <row r="447" spans="1:5" x14ac:dyDescent="0.2">
      <c r="A447" s="74"/>
      <c r="B447" s="225"/>
      <c r="C447" s="226"/>
      <c r="D447" s="227"/>
      <c r="E447" s="74"/>
    </row>
    <row r="448" spans="1:5" x14ac:dyDescent="0.2">
      <c r="A448" s="74"/>
      <c r="B448" s="225"/>
      <c r="C448" s="226"/>
      <c r="D448" s="227"/>
      <c r="E448" s="74"/>
    </row>
    <row r="449" spans="1:5" x14ac:dyDescent="0.2">
      <c r="A449" s="74"/>
      <c r="B449" s="225"/>
      <c r="C449" s="226"/>
      <c r="D449" s="227"/>
      <c r="E449" s="74"/>
    </row>
    <row r="450" spans="1:5" x14ac:dyDescent="0.2">
      <c r="A450" s="74"/>
      <c r="B450" s="225"/>
      <c r="C450" s="226"/>
      <c r="D450" s="227"/>
      <c r="E450" s="74"/>
    </row>
    <row r="451" spans="1:5" x14ac:dyDescent="0.2">
      <c r="A451" s="74"/>
      <c r="B451" s="225"/>
      <c r="C451" s="226"/>
      <c r="D451" s="227"/>
      <c r="E451" s="74"/>
    </row>
    <row r="452" spans="1:5" x14ac:dyDescent="0.2">
      <c r="A452" s="74"/>
      <c r="B452" s="225"/>
      <c r="C452" s="226"/>
      <c r="D452" s="227"/>
      <c r="E452" s="74"/>
    </row>
    <row r="453" spans="1:5" x14ac:dyDescent="0.2">
      <c r="A453" s="74"/>
      <c r="B453" s="225"/>
      <c r="C453" s="226"/>
      <c r="D453" s="227"/>
      <c r="E453" s="74"/>
    </row>
    <row r="454" spans="1:5" x14ac:dyDescent="0.2">
      <c r="A454" s="74"/>
      <c r="B454" s="225"/>
      <c r="C454" s="226"/>
      <c r="D454" s="227"/>
      <c r="E454" s="74"/>
    </row>
    <row r="455" spans="1:5" x14ac:dyDescent="0.2">
      <c r="A455" s="74"/>
      <c r="B455" s="225"/>
      <c r="C455" s="226"/>
      <c r="D455" s="227"/>
      <c r="E455" s="74"/>
    </row>
    <row r="456" spans="1:5" x14ac:dyDescent="0.2">
      <c r="A456" s="74"/>
      <c r="B456" s="225"/>
      <c r="C456" s="226"/>
      <c r="D456" s="227"/>
      <c r="E456" s="74"/>
    </row>
    <row r="457" spans="1:5" x14ac:dyDescent="0.2">
      <c r="A457" s="74"/>
      <c r="B457" s="225"/>
      <c r="C457" s="226"/>
      <c r="D457" s="227"/>
      <c r="E457" s="74"/>
    </row>
    <row r="458" spans="1:5" x14ac:dyDescent="0.2">
      <c r="A458" s="74"/>
      <c r="B458" s="225"/>
      <c r="C458" s="226"/>
      <c r="D458" s="227"/>
      <c r="E458" s="74"/>
    </row>
    <row r="459" spans="1:5" x14ac:dyDescent="0.2">
      <c r="A459" s="74"/>
      <c r="B459" s="225"/>
      <c r="C459" s="226"/>
      <c r="D459" s="227"/>
      <c r="E459" s="74"/>
    </row>
    <row r="460" spans="1:5" x14ac:dyDescent="0.2">
      <c r="A460" s="74"/>
      <c r="B460" s="225"/>
      <c r="C460" s="226"/>
      <c r="D460" s="227"/>
      <c r="E460" s="74"/>
    </row>
    <row r="461" spans="1:5" x14ac:dyDescent="0.2">
      <c r="A461" s="74"/>
      <c r="B461" s="225"/>
      <c r="C461" s="226"/>
      <c r="D461" s="227"/>
      <c r="E461" s="74"/>
    </row>
    <row r="462" spans="1:5" x14ac:dyDescent="0.2">
      <c r="A462" s="74"/>
      <c r="B462" s="225"/>
      <c r="C462" s="226"/>
      <c r="D462" s="227"/>
      <c r="E462" s="74"/>
    </row>
    <row r="463" spans="1:5" x14ac:dyDescent="0.2">
      <c r="A463" s="74"/>
      <c r="B463" s="225"/>
      <c r="C463" s="226"/>
      <c r="D463" s="227"/>
      <c r="E463" s="74"/>
    </row>
    <row r="464" spans="1:5" x14ac:dyDescent="0.2">
      <c r="A464" s="74"/>
      <c r="B464" s="225"/>
      <c r="C464" s="226"/>
      <c r="D464" s="227"/>
      <c r="E464" s="74"/>
    </row>
    <row r="465" spans="1:5" x14ac:dyDescent="0.2">
      <c r="A465" s="74"/>
      <c r="B465" s="225"/>
      <c r="C465" s="226"/>
      <c r="D465" s="227"/>
      <c r="E465" s="74"/>
    </row>
    <row r="466" spans="1:5" x14ac:dyDescent="0.2">
      <c r="A466" s="74"/>
      <c r="B466" s="225"/>
      <c r="C466" s="226"/>
      <c r="D466" s="227"/>
      <c r="E466" s="74"/>
    </row>
    <row r="467" spans="1:5" x14ac:dyDescent="0.2">
      <c r="A467" s="74"/>
      <c r="B467" s="225"/>
      <c r="C467" s="226"/>
      <c r="D467" s="227"/>
      <c r="E467" s="74"/>
    </row>
    <row r="468" spans="1:5" x14ac:dyDescent="0.2">
      <c r="A468" s="74"/>
      <c r="B468" s="225"/>
      <c r="C468" s="226"/>
      <c r="D468" s="227"/>
      <c r="E468" s="74"/>
    </row>
    <row r="469" spans="1:5" x14ac:dyDescent="0.2">
      <c r="A469" s="74"/>
      <c r="B469" s="225"/>
      <c r="C469" s="226"/>
      <c r="D469" s="227"/>
      <c r="E469" s="74"/>
    </row>
    <row r="470" spans="1:5" x14ac:dyDescent="0.2">
      <c r="A470" s="74"/>
      <c r="B470" s="225"/>
      <c r="C470" s="226"/>
      <c r="D470" s="227"/>
      <c r="E470" s="74"/>
    </row>
    <row r="471" spans="1:5" x14ac:dyDescent="0.2">
      <c r="A471" s="74"/>
      <c r="B471" s="225"/>
      <c r="C471" s="226"/>
      <c r="D471" s="227"/>
      <c r="E471" s="74"/>
    </row>
    <row r="472" spans="1:5" x14ac:dyDescent="0.2">
      <c r="A472" s="74"/>
      <c r="B472" s="225"/>
      <c r="C472" s="226"/>
      <c r="D472" s="227"/>
      <c r="E472" s="74"/>
    </row>
    <row r="473" spans="1:5" x14ac:dyDescent="0.2">
      <c r="A473" s="74"/>
      <c r="B473" s="225"/>
      <c r="C473" s="226"/>
      <c r="D473" s="227"/>
      <c r="E473" s="74"/>
    </row>
    <row r="474" spans="1:5" x14ac:dyDescent="0.2">
      <c r="A474" s="74"/>
      <c r="B474" s="225"/>
      <c r="C474" s="226"/>
      <c r="D474" s="227"/>
      <c r="E474" s="74"/>
    </row>
    <row r="475" spans="1:5" x14ac:dyDescent="0.2">
      <c r="A475" s="74"/>
      <c r="B475" s="225"/>
      <c r="C475" s="226"/>
      <c r="D475" s="227"/>
      <c r="E475" s="74"/>
    </row>
    <row r="476" spans="1:5" x14ac:dyDescent="0.2">
      <c r="A476" s="74"/>
      <c r="B476" s="225"/>
      <c r="C476" s="226"/>
      <c r="D476" s="227"/>
      <c r="E476" s="74"/>
    </row>
    <row r="477" spans="1:5" x14ac:dyDescent="0.2">
      <c r="A477" s="74"/>
      <c r="B477" s="225"/>
      <c r="C477" s="226"/>
      <c r="D477" s="227"/>
      <c r="E477" s="74"/>
    </row>
    <row r="478" spans="1:5" x14ac:dyDescent="0.2">
      <c r="A478" s="74"/>
      <c r="B478" s="225"/>
      <c r="C478" s="226"/>
      <c r="D478" s="227"/>
      <c r="E478" s="74"/>
    </row>
    <row r="479" spans="1:5" x14ac:dyDescent="0.2">
      <c r="A479" s="74"/>
      <c r="B479" s="225"/>
      <c r="C479" s="226"/>
      <c r="D479" s="227"/>
      <c r="E479" s="74"/>
    </row>
    <row r="480" spans="1:5" x14ac:dyDescent="0.2">
      <c r="A480" s="74"/>
      <c r="B480" s="225"/>
      <c r="C480" s="226"/>
      <c r="D480" s="227"/>
      <c r="E480" s="74"/>
    </row>
    <row r="481" spans="1:5" x14ac:dyDescent="0.2">
      <c r="A481" s="74"/>
      <c r="B481" s="225"/>
      <c r="C481" s="226"/>
      <c r="D481" s="227"/>
      <c r="E481" s="74"/>
    </row>
    <row r="482" spans="1:5" x14ac:dyDescent="0.2">
      <c r="A482" s="74"/>
      <c r="B482" s="225"/>
      <c r="C482" s="226"/>
      <c r="D482" s="227"/>
      <c r="E482" s="74"/>
    </row>
    <row r="483" spans="1:5" x14ac:dyDescent="0.2">
      <c r="A483" s="74"/>
      <c r="B483" s="225"/>
      <c r="C483" s="226"/>
      <c r="D483" s="227"/>
      <c r="E483" s="74"/>
    </row>
    <row r="484" spans="1:5" x14ac:dyDescent="0.2">
      <c r="A484" s="74"/>
      <c r="B484" s="225"/>
      <c r="C484" s="226"/>
      <c r="D484" s="227"/>
      <c r="E484" s="74"/>
    </row>
    <row r="485" spans="1:5" x14ac:dyDescent="0.2">
      <c r="A485" s="74"/>
      <c r="B485" s="225"/>
      <c r="C485" s="226"/>
      <c r="D485" s="227"/>
      <c r="E485" s="74"/>
    </row>
    <row r="486" spans="1:5" x14ac:dyDescent="0.2">
      <c r="A486" s="74"/>
      <c r="B486" s="225"/>
      <c r="C486" s="226"/>
      <c r="D486" s="227"/>
      <c r="E486" s="74"/>
    </row>
    <row r="487" spans="1:5" x14ac:dyDescent="0.2">
      <c r="A487" s="74"/>
      <c r="B487" s="225"/>
      <c r="C487" s="226"/>
      <c r="D487" s="227"/>
      <c r="E487" s="74"/>
    </row>
    <row r="488" spans="1:5" x14ac:dyDescent="0.2">
      <c r="A488" s="74"/>
      <c r="B488" s="225"/>
      <c r="C488" s="226"/>
      <c r="D488" s="227"/>
      <c r="E488" s="74"/>
    </row>
    <row r="489" spans="1:5" x14ac:dyDescent="0.2">
      <c r="A489" s="74"/>
      <c r="B489" s="225"/>
      <c r="C489" s="226"/>
      <c r="D489" s="227"/>
      <c r="E489" s="74"/>
    </row>
    <row r="490" spans="1:5" x14ac:dyDescent="0.2">
      <c r="A490" s="74"/>
      <c r="B490" s="225"/>
      <c r="C490" s="226"/>
      <c r="D490" s="227"/>
      <c r="E490" s="74"/>
    </row>
    <row r="491" spans="1:5" x14ac:dyDescent="0.2">
      <c r="A491" s="74"/>
      <c r="B491" s="225"/>
      <c r="C491" s="226"/>
      <c r="D491" s="227"/>
      <c r="E491" s="74"/>
    </row>
    <row r="492" spans="1:5" x14ac:dyDescent="0.2">
      <c r="A492" s="74"/>
      <c r="B492" s="225"/>
      <c r="C492" s="226"/>
      <c r="D492" s="227"/>
      <c r="E492" s="74"/>
    </row>
    <row r="493" spans="1:5" x14ac:dyDescent="0.2">
      <c r="A493" s="74"/>
      <c r="B493" s="225"/>
      <c r="C493" s="226"/>
      <c r="D493" s="227"/>
      <c r="E493" s="74"/>
    </row>
    <row r="494" spans="1:5" x14ac:dyDescent="0.2">
      <c r="A494" s="74"/>
      <c r="B494" s="225"/>
      <c r="C494" s="226"/>
      <c r="D494" s="227"/>
      <c r="E494" s="74"/>
    </row>
    <row r="495" spans="1:5" x14ac:dyDescent="0.2">
      <c r="A495" s="74"/>
      <c r="B495" s="225"/>
      <c r="C495" s="226"/>
      <c r="D495" s="227"/>
      <c r="E495" s="74"/>
    </row>
    <row r="496" spans="1:5" x14ac:dyDescent="0.2">
      <c r="A496" s="74"/>
      <c r="B496" s="225"/>
      <c r="C496" s="226"/>
      <c r="D496" s="227"/>
      <c r="E496" s="74"/>
    </row>
    <row r="497" spans="1:5" x14ac:dyDescent="0.2">
      <c r="A497" s="74"/>
      <c r="B497" s="225"/>
      <c r="C497" s="226"/>
      <c r="D497" s="227"/>
      <c r="E497" s="74"/>
    </row>
    <row r="498" spans="1:5" x14ac:dyDescent="0.2">
      <c r="A498" s="74"/>
      <c r="B498" s="225"/>
      <c r="C498" s="226"/>
      <c r="D498" s="227"/>
      <c r="E498" s="74"/>
    </row>
    <row r="499" spans="1:5" x14ac:dyDescent="0.2">
      <c r="A499" s="74"/>
      <c r="B499" s="225"/>
      <c r="C499" s="226"/>
      <c r="D499" s="227"/>
      <c r="E499" s="74"/>
    </row>
    <row r="500" spans="1:5" x14ac:dyDescent="0.2">
      <c r="A500" s="74"/>
      <c r="B500" s="225"/>
      <c r="C500" s="226"/>
      <c r="D500" s="227"/>
      <c r="E500" s="74"/>
    </row>
    <row r="501" spans="1:5" x14ac:dyDescent="0.2">
      <c r="A501" s="74"/>
      <c r="B501" s="225"/>
      <c r="C501" s="226"/>
      <c r="D501" s="227"/>
      <c r="E501" s="74"/>
    </row>
    <row r="502" spans="1:5" x14ac:dyDescent="0.2">
      <c r="A502" s="74"/>
      <c r="B502" s="225"/>
      <c r="C502" s="226"/>
      <c r="D502" s="227"/>
      <c r="E502" s="74"/>
    </row>
    <row r="503" spans="1:5" x14ac:dyDescent="0.2">
      <c r="A503" s="74"/>
      <c r="B503" s="225"/>
      <c r="C503" s="226"/>
      <c r="D503" s="227"/>
      <c r="E503" s="74"/>
    </row>
    <row r="504" spans="1:5" x14ac:dyDescent="0.2">
      <c r="A504" s="74"/>
      <c r="B504" s="225"/>
      <c r="C504" s="226"/>
      <c r="D504" s="227"/>
      <c r="E504" s="74"/>
    </row>
    <row r="505" spans="1:5" x14ac:dyDescent="0.2">
      <c r="A505" s="74"/>
      <c r="B505" s="225"/>
      <c r="C505" s="226"/>
      <c r="D505" s="227"/>
      <c r="E505" s="74"/>
    </row>
    <row r="506" spans="1:5" x14ac:dyDescent="0.2">
      <c r="A506" s="74"/>
      <c r="B506" s="225"/>
      <c r="C506" s="226"/>
      <c r="D506" s="227"/>
      <c r="E506" s="74"/>
    </row>
    <row r="507" spans="1:5" x14ac:dyDescent="0.2">
      <c r="A507" s="74"/>
      <c r="B507" s="225"/>
      <c r="C507" s="226"/>
      <c r="D507" s="227"/>
      <c r="E507" s="74"/>
    </row>
    <row r="508" spans="1:5" x14ac:dyDescent="0.2">
      <c r="A508" s="74"/>
      <c r="B508" s="225"/>
      <c r="C508" s="226"/>
      <c r="D508" s="227"/>
      <c r="E508" s="74"/>
    </row>
    <row r="509" spans="1:5" x14ac:dyDescent="0.2">
      <c r="A509" s="74"/>
      <c r="B509" s="225"/>
      <c r="C509" s="226"/>
      <c r="D509" s="227"/>
      <c r="E509" s="74"/>
    </row>
    <row r="510" spans="1:5" x14ac:dyDescent="0.2">
      <c r="A510" s="74"/>
      <c r="B510" s="225"/>
      <c r="C510" s="226"/>
      <c r="D510" s="227"/>
      <c r="E510" s="74"/>
    </row>
    <row r="511" spans="1:5" x14ac:dyDescent="0.2">
      <c r="A511" s="74"/>
      <c r="B511" s="225"/>
      <c r="C511" s="226"/>
      <c r="D511" s="227"/>
      <c r="E511" s="74"/>
    </row>
    <row r="512" spans="1:5" x14ac:dyDescent="0.2">
      <c r="A512" s="74"/>
      <c r="B512" s="225"/>
      <c r="C512" s="226"/>
      <c r="D512" s="227"/>
      <c r="E512" s="74"/>
    </row>
    <row r="513" spans="1:5" x14ac:dyDescent="0.2">
      <c r="A513" s="74"/>
      <c r="B513" s="225"/>
      <c r="C513" s="226"/>
      <c r="D513" s="227"/>
      <c r="E513" s="74"/>
    </row>
    <row r="514" spans="1:5" x14ac:dyDescent="0.2">
      <c r="A514" s="74"/>
      <c r="B514" s="225"/>
      <c r="C514" s="226"/>
      <c r="D514" s="227"/>
      <c r="E514" s="74"/>
    </row>
    <row r="515" spans="1:5" x14ac:dyDescent="0.2">
      <c r="A515" s="74"/>
      <c r="B515" s="225"/>
      <c r="C515" s="226"/>
      <c r="D515" s="227"/>
      <c r="E515" s="74"/>
    </row>
    <row r="516" spans="1:5" x14ac:dyDescent="0.2">
      <c r="A516" s="74"/>
      <c r="B516" s="225"/>
      <c r="C516" s="226"/>
      <c r="D516" s="227"/>
      <c r="E516" s="74"/>
    </row>
    <row r="517" spans="1:5" x14ac:dyDescent="0.2">
      <c r="A517" s="74"/>
      <c r="B517" s="225"/>
      <c r="C517" s="226"/>
      <c r="D517" s="227"/>
      <c r="E517" s="74"/>
    </row>
    <row r="518" spans="1:5" x14ac:dyDescent="0.2">
      <c r="A518" s="74"/>
      <c r="B518" s="225"/>
      <c r="C518" s="226"/>
      <c r="D518" s="227"/>
      <c r="E518" s="74"/>
    </row>
    <row r="519" spans="1:5" x14ac:dyDescent="0.2">
      <c r="A519" s="74"/>
      <c r="B519" s="225"/>
      <c r="C519" s="226"/>
      <c r="D519" s="227"/>
      <c r="E519" s="74"/>
    </row>
    <row r="520" spans="1:5" x14ac:dyDescent="0.2">
      <c r="A520" s="74"/>
      <c r="B520" s="225"/>
      <c r="C520" s="226"/>
      <c r="D520" s="227"/>
      <c r="E520" s="74"/>
    </row>
    <row r="521" spans="1:5" x14ac:dyDescent="0.2">
      <c r="A521" s="74"/>
      <c r="B521" s="225"/>
      <c r="C521" s="226"/>
      <c r="D521" s="227"/>
      <c r="E521" s="74"/>
    </row>
    <row r="522" spans="1:5" x14ac:dyDescent="0.2">
      <c r="A522" s="74"/>
      <c r="B522" s="225"/>
      <c r="C522" s="226"/>
      <c r="D522" s="227"/>
      <c r="E522" s="74"/>
    </row>
    <row r="523" spans="1:5" x14ac:dyDescent="0.2">
      <c r="A523" s="74"/>
      <c r="B523" s="225"/>
      <c r="C523" s="226"/>
      <c r="D523" s="227"/>
      <c r="E523" s="74"/>
    </row>
    <row r="524" spans="1:5" x14ac:dyDescent="0.2">
      <c r="A524" s="74"/>
      <c r="B524" s="225"/>
      <c r="C524" s="226"/>
      <c r="D524" s="227"/>
      <c r="E524" s="74"/>
    </row>
    <row r="525" spans="1:5" x14ac:dyDescent="0.2">
      <c r="A525" s="74"/>
      <c r="B525" s="225"/>
      <c r="C525" s="226"/>
      <c r="D525" s="227"/>
      <c r="E525" s="74"/>
    </row>
    <row r="526" spans="1:5" x14ac:dyDescent="0.2">
      <c r="A526" s="74"/>
      <c r="B526" s="225"/>
      <c r="C526" s="226"/>
      <c r="D526" s="227"/>
      <c r="E526" s="74"/>
    </row>
    <row r="527" spans="1:5" x14ac:dyDescent="0.2">
      <c r="A527" s="74"/>
      <c r="B527" s="225"/>
      <c r="C527" s="226"/>
      <c r="D527" s="227"/>
      <c r="E527" s="74"/>
    </row>
    <row r="528" spans="1:5" x14ac:dyDescent="0.2">
      <c r="A528" s="74"/>
      <c r="B528" s="225"/>
      <c r="C528" s="226"/>
      <c r="D528" s="227"/>
      <c r="E528" s="74"/>
    </row>
    <row r="529" spans="1:5" x14ac:dyDescent="0.2">
      <c r="A529" s="74"/>
      <c r="B529" s="225"/>
      <c r="C529" s="226"/>
      <c r="D529" s="227"/>
      <c r="E529" s="74"/>
    </row>
    <row r="530" spans="1:5" x14ac:dyDescent="0.2">
      <c r="A530" s="74"/>
      <c r="B530" s="225"/>
      <c r="C530" s="226"/>
      <c r="D530" s="227"/>
      <c r="E530" s="74"/>
    </row>
    <row r="531" spans="1:5" x14ac:dyDescent="0.2">
      <c r="A531" s="74"/>
      <c r="B531" s="225"/>
      <c r="C531" s="226"/>
      <c r="D531" s="227"/>
      <c r="E531" s="74"/>
    </row>
    <row r="532" spans="1:5" x14ac:dyDescent="0.2">
      <c r="A532" s="74"/>
      <c r="B532" s="225"/>
      <c r="C532" s="226"/>
      <c r="D532" s="227"/>
      <c r="E532" s="74"/>
    </row>
    <row r="533" spans="1:5" x14ac:dyDescent="0.2">
      <c r="A533" s="74"/>
      <c r="B533" s="225"/>
      <c r="C533" s="226"/>
      <c r="D533" s="227"/>
      <c r="E533" s="74"/>
    </row>
    <row r="534" spans="1:5" x14ac:dyDescent="0.2">
      <c r="A534" s="74"/>
      <c r="B534" s="225"/>
      <c r="C534" s="226"/>
      <c r="D534" s="227"/>
      <c r="E534" s="74"/>
    </row>
    <row r="535" spans="1:5" x14ac:dyDescent="0.2">
      <c r="A535" s="74"/>
      <c r="B535" s="225"/>
      <c r="C535" s="226"/>
      <c r="D535" s="227"/>
      <c r="E535" s="74"/>
    </row>
    <row r="536" spans="1:5" x14ac:dyDescent="0.2">
      <c r="A536" s="74"/>
      <c r="B536" s="225"/>
      <c r="C536" s="226"/>
      <c r="D536" s="227"/>
      <c r="E536" s="74"/>
    </row>
    <row r="537" spans="1:5" x14ac:dyDescent="0.2">
      <c r="A537" s="74"/>
      <c r="B537" s="225"/>
      <c r="C537" s="226"/>
      <c r="D537" s="227"/>
      <c r="E537" s="74"/>
    </row>
    <row r="538" spans="1:5" x14ac:dyDescent="0.2">
      <c r="A538" s="74"/>
      <c r="B538" s="225"/>
      <c r="C538" s="226"/>
      <c r="D538" s="227"/>
      <c r="E538" s="74"/>
    </row>
    <row r="539" spans="1:5" x14ac:dyDescent="0.2">
      <c r="A539" s="74"/>
      <c r="B539" s="225"/>
      <c r="C539" s="226"/>
      <c r="D539" s="227"/>
      <c r="E539" s="74"/>
    </row>
    <row r="540" spans="1:5" x14ac:dyDescent="0.2">
      <c r="A540" s="74"/>
      <c r="B540" s="225"/>
      <c r="C540" s="226"/>
      <c r="D540" s="227"/>
      <c r="E540" s="74"/>
    </row>
    <row r="541" spans="1:5" x14ac:dyDescent="0.2">
      <c r="A541" s="74"/>
      <c r="B541" s="225"/>
      <c r="C541" s="226"/>
      <c r="D541" s="227"/>
      <c r="E541" s="74"/>
    </row>
    <row r="542" spans="1:5" x14ac:dyDescent="0.2">
      <c r="A542" s="74"/>
      <c r="B542" s="225"/>
      <c r="C542" s="226"/>
      <c r="D542" s="227"/>
      <c r="E542" s="74"/>
    </row>
    <row r="543" spans="1:5" x14ac:dyDescent="0.2">
      <c r="A543" s="74"/>
      <c r="B543" s="225"/>
      <c r="C543" s="226"/>
      <c r="D543" s="227"/>
      <c r="E543" s="74"/>
    </row>
    <row r="544" spans="1:5" x14ac:dyDescent="0.2">
      <c r="A544" s="74"/>
      <c r="B544" s="225"/>
      <c r="C544" s="226"/>
      <c r="D544" s="227"/>
      <c r="E544" s="74"/>
    </row>
    <row r="545" spans="1:5" x14ac:dyDescent="0.2">
      <c r="A545" s="74"/>
      <c r="B545" s="225"/>
      <c r="C545" s="226"/>
      <c r="D545" s="227"/>
      <c r="E545" s="74"/>
    </row>
    <row r="546" spans="1:5" x14ac:dyDescent="0.2">
      <c r="A546" s="74"/>
      <c r="B546" s="225"/>
      <c r="C546" s="226"/>
      <c r="D546" s="227"/>
      <c r="E546" s="74"/>
    </row>
    <row r="547" spans="1:5" x14ac:dyDescent="0.2">
      <c r="A547" s="74"/>
      <c r="B547" s="225"/>
      <c r="C547" s="226"/>
      <c r="D547" s="227"/>
      <c r="E547" s="74"/>
    </row>
    <row r="548" spans="1:5" x14ac:dyDescent="0.2">
      <c r="A548" s="74"/>
      <c r="B548" s="225"/>
      <c r="C548" s="226"/>
      <c r="D548" s="227"/>
      <c r="E548" s="74"/>
    </row>
    <row r="549" spans="1:5" x14ac:dyDescent="0.2">
      <c r="A549" s="74"/>
      <c r="B549" s="225"/>
      <c r="C549" s="226"/>
      <c r="D549" s="227"/>
      <c r="E549" s="74"/>
    </row>
    <row r="550" spans="1:5" x14ac:dyDescent="0.2">
      <c r="A550" s="74"/>
      <c r="B550" s="225"/>
      <c r="C550" s="226"/>
      <c r="D550" s="227"/>
      <c r="E550" s="74"/>
    </row>
    <row r="551" spans="1:5" x14ac:dyDescent="0.2">
      <c r="A551" s="74"/>
      <c r="B551" s="225"/>
      <c r="C551" s="226"/>
      <c r="D551" s="227"/>
      <c r="E551" s="74"/>
    </row>
    <row r="552" spans="1:5" x14ac:dyDescent="0.2">
      <c r="A552" s="74"/>
      <c r="B552" s="225"/>
      <c r="C552" s="226"/>
      <c r="D552" s="227"/>
      <c r="E552" s="74"/>
    </row>
    <row r="553" spans="1:5" x14ac:dyDescent="0.2">
      <c r="A553" s="74"/>
      <c r="B553" s="225"/>
      <c r="C553" s="226"/>
      <c r="D553" s="227"/>
      <c r="E553" s="74"/>
    </row>
    <row r="554" spans="1:5" x14ac:dyDescent="0.2">
      <c r="A554" s="74"/>
      <c r="B554" s="225"/>
      <c r="C554" s="226"/>
      <c r="D554" s="227"/>
      <c r="E554" s="74"/>
    </row>
    <row r="555" spans="1:5" x14ac:dyDescent="0.2">
      <c r="A555" s="74"/>
      <c r="B555" s="225"/>
      <c r="C555" s="226"/>
      <c r="D555" s="227"/>
      <c r="E555" s="74"/>
    </row>
    <row r="556" spans="1:5" x14ac:dyDescent="0.2">
      <c r="A556" s="74"/>
      <c r="B556" s="225"/>
      <c r="C556" s="226"/>
      <c r="D556" s="227"/>
      <c r="E556" s="74"/>
    </row>
    <row r="557" spans="1:5" x14ac:dyDescent="0.2">
      <c r="A557" s="74"/>
      <c r="B557" s="225"/>
      <c r="C557" s="226"/>
      <c r="D557" s="227"/>
      <c r="E557" s="74"/>
    </row>
    <row r="558" spans="1:5" x14ac:dyDescent="0.2">
      <c r="A558" s="74"/>
      <c r="B558" s="225"/>
      <c r="C558" s="226"/>
      <c r="D558" s="227"/>
      <c r="E558" s="74"/>
    </row>
    <row r="559" spans="1:5" x14ac:dyDescent="0.2">
      <c r="A559" s="74"/>
      <c r="B559" s="225"/>
      <c r="C559" s="226"/>
      <c r="D559" s="227"/>
      <c r="E559" s="74"/>
    </row>
    <row r="560" spans="1:5" x14ac:dyDescent="0.2">
      <c r="A560" s="74"/>
      <c r="B560" s="225"/>
      <c r="C560" s="226"/>
      <c r="D560" s="227"/>
      <c r="E560" s="74"/>
    </row>
    <row r="561" spans="1:5" x14ac:dyDescent="0.2">
      <c r="A561" s="74"/>
      <c r="B561" s="225"/>
      <c r="C561" s="226"/>
      <c r="D561" s="227"/>
      <c r="E561" s="74"/>
    </row>
    <row r="562" spans="1:5" x14ac:dyDescent="0.2">
      <c r="A562" s="74"/>
      <c r="B562" s="225"/>
      <c r="C562" s="226"/>
      <c r="D562" s="227"/>
      <c r="E562" s="74"/>
    </row>
    <row r="563" spans="1:5" x14ac:dyDescent="0.2">
      <c r="A563" s="74"/>
      <c r="B563" s="225"/>
      <c r="C563" s="226"/>
      <c r="D563" s="227"/>
      <c r="E563" s="74"/>
    </row>
    <row r="564" spans="1:5" x14ac:dyDescent="0.2">
      <c r="A564" s="74"/>
      <c r="B564" s="225"/>
      <c r="C564" s="226"/>
      <c r="D564" s="227"/>
      <c r="E564" s="74"/>
    </row>
    <row r="565" spans="1:5" x14ac:dyDescent="0.2">
      <c r="A565" s="74"/>
      <c r="B565" s="225"/>
      <c r="C565" s="226"/>
      <c r="D565" s="227"/>
      <c r="E565" s="74"/>
    </row>
    <row r="566" spans="1:5" x14ac:dyDescent="0.2">
      <c r="A566" s="74"/>
      <c r="B566" s="225"/>
      <c r="C566" s="226"/>
      <c r="D566" s="227"/>
      <c r="E566" s="74"/>
    </row>
    <row r="567" spans="1:5" x14ac:dyDescent="0.2">
      <c r="A567" s="74"/>
      <c r="B567" s="225"/>
      <c r="C567" s="226"/>
      <c r="D567" s="227"/>
      <c r="E567" s="74"/>
    </row>
    <row r="568" spans="1:5" x14ac:dyDescent="0.2">
      <c r="A568" s="74"/>
      <c r="B568" s="225"/>
      <c r="C568" s="226"/>
      <c r="D568" s="227"/>
      <c r="E568" s="74"/>
    </row>
    <row r="569" spans="1:5" x14ac:dyDescent="0.2">
      <c r="A569" s="74"/>
      <c r="B569" s="225"/>
      <c r="C569" s="226"/>
      <c r="D569" s="227"/>
      <c r="E569" s="74"/>
    </row>
  </sheetData>
  <sheetProtection password="CA9F" sheet="1" objects="1" scenarios="1"/>
  <mergeCells count="9">
    <mergeCell ref="C358:D358"/>
    <mergeCell ref="C359:D359"/>
    <mergeCell ref="C360:D360"/>
    <mergeCell ref="C361:D361"/>
    <mergeCell ref="A2:E2"/>
    <mergeCell ref="A5:C5"/>
    <mergeCell ref="D5:E5"/>
    <mergeCell ref="D6:E6"/>
    <mergeCell ref="C357:D357"/>
  </mergeCells>
  <dataValidations count="1">
    <dataValidation type="whole" allowBlank="1" showInputMessage="1" showErrorMessage="1" sqref="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8D3A54F4-6510-453F-873A-92A2BB8B1FC0}">
      <formula1>1</formula1>
      <formula2>100000000000</formula2>
    </dataValidation>
  </dataValidations>
  <pageMargins left="0.7" right="0.7" top="0.42" bottom="0.38" header="0.3" footer="0.3"/>
  <pageSetup scale="8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8"/>
  <sheetViews>
    <sheetView topLeftCell="A55" zoomScaleNormal="100" zoomScalePageLayoutView="60" workbookViewId="0">
      <selection activeCell="D86" sqref="D86"/>
    </sheetView>
  </sheetViews>
  <sheetFormatPr defaultRowHeight="12.75" x14ac:dyDescent="0.2"/>
  <cols>
    <col min="1" max="1" width="11.5703125" style="63"/>
    <col min="2" max="2" width="62.7109375" style="63"/>
    <col min="3" max="3" width="9.28515625" style="63" customWidth="1"/>
    <col min="4" max="4" width="23.85546875" style="63" customWidth="1"/>
    <col min="5" max="5" width="25.28515625" style="63" customWidth="1"/>
    <col min="6" max="1025" width="11.5703125" style="63"/>
    <col min="1026" max="16384" width="9.140625" style="63"/>
  </cols>
  <sheetData>
    <row r="1" spans="1:5" x14ac:dyDescent="0.2">
      <c r="A1" s="124"/>
      <c r="B1" s="126"/>
      <c r="C1" s="126"/>
      <c r="D1" s="124"/>
      <c r="E1" s="124"/>
    </row>
    <row r="2" spans="1:5" x14ac:dyDescent="0.2">
      <c r="A2" s="124"/>
      <c r="B2" s="126"/>
      <c r="C2" s="126"/>
      <c r="D2" s="124"/>
      <c r="E2" s="124"/>
    </row>
    <row r="3" spans="1:5" x14ac:dyDescent="0.2">
      <c r="A3" s="124"/>
      <c r="B3" s="518" t="s">
        <v>294</v>
      </c>
      <c r="C3" s="518"/>
      <c r="D3" s="518"/>
      <c r="E3" s="124"/>
    </row>
    <row r="4" spans="1:5" x14ac:dyDescent="0.2">
      <c r="A4" s="124"/>
      <c r="B4" s="124"/>
      <c r="C4" s="124"/>
      <c r="D4" s="124"/>
      <c r="E4" s="124"/>
    </row>
    <row r="5" spans="1:5" x14ac:dyDescent="0.2">
      <c r="A5" s="124" t="s">
        <v>277</v>
      </c>
      <c r="B5" s="126"/>
      <c r="C5" s="126"/>
      <c r="D5" s="517" t="s">
        <v>278</v>
      </c>
      <c r="E5" s="517"/>
    </row>
    <row r="6" spans="1:5" x14ac:dyDescent="0.2">
      <c r="A6" s="124"/>
      <c r="B6" s="124"/>
      <c r="C6" s="124"/>
      <c r="D6" s="127"/>
      <c r="E6" s="1" t="s">
        <v>279</v>
      </c>
    </row>
    <row r="7" spans="1:5" ht="25.5" x14ac:dyDescent="0.2">
      <c r="A7" s="128" t="s">
        <v>280</v>
      </c>
      <c r="B7" s="129" t="s">
        <v>281</v>
      </c>
      <c r="C7" s="129" t="s">
        <v>295</v>
      </c>
      <c r="D7" s="9" t="s">
        <v>296</v>
      </c>
      <c r="E7" s="9" t="s">
        <v>296</v>
      </c>
    </row>
    <row r="8" spans="1:5" x14ac:dyDescent="0.2">
      <c r="A8" s="128" t="s">
        <v>282</v>
      </c>
      <c r="B8" s="129" t="s">
        <v>283</v>
      </c>
      <c r="C8" s="129" t="s">
        <v>297</v>
      </c>
      <c r="D8" s="9">
        <v>1</v>
      </c>
      <c r="E8" s="9">
        <v>2</v>
      </c>
    </row>
    <row r="9" spans="1:5" x14ac:dyDescent="0.2">
      <c r="A9" s="128">
        <v>1</v>
      </c>
      <c r="B9" s="141" t="s">
        <v>298</v>
      </c>
      <c r="C9" s="142">
        <v>1</v>
      </c>
      <c r="D9" s="133" t="s">
        <v>19</v>
      </c>
      <c r="E9" s="133" t="s">
        <v>19</v>
      </c>
    </row>
    <row r="10" spans="1:5" x14ac:dyDescent="0.2">
      <c r="A10" s="128">
        <v>1.1000000000000001</v>
      </c>
      <c r="B10" s="141" t="s">
        <v>299</v>
      </c>
      <c r="C10" s="142">
        <v>2</v>
      </c>
      <c r="D10" s="133">
        <f>SUM(D11:D17)</f>
        <v>0</v>
      </c>
      <c r="E10" s="133">
        <f>SUM(E11:E17)</f>
        <v>0</v>
      </c>
    </row>
    <row r="11" spans="1:5" x14ac:dyDescent="0.2">
      <c r="A11" s="134" t="s">
        <v>300</v>
      </c>
      <c r="B11" s="135" t="s">
        <v>301</v>
      </c>
      <c r="C11" s="143">
        <v>3</v>
      </c>
      <c r="D11" s="132"/>
      <c r="E11" s="132"/>
    </row>
    <row r="12" spans="1:5" x14ac:dyDescent="0.2">
      <c r="A12" s="134" t="s">
        <v>302</v>
      </c>
      <c r="B12" s="135" t="s">
        <v>303</v>
      </c>
      <c r="C12" s="144">
        <v>4</v>
      </c>
      <c r="D12" s="132"/>
      <c r="E12" s="132"/>
    </row>
    <row r="13" spans="1:5" x14ac:dyDescent="0.2">
      <c r="A13" s="134" t="s">
        <v>304</v>
      </c>
      <c r="B13" s="135" t="s">
        <v>305</v>
      </c>
      <c r="C13" s="144">
        <v>5</v>
      </c>
      <c r="D13" s="132"/>
      <c r="E13" s="132"/>
    </row>
    <row r="14" spans="1:5" x14ac:dyDescent="0.2">
      <c r="A14" s="134" t="s">
        <v>306</v>
      </c>
      <c r="B14" s="135" t="s">
        <v>307</v>
      </c>
      <c r="C14" s="143">
        <v>6</v>
      </c>
      <c r="D14" s="132"/>
      <c r="E14" s="132"/>
    </row>
    <row r="15" spans="1:5" x14ac:dyDescent="0.2">
      <c r="A15" s="134" t="s">
        <v>308</v>
      </c>
      <c r="B15" s="135" t="s">
        <v>309</v>
      </c>
      <c r="C15" s="144">
        <v>7</v>
      </c>
      <c r="D15" s="132"/>
      <c r="E15" s="132"/>
    </row>
    <row r="16" spans="1:5" x14ac:dyDescent="0.2">
      <c r="A16" s="134" t="s">
        <v>310</v>
      </c>
      <c r="B16" s="135" t="s">
        <v>311</v>
      </c>
      <c r="C16" s="144">
        <v>8</v>
      </c>
      <c r="D16" s="132"/>
      <c r="E16" s="132"/>
    </row>
    <row r="17" spans="1:5" x14ac:dyDescent="0.2">
      <c r="A17" s="134" t="s">
        <v>312</v>
      </c>
      <c r="B17" s="135" t="s">
        <v>313</v>
      </c>
      <c r="C17" s="143">
        <v>9</v>
      </c>
      <c r="D17" s="132"/>
      <c r="E17" s="132"/>
    </row>
    <row r="18" spans="1:5" x14ac:dyDescent="0.2">
      <c r="A18" s="128">
        <v>1.2</v>
      </c>
      <c r="B18" s="141" t="s">
        <v>314</v>
      </c>
      <c r="C18" s="142">
        <v>10</v>
      </c>
      <c r="D18" s="133">
        <f>SUM(D19:D34)-D25-D26</f>
        <v>0</v>
      </c>
      <c r="E18" s="133">
        <f>SUM(E19:E34)-E25-E26</f>
        <v>0</v>
      </c>
    </row>
    <row r="19" spans="1:5" x14ac:dyDescent="0.2">
      <c r="A19" s="134" t="s">
        <v>315</v>
      </c>
      <c r="B19" s="135" t="s">
        <v>316</v>
      </c>
      <c r="C19" s="144">
        <v>11</v>
      </c>
      <c r="D19" s="132"/>
      <c r="E19" s="132"/>
    </row>
    <row r="20" spans="1:5" x14ac:dyDescent="0.2">
      <c r="A20" s="134" t="s">
        <v>317</v>
      </c>
      <c r="B20" s="135" t="s">
        <v>318</v>
      </c>
      <c r="C20" s="143">
        <v>12</v>
      </c>
      <c r="D20" s="132"/>
      <c r="E20" s="132"/>
    </row>
    <row r="21" spans="1:5" x14ac:dyDescent="0.2">
      <c r="A21" s="134" t="s">
        <v>319</v>
      </c>
      <c r="B21" s="135" t="s">
        <v>320</v>
      </c>
      <c r="C21" s="144">
        <v>13</v>
      </c>
      <c r="D21" s="132"/>
      <c r="E21" s="132"/>
    </row>
    <row r="22" spans="1:5" x14ac:dyDescent="0.2">
      <c r="A22" s="134" t="s">
        <v>321</v>
      </c>
      <c r="B22" s="135" t="s">
        <v>322</v>
      </c>
      <c r="C22" s="144">
        <v>14</v>
      </c>
      <c r="D22" s="132"/>
      <c r="E22" s="132"/>
    </row>
    <row r="23" spans="1:5" x14ac:dyDescent="0.2">
      <c r="A23" s="134" t="s">
        <v>323</v>
      </c>
      <c r="B23" s="135" t="s">
        <v>324</v>
      </c>
      <c r="C23" s="143">
        <v>15</v>
      </c>
      <c r="D23" s="132"/>
      <c r="E23" s="132"/>
    </row>
    <row r="24" spans="1:5" x14ac:dyDescent="0.2">
      <c r="A24" s="134" t="s">
        <v>325</v>
      </c>
      <c r="B24" s="135" t="s">
        <v>326</v>
      </c>
      <c r="C24" s="144">
        <v>16</v>
      </c>
      <c r="D24" s="132"/>
      <c r="E24" s="132"/>
    </row>
    <row r="25" spans="1:5" x14ac:dyDescent="0.2">
      <c r="A25" s="134" t="s">
        <v>327</v>
      </c>
      <c r="B25" s="135" t="s">
        <v>328</v>
      </c>
      <c r="C25" s="144">
        <v>17</v>
      </c>
      <c r="D25" s="132"/>
      <c r="E25" s="132"/>
    </row>
    <row r="26" spans="1:5" x14ac:dyDescent="0.2">
      <c r="A26" s="134" t="s">
        <v>329</v>
      </c>
      <c r="B26" s="135" t="s">
        <v>330</v>
      </c>
      <c r="C26" s="143">
        <v>18</v>
      </c>
      <c r="D26" s="132"/>
      <c r="E26" s="132"/>
    </row>
    <row r="27" spans="1:5" x14ac:dyDescent="0.2">
      <c r="A27" s="134" t="s">
        <v>331</v>
      </c>
      <c r="B27" s="135" t="s">
        <v>207</v>
      </c>
      <c r="C27" s="144">
        <v>19</v>
      </c>
      <c r="D27" s="132"/>
      <c r="E27" s="132"/>
    </row>
    <row r="28" spans="1:5" x14ac:dyDescent="0.2">
      <c r="A28" s="134" t="s">
        <v>332</v>
      </c>
      <c r="B28" s="135" t="s">
        <v>333</v>
      </c>
      <c r="C28" s="144">
        <v>20</v>
      </c>
      <c r="D28" s="132"/>
      <c r="E28" s="132"/>
    </row>
    <row r="29" spans="1:5" x14ac:dyDescent="0.2">
      <c r="A29" s="134" t="s">
        <v>334</v>
      </c>
      <c r="B29" s="135" t="s">
        <v>335</v>
      </c>
      <c r="C29" s="143">
        <v>21</v>
      </c>
      <c r="D29" s="132"/>
      <c r="E29" s="132"/>
    </row>
    <row r="30" spans="1:5" x14ac:dyDescent="0.2">
      <c r="A30" s="134" t="s">
        <v>336</v>
      </c>
      <c r="B30" s="135" t="s">
        <v>337</v>
      </c>
      <c r="C30" s="144">
        <v>22</v>
      </c>
      <c r="D30" s="132"/>
      <c r="E30" s="132"/>
    </row>
    <row r="31" spans="1:5" x14ac:dyDescent="0.2">
      <c r="A31" s="134" t="s">
        <v>338</v>
      </c>
      <c r="B31" s="135" t="s">
        <v>339</v>
      </c>
      <c r="C31" s="144">
        <v>23</v>
      </c>
      <c r="D31" s="132"/>
      <c r="E31" s="132"/>
    </row>
    <row r="32" spans="1:5" x14ac:dyDescent="0.2">
      <c r="A32" s="134" t="s">
        <v>340</v>
      </c>
      <c r="B32" s="135" t="s">
        <v>341</v>
      </c>
      <c r="C32" s="143">
        <v>24</v>
      </c>
      <c r="D32" s="132"/>
      <c r="E32" s="132"/>
    </row>
    <row r="33" spans="1:5" x14ac:dyDescent="0.2">
      <c r="A33" s="134" t="s">
        <v>342</v>
      </c>
      <c r="B33" s="135" t="s">
        <v>343</v>
      </c>
      <c r="C33" s="144">
        <v>25</v>
      </c>
      <c r="D33" s="132"/>
      <c r="E33" s="132"/>
    </row>
    <row r="34" spans="1:5" x14ac:dyDescent="0.2">
      <c r="A34" s="134" t="s">
        <v>344</v>
      </c>
      <c r="B34" s="135" t="s">
        <v>345</v>
      </c>
      <c r="C34" s="144">
        <v>26</v>
      </c>
      <c r="D34" s="132"/>
      <c r="E34" s="132"/>
    </row>
    <row r="35" spans="1:5" x14ac:dyDescent="0.2">
      <c r="A35" s="128">
        <v>1.3</v>
      </c>
      <c r="B35" s="141" t="s">
        <v>346</v>
      </c>
      <c r="C35" s="145">
        <v>27</v>
      </c>
      <c r="D35" s="133">
        <f>D10-D18</f>
        <v>0</v>
      </c>
      <c r="E35" s="133">
        <f>E10-E18</f>
        <v>0</v>
      </c>
    </row>
    <row r="36" spans="1:5" x14ac:dyDescent="0.2">
      <c r="A36" s="128">
        <v>2</v>
      </c>
      <c r="B36" s="141" t="s">
        <v>347</v>
      </c>
      <c r="C36" s="142">
        <v>28</v>
      </c>
      <c r="D36" s="133"/>
      <c r="E36" s="133"/>
    </row>
    <row r="37" spans="1:5" x14ac:dyDescent="0.2">
      <c r="A37" s="128">
        <v>2.1</v>
      </c>
      <c r="B37" s="141" t="s">
        <v>299</v>
      </c>
      <c r="C37" s="142">
        <v>29</v>
      </c>
      <c r="D37" s="133">
        <f>SUM(D38:D44)</f>
        <v>0</v>
      </c>
      <c r="E37" s="133">
        <f>SUM(E38:E44)</f>
        <v>0</v>
      </c>
    </row>
    <row r="38" spans="1:5" x14ac:dyDescent="0.2">
      <c r="A38" s="134" t="s">
        <v>348</v>
      </c>
      <c r="B38" s="135" t="s">
        <v>349</v>
      </c>
      <c r="C38" s="143">
        <v>30</v>
      </c>
      <c r="D38" s="132"/>
      <c r="E38" s="132"/>
    </row>
    <row r="39" spans="1:5" x14ac:dyDescent="0.2">
      <c r="A39" s="134" t="s">
        <v>350</v>
      </c>
      <c r="B39" s="135" t="s">
        <v>351</v>
      </c>
      <c r="C39" s="144">
        <v>31</v>
      </c>
      <c r="D39" s="132"/>
      <c r="E39" s="132"/>
    </row>
    <row r="40" spans="1:5" x14ac:dyDescent="0.2">
      <c r="A40" s="134" t="s">
        <v>352</v>
      </c>
      <c r="B40" s="135" t="s">
        <v>353</v>
      </c>
      <c r="C40" s="144">
        <v>32</v>
      </c>
      <c r="D40" s="132"/>
      <c r="E40" s="132"/>
    </row>
    <row r="41" spans="1:5" x14ac:dyDescent="0.2">
      <c r="A41" s="134" t="s">
        <v>354</v>
      </c>
      <c r="B41" s="135" t="s">
        <v>355</v>
      </c>
      <c r="C41" s="143">
        <v>33</v>
      </c>
      <c r="D41" s="132"/>
      <c r="E41" s="132"/>
    </row>
    <row r="42" spans="1:5" x14ac:dyDescent="0.2">
      <c r="A42" s="134" t="s">
        <v>356</v>
      </c>
      <c r="B42" s="135" t="s">
        <v>357</v>
      </c>
      <c r="C42" s="144">
        <v>34</v>
      </c>
      <c r="D42" s="132"/>
      <c r="E42" s="132"/>
    </row>
    <row r="43" spans="1:5" x14ac:dyDescent="0.2">
      <c r="A43" s="134" t="s">
        <v>358</v>
      </c>
      <c r="B43" s="135" t="s">
        <v>359</v>
      </c>
      <c r="C43" s="144">
        <v>35</v>
      </c>
      <c r="D43" s="132"/>
      <c r="E43" s="132"/>
    </row>
    <row r="44" spans="1:5" x14ac:dyDescent="0.2">
      <c r="A44" s="134" t="s">
        <v>360</v>
      </c>
      <c r="B44" s="135" t="s">
        <v>361</v>
      </c>
      <c r="C44" s="143">
        <v>36</v>
      </c>
      <c r="D44" s="132"/>
      <c r="E44" s="132"/>
    </row>
    <row r="45" spans="1:5" x14ac:dyDescent="0.2">
      <c r="A45" s="128">
        <v>2.2000000000000002</v>
      </c>
      <c r="B45" s="141" t="s">
        <v>314</v>
      </c>
      <c r="C45" s="142">
        <v>37</v>
      </c>
      <c r="D45" s="133">
        <f>SUM(D46:D50)</f>
        <v>0</v>
      </c>
      <c r="E45" s="133">
        <f>SUM(E46:E50)</f>
        <v>0</v>
      </c>
    </row>
    <row r="46" spans="1:5" x14ac:dyDescent="0.2">
      <c r="A46" s="134" t="s">
        <v>362</v>
      </c>
      <c r="B46" s="135" t="s">
        <v>363</v>
      </c>
      <c r="C46" s="144">
        <v>38</v>
      </c>
      <c r="D46" s="132"/>
      <c r="E46" s="132"/>
    </row>
    <row r="47" spans="1:5" x14ac:dyDescent="0.2">
      <c r="A47" s="134" t="s">
        <v>364</v>
      </c>
      <c r="B47" s="135" t="s">
        <v>365</v>
      </c>
      <c r="C47" s="143">
        <v>39</v>
      </c>
      <c r="D47" s="132"/>
      <c r="E47" s="132"/>
    </row>
    <row r="48" spans="1:5" x14ac:dyDescent="0.2">
      <c r="A48" s="134" t="s">
        <v>366</v>
      </c>
      <c r="B48" s="135" t="s">
        <v>367</v>
      </c>
      <c r="C48" s="144">
        <v>40</v>
      </c>
      <c r="D48" s="132"/>
      <c r="E48" s="132"/>
    </row>
    <row r="49" spans="1:5" x14ac:dyDescent="0.2">
      <c r="A49" s="134" t="s">
        <v>368</v>
      </c>
      <c r="B49" s="135" t="s">
        <v>369</v>
      </c>
      <c r="C49" s="144">
        <v>41</v>
      </c>
      <c r="D49" s="132"/>
      <c r="E49" s="132"/>
    </row>
    <row r="50" spans="1:5" x14ac:dyDescent="0.2">
      <c r="A50" s="134" t="s">
        <v>370</v>
      </c>
      <c r="B50" s="135" t="s">
        <v>371</v>
      </c>
      <c r="C50" s="143">
        <v>42</v>
      </c>
      <c r="D50" s="132" t="s">
        <v>0</v>
      </c>
      <c r="E50" s="132" t="s">
        <v>0</v>
      </c>
    </row>
    <row r="51" spans="1:5" x14ac:dyDescent="0.2">
      <c r="A51" s="128">
        <v>2.2999999999999998</v>
      </c>
      <c r="B51" s="141" t="s">
        <v>372</v>
      </c>
      <c r="C51" s="142">
        <v>43</v>
      </c>
      <c r="D51" s="133">
        <f>D37-D45</f>
        <v>0</v>
      </c>
      <c r="E51" s="133">
        <f>E37-E45</f>
        <v>0</v>
      </c>
    </row>
    <row r="52" spans="1:5" x14ac:dyDescent="0.2">
      <c r="A52" s="128">
        <v>3</v>
      </c>
      <c r="B52" s="141" t="s">
        <v>373</v>
      </c>
      <c r="C52" s="142">
        <v>44</v>
      </c>
      <c r="D52" s="133"/>
      <c r="E52" s="133"/>
    </row>
    <row r="53" spans="1:5" x14ac:dyDescent="0.2">
      <c r="A53" s="128">
        <v>3.1</v>
      </c>
      <c r="B53" s="141" t="s">
        <v>299</v>
      </c>
      <c r="C53" s="145">
        <v>45</v>
      </c>
      <c r="D53" s="133">
        <f>SUM(D54:D57)</f>
        <v>0</v>
      </c>
      <c r="E53" s="133">
        <f>SUM(E54:E57)</f>
        <v>0</v>
      </c>
    </row>
    <row r="54" spans="1:5" x14ac:dyDescent="0.2">
      <c r="A54" s="134" t="s">
        <v>374</v>
      </c>
      <c r="B54" s="135" t="s">
        <v>375</v>
      </c>
      <c r="C54" s="144">
        <v>46</v>
      </c>
      <c r="D54" s="132" t="s">
        <v>0</v>
      </c>
      <c r="E54" s="132" t="s">
        <v>0</v>
      </c>
    </row>
    <row r="55" spans="1:5" x14ac:dyDescent="0.2">
      <c r="A55" s="134" t="s">
        <v>376</v>
      </c>
      <c r="B55" s="135" t="s">
        <v>377</v>
      </c>
      <c r="C55" s="144">
        <v>47</v>
      </c>
      <c r="D55" s="132" t="s">
        <v>0</v>
      </c>
      <c r="E55" s="132" t="s">
        <v>0</v>
      </c>
    </row>
    <row r="56" spans="1:5" x14ac:dyDescent="0.2">
      <c r="A56" s="134" t="s">
        <v>378</v>
      </c>
      <c r="B56" s="135" t="s">
        <v>379</v>
      </c>
      <c r="C56" s="143">
        <v>48</v>
      </c>
      <c r="D56" s="132" t="s">
        <v>0</v>
      </c>
      <c r="E56" s="132" t="s">
        <v>0</v>
      </c>
    </row>
    <row r="57" spans="1:5" x14ac:dyDescent="0.2">
      <c r="A57" s="134" t="s">
        <v>380</v>
      </c>
      <c r="B57" s="135" t="s">
        <v>216</v>
      </c>
      <c r="C57" s="144">
        <v>49</v>
      </c>
      <c r="D57" s="132"/>
      <c r="E57" s="132"/>
    </row>
    <row r="58" spans="1:5" x14ac:dyDescent="0.2">
      <c r="A58" s="128">
        <v>3.2</v>
      </c>
      <c r="B58" s="141" t="s">
        <v>314</v>
      </c>
      <c r="C58" s="142">
        <v>50</v>
      </c>
      <c r="D58" s="133">
        <f>SUM(D59:D63)</f>
        <v>0</v>
      </c>
      <c r="E58" s="133">
        <f>SUM(E59:E63)</f>
        <v>0</v>
      </c>
    </row>
    <row r="59" spans="1:5" x14ac:dyDescent="0.2">
      <c r="A59" s="134" t="s">
        <v>381</v>
      </c>
      <c r="B59" s="135" t="s">
        <v>382</v>
      </c>
      <c r="C59" s="143">
        <v>51</v>
      </c>
      <c r="D59" s="132" t="s">
        <v>0</v>
      </c>
      <c r="E59" s="132" t="s">
        <v>0</v>
      </c>
    </row>
    <row r="60" spans="1:5" x14ac:dyDescent="0.2">
      <c r="A60" s="134" t="s">
        <v>383</v>
      </c>
      <c r="B60" s="135" t="s">
        <v>384</v>
      </c>
      <c r="C60" s="144">
        <v>52</v>
      </c>
      <c r="D60" s="132" t="s">
        <v>0</v>
      </c>
      <c r="E60" s="132" t="s">
        <v>0</v>
      </c>
    </row>
    <row r="61" spans="1:5" x14ac:dyDescent="0.2">
      <c r="A61" s="134" t="s">
        <v>385</v>
      </c>
      <c r="B61" s="135" t="s">
        <v>386</v>
      </c>
      <c r="C61" s="144">
        <v>53</v>
      </c>
      <c r="D61" s="132" t="s">
        <v>0</v>
      </c>
      <c r="E61" s="132" t="s">
        <v>0</v>
      </c>
    </row>
    <row r="62" spans="1:5" x14ac:dyDescent="0.2">
      <c r="A62" s="134" t="s">
        <v>387</v>
      </c>
      <c r="B62" s="135" t="s">
        <v>388</v>
      </c>
      <c r="C62" s="143">
        <v>54</v>
      </c>
      <c r="D62" s="132" t="s">
        <v>0</v>
      </c>
      <c r="E62" s="132" t="s">
        <v>0</v>
      </c>
    </row>
    <row r="63" spans="1:5" x14ac:dyDescent="0.2">
      <c r="A63" s="134" t="s">
        <v>389</v>
      </c>
      <c r="B63" s="135" t="s">
        <v>216</v>
      </c>
      <c r="C63" s="144">
        <v>55</v>
      </c>
      <c r="D63" s="132"/>
      <c r="E63" s="132" t="s">
        <v>0</v>
      </c>
    </row>
    <row r="64" spans="1:5" x14ac:dyDescent="0.2">
      <c r="A64" s="128">
        <v>3.3</v>
      </c>
      <c r="B64" s="141" t="s">
        <v>390</v>
      </c>
      <c r="C64" s="142">
        <v>56</v>
      </c>
      <c r="D64" s="133">
        <f>D53-D58</f>
        <v>0</v>
      </c>
      <c r="E64" s="133">
        <f>E53-E58</f>
        <v>0</v>
      </c>
    </row>
    <row r="65" spans="1:5" x14ac:dyDescent="0.2">
      <c r="A65" s="128">
        <v>4</v>
      </c>
      <c r="B65" s="141" t="s">
        <v>391</v>
      </c>
      <c r="C65" s="145">
        <v>57</v>
      </c>
      <c r="D65" s="133">
        <f>D64+D51+D35</f>
        <v>0</v>
      </c>
      <c r="E65" s="133">
        <f>E64+E51+E35</f>
        <v>0</v>
      </c>
    </row>
    <row r="66" spans="1:5" x14ac:dyDescent="0.2">
      <c r="A66" s="128">
        <v>5</v>
      </c>
      <c r="B66" s="146" t="s">
        <v>392</v>
      </c>
      <c r="C66" s="142">
        <v>58</v>
      </c>
      <c r="D66" s="132"/>
      <c r="E66" s="147">
        <f>D67</f>
        <v>0</v>
      </c>
    </row>
    <row r="67" spans="1:5" x14ac:dyDescent="0.2">
      <c r="A67" s="128">
        <v>6</v>
      </c>
      <c r="B67" s="141" t="s">
        <v>393</v>
      </c>
      <c r="C67" s="142">
        <v>59</v>
      </c>
      <c r="D67" s="133">
        <f>D65+D66</f>
        <v>0</v>
      </c>
      <c r="E67" s="133">
        <f>E65+E66</f>
        <v>0</v>
      </c>
    </row>
    <row r="69" spans="1:5" x14ac:dyDescent="0.2">
      <c r="D69" s="140">
        <f>D67-i.04130!D16</f>
        <v>0</v>
      </c>
      <c r="E69" s="140">
        <f>E67-i.04130!E16</f>
        <v>0</v>
      </c>
    </row>
    <row r="70" spans="1:5" x14ac:dyDescent="0.2">
      <c r="B70" s="2" t="s">
        <v>285</v>
      </c>
      <c r="C70" s="3"/>
      <c r="D70" s="4"/>
      <c r="E70" s="4"/>
    </row>
    <row r="71" spans="1:5" x14ac:dyDescent="0.2">
      <c r="B71" s="5"/>
      <c r="C71" s="3"/>
      <c r="D71" s="4"/>
      <c r="E71" s="4"/>
    </row>
    <row r="72" spans="1:5" x14ac:dyDescent="0.2">
      <c r="B72" s="5" t="s">
        <v>286</v>
      </c>
      <c r="C72" s="3"/>
      <c r="D72" s="4"/>
      <c r="E72" s="4"/>
    </row>
    <row r="73" spans="1:5" x14ac:dyDescent="0.2">
      <c r="B73" s="5"/>
      <c r="C73" s="3"/>
      <c r="D73" s="4"/>
      <c r="E73" s="4"/>
    </row>
    <row r="74" spans="1:5" x14ac:dyDescent="0.2">
      <c r="B74" s="6" t="s">
        <v>287</v>
      </c>
      <c r="C74" s="516" t="s">
        <v>288</v>
      </c>
      <c r="D74" s="516"/>
      <c r="E74" s="7" t="s">
        <v>289</v>
      </c>
    </row>
    <row r="75" spans="1:5" x14ac:dyDescent="0.2">
      <c r="B75" s="5"/>
      <c r="C75" s="516"/>
      <c r="D75" s="516"/>
      <c r="E75" s="4"/>
    </row>
    <row r="76" spans="1:5" x14ac:dyDescent="0.2">
      <c r="B76" s="6" t="s">
        <v>290</v>
      </c>
      <c r="C76" s="516" t="s">
        <v>291</v>
      </c>
      <c r="D76" s="516"/>
      <c r="E76" s="7" t="s">
        <v>292</v>
      </c>
    </row>
    <row r="77" spans="1:5" x14ac:dyDescent="0.2">
      <c r="B77" s="5"/>
      <c r="C77" s="516"/>
      <c r="D77" s="516"/>
      <c r="E77" s="4"/>
    </row>
    <row r="78" spans="1:5" x14ac:dyDescent="0.2">
      <c r="B78" s="8" t="s">
        <v>293</v>
      </c>
      <c r="C78" s="516" t="s">
        <v>288</v>
      </c>
      <c r="D78" s="516"/>
      <c r="E78" s="7" t="s">
        <v>292</v>
      </c>
    </row>
  </sheetData>
  <sheetProtection password="CA9F" sheet="1" objects="1" scenarios="1"/>
  <mergeCells count="7">
    <mergeCell ref="C78:D78"/>
    <mergeCell ref="B3:D3"/>
    <mergeCell ref="D5:E5"/>
    <mergeCell ref="C74:D74"/>
    <mergeCell ref="C75:D75"/>
    <mergeCell ref="C76:D76"/>
    <mergeCell ref="C77:D77"/>
  </mergeCells>
  <dataValidations count="1">
    <dataValidation type="whole" allowBlank="1" showInputMessage="1" showErrorMessage="1" sqref="D6:E6" xr:uid="{3E2E3E2A-B0E4-4096-98FC-688D9B4890E2}">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39FF9-14F9-4045-B494-744DF81F4727}">
  <sheetPr>
    <pageSetUpPr fitToPage="1"/>
  </sheetPr>
  <dimension ref="A1:K83"/>
  <sheetViews>
    <sheetView workbookViewId="0">
      <pane xSplit="2" ySplit="6" topLeftCell="H52" activePane="bottomRight" state="frozen"/>
      <selection activeCell="L11" sqref="L11"/>
      <selection pane="topRight" activeCell="L11" sqref="L11"/>
      <selection pane="bottomLeft" activeCell="L11" sqref="L11"/>
      <selection pane="bottomRight" activeCell="K57" sqref="K57"/>
    </sheetView>
  </sheetViews>
  <sheetFormatPr defaultRowHeight="12.75" x14ac:dyDescent="0.2"/>
  <cols>
    <col min="1" max="1" width="3" style="73" customWidth="1"/>
    <col min="2" max="2" width="36.85546875" style="248" customWidth="1"/>
    <col min="3" max="3" width="7.28515625" style="73" customWidth="1"/>
    <col min="4" max="5" width="25" style="248" customWidth="1"/>
    <col min="6" max="6" width="25" style="73" customWidth="1"/>
    <col min="7" max="8" width="25" style="248" customWidth="1"/>
    <col min="9" max="9" width="25" style="73" customWidth="1"/>
    <col min="10" max="11" width="25" style="248" customWidth="1"/>
    <col min="12" max="256" width="9.140625" style="228"/>
    <col min="257" max="257" width="3" style="228" customWidth="1"/>
    <col min="258" max="258" width="36.85546875" style="228" customWidth="1"/>
    <col min="259" max="259" width="7.28515625" style="228" customWidth="1"/>
    <col min="260" max="261" width="16.42578125" style="228" customWidth="1"/>
    <col min="262" max="262" width="5.140625" style="228" customWidth="1"/>
    <col min="263" max="264" width="16.42578125" style="228" customWidth="1"/>
    <col min="265" max="265" width="8" style="228" customWidth="1"/>
    <col min="266" max="267" width="16.42578125" style="228" customWidth="1"/>
    <col min="268" max="512" width="9.140625" style="228"/>
    <col min="513" max="513" width="3" style="228" customWidth="1"/>
    <col min="514" max="514" width="36.85546875" style="228" customWidth="1"/>
    <col min="515" max="515" width="7.28515625" style="228" customWidth="1"/>
    <col min="516" max="517" width="16.42578125" style="228" customWidth="1"/>
    <col min="518" max="518" width="5.140625" style="228" customWidth="1"/>
    <col min="519" max="520" width="16.42578125" style="228" customWidth="1"/>
    <col min="521" max="521" width="8" style="228" customWidth="1"/>
    <col min="522" max="523" width="16.42578125" style="228" customWidth="1"/>
    <col min="524" max="768" width="9.140625" style="228"/>
    <col min="769" max="769" width="3" style="228" customWidth="1"/>
    <col min="770" max="770" width="36.85546875" style="228" customWidth="1"/>
    <col min="771" max="771" width="7.28515625" style="228" customWidth="1"/>
    <col min="772" max="773" width="16.42578125" style="228" customWidth="1"/>
    <col min="774" max="774" width="5.140625" style="228" customWidth="1"/>
    <col min="775" max="776" width="16.42578125" style="228" customWidth="1"/>
    <col min="777" max="777" width="8" style="228" customWidth="1"/>
    <col min="778" max="779" width="16.42578125" style="228" customWidth="1"/>
    <col min="780" max="1024" width="9.140625" style="228"/>
    <col min="1025" max="1025" width="3" style="228" customWidth="1"/>
    <col min="1026" max="1026" width="36.85546875" style="228" customWidth="1"/>
    <col min="1027" max="1027" width="7.28515625" style="228" customWidth="1"/>
    <col min="1028" max="1029" width="16.42578125" style="228" customWidth="1"/>
    <col min="1030" max="1030" width="5.140625" style="228" customWidth="1"/>
    <col min="1031" max="1032" width="16.42578125" style="228" customWidth="1"/>
    <col min="1033" max="1033" width="8" style="228" customWidth="1"/>
    <col min="1034" max="1035" width="16.42578125" style="228" customWidth="1"/>
    <col min="1036" max="1280" width="9.140625" style="228"/>
    <col min="1281" max="1281" width="3" style="228" customWidth="1"/>
    <col min="1282" max="1282" width="36.85546875" style="228" customWidth="1"/>
    <col min="1283" max="1283" width="7.28515625" style="228" customWidth="1"/>
    <col min="1284" max="1285" width="16.42578125" style="228" customWidth="1"/>
    <col min="1286" max="1286" width="5.140625" style="228" customWidth="1"/>
    <col min="1287" max="1288" width="16.42578125" style="228" customWidth="1"/>
    <col min="1289" max="1289" width="8" style="228" customWidth="1"/>
    <col min="1290" max="1291" width="16.42578125" style="228" customWidth="1"/>
    <col min="1292" max="1536" width="9.140625" style="228"/>
    <col min="1537" max="1537" width="3" style="228" customWidth="1"/>
    <col min="1538" max="1538" width="36.85546875" style="228" customWidth="1"/>
    <col min="1539" max="1539" width="7.28515625" style="228" customWidth="1"/>
    <col min="1540" max="1541" width="16.42578125" style="228" customWidth="1"/>
    <col min="1542" max="1542" width="5.140625" style="228" customWidth="1"/>
    <col min="1543" max="1544" width="16.42578125" style="228" customWidth="1"/>
    <col min="1545" max="1545" width="8" style="228" customWidth="1"/>
    <col min="1546" max="1547" width="16.42578125" style="228" customWidth="1"/>
    <col min="1548" max="1792" width="9.140625" style="228"/>
    <col min="1793" max="1793" width="3" style="228" customWidth="1"/>
    <col min="1794" max="1794" width="36.85546875" style="228" customWidth="1"/>
    <col min="1795" max="1795" width="7.28515625" style="228" customWidth="1"/>
    <col min="1796" max="1797" width="16.42578125" style="228" customWidth="1"/>
    <col min="1798" max="1798" width="5.140625" style="228" customWidth="1"/>
    <col min="1799" max="1800" width="16.42578125" style="228" customWidth="1"/>
    <col min="1801" max="1801" width="8" style="228" customWidth="1"/>
    <col min="1802" max="1803" width="16.42578125" style="228" customWidth="1"/>
    <col min="1804" max="2048" width="9.140625" style="228"/>
    <col min="2049" max="2049" width="3" style="228" customWidth="1"/>
    <col min="2050" max="2050" width="36.85546875" style="228" customWidth="1"/>
    <col min="2051" max="2051" width="7.28515625" style="228" customWidth="1"/>
    <col min="2052" max="2053" width="16.42578125" style="228" customWidth="1"/>
    <col min="2054" max="2054" width="5.140625" style="228" customWidth="1"/>
    <col min="2055" max="2056" width="16.42578125" style="228" customWidth="1"/>
    <col min="2057" max="2057" width="8" style="228" customWidth="1"/>
    <col min="2058" max="2059" width="16.42578125" style="228" customWidth="1"/>
    <col min="2060" max="2304" width="9.140625" style="228"/>
    <col min="2305" max="2305" width="3" style="228" customWidth="1"/>
    <col min="2306" max="2306" width="36.85546875" style="228" customWidth="1"/>
    <col min="2307" max="2307" width="7.28515625" style="228" customWidth="1"/>
    <col min="2308" max="2309" width="16.42578125" style="228" customWidth="1"/>
    <col min="2310" max="2310" width="5.140625" style="228" customWidth="1"/>
    <col min="2311" max="2312" width="16.42578125" style="228" customWidth="1"/>
    <col min="2313" max="2313" width="8" style="228" customWidth="1"/>
    <col min="2314" max="2315" width="16.42578125" style="228" customWidth="1"/>
    <col min="2316" max="2560" width="9.140625" style="228"/>
    <col min="2561" max="2561" width="3" style="228" customWidth="1"/>
    <col min="2562" max="2562" width="36.85546875" style="228" customWidth="1"/>
    <col min="2563" max="2563" width="7.28515625" style="228" customWidth="1"/>
    <col min="2564" max="2565" width="16.42578125" style="228" customWidth="1"/>
    <col min="2566" max="2566" width="5.140625" style="228" customWidth="1"/>
    <col min="2567" max="2568" width="16.42578125" style="228" customWidth="1"/>
    <col min="2569" max="2569" width="8" style="228" customWidth="1"/>
    <col min="2570" max="2571" width="16.42578125" style="228" customWidth="1"/>
    <col min="2572" max="2816" width="9.140625" style="228"/>
    <col min="2817" max="2817" width="3" style="228" customWidth="1"/>
    <col min="2818" max="2818" width="36.85546875" style="228" customWidth="1"/>
    <col min="2819" max="2819" width="7.28515625" style="228" customWidth="1"/>
    <col min="2820" max="2821" width="16.42578125" style="228" customWidth="1"/>
    <col min="2822" max="2822" width="5.140625" style="228" customWidth="1"/>
    <col min="2823" max="2824" width="16.42578125" style="228" customWidth="1"/>
    <col min="2825" max="2825" width="8" style="228" customWidth="1"/>
    <col min="2826" max="2827" width="16.42578125" style="228" customWidth="1"/>
    <col min="2828" max="3072" width="9.140625" style="228"/>
    <col min="3073" max="3073" width="3" style="228" customWidth="1"/>
    <col min="3074" max="3074" width="36.85546875" style="228" customWidth="1"/>
    <col min="3075" max="3075" width="7.28515625" style="228" customWidth="1"/>
    <col min="3076" max="3077" width="16.42578125" style="228" customWidth="1"/>
    <col min="3078" max="3078" width="5.140625" style="228" customWidth="1"/>
    <col min="3079" max="3080" width="16.42578125" style="228" customWidth="1"/>
    <col min="3081" max="3081" width="8" style="228" customWidth="1"/>
    <col min="3082" max="3083" width="16.42578125" style="228" customWidth="1"/>
    <col min="3084" max="3328" width="9.140625" style="228"/>
    <col min="3329" max="3329" width="3" style="228" customWidth="1"/>
    <col min="3330" max="3330" width="36.85546875" style="228" customWidth="1"/>
    <col min="3331" max="3331" width="7.28515625" style="228" customWidth="1"/>
    <col min="3332" max="3333" width="16.42578125" style="228" customWidth="1"/>
    <col min="3334" max="3334" width="5.140625" style="228" customWidth="1"/>
    <col min="3335" max="3336" width="16.42578125" style="228" customWidth="1"/>
    <col min="3337" max="3337" width="8" style="228" customWidth="1"/>
    <col min="3338" max="3339" width="16.42578125" style="228" customWidth="1"/>
    <col min="3340" max="3584" width="9.140625" style="228"/>
    <col min="3585" max="3585" width="3" style="228" customWidth="1"/>
    <col min="3586" max="3586" width="36.85546875" style="228" customWidth="1"/>
    <col min="3587" max="3587" width="7.28515625" style="228" customWidth="1"/>
    <col min="3588" max="3589" width="16.42578125" style="228" customWidth="1"/>
    <col min="3590" max="3590" width="5.140625" style="228" customWidth="1"/>
    <col min="3591" max="3592" width="16.42578125" style="228" customWidth="1"/>
    <col min="3593" max="3593" width="8" style="228" customWidth="1"/>
    <col min="3594" max="3595" width="16.42578125" style="228" customWidth="1"/>
    <col min="3596" max="3840" width="9.140625" style="228"/>
    <col min="3841" max="3841" width="3" style="228" customWidth="1"/>
    <col min="3842" max="3842" width="36.85546875" style="228" customWidth="1"/>
    <col min="3843" max="3843" width="7.28515625" style="228" customWidth="1"/>
    <col min="3844" max="3845" width="16.42578125" style="228" customWidth="1"/>
    <col min="3846" max="3846" width="5.140625" style="228" customWidth="1"/>
    <col min="3847" max="3848" width="16.42578125" style="228" customWidth="1"/>
    <col min="3849" max="3849" width="8" style="228" customWidth="1"/>
    <col min="3850" max="3851" width="16.42578125" style="228" customWidth="1"/>
    <col min="3852" max="4096" width="9.140625" style="228"/>
    <col min="4097" max="4097" width="3" style="228" customWidth="1"/>
    <col min="4098" max="4098" width="36.85546875" style="228" customWidth="1"/>
    <col min="4099" max="4099" width="7.28515625" style="228" customWidth="1"/>
    <col min="4100" max="4101" width="16.42578125" style="228" customWidth="1"/>
    <col min="4102" max="4102" width="5.140625" style="228" customWidth="1"/>
    <col min="4103" max="4104" width="16.42578125" style="228" customWidth="1"/>
    <col min="4105" max="4105" width="8" style="228" customWidth="1"/>
    <col min="4106" max="4107" width="16.42578125" style="228" customWidth="1"/>
    <col min="4108" max="4352" width="9.140625" style="228"/>
    <col min="4353" max="4353" width="3" style="228" customWidth="1"/>
    <col min="4354" max="4354" width="36.85546875" style="228" customWidth="1"/>
    <col min="4355" max="4355" width="7.28515625" style="228" customWidth="1"/>
    <col min="4356" max="4357" width="16.42578125" style="228" customWidth="1"/>
    <col min="4358" max="4358" width="5.140625" style="228" customWidth="1"/>
    <col min="4359" max="4360" width="16.42578125" style="228" customWidth="1"/>
    <col min="4361" max="4361" width="8" style="228" customWidth="1"/>
    <col min="4362" max="4363" width="16.42578125" style="228" customWidth="1"/>
    <col min="4364" max="4608" width="9.140625" style="228"/>
    <col min="4609" max="4609" width="3" style="228" customWidth="1"/>
    <col min="4610" max="4610" width="36.85546875" style="228" customWidth="1"/>
    <col min="4611" max="4611" width="7.28515625" style="228" customWidth="1"/>
    <col min="4612" max="4613" width="16.42578125" style="228" customWidth="1"/>
    <col min="4614" max="4614" width="5.140625" style="228" customWidth="1"/>
    <col min="4615" max="4616" width="16.42578125" style="228" customWidth="1"/>
    <col min="4617" max="4617" width="8" style="228" customWidth="1"/>
    <col min="4618" max="4619" width="16.42578125" style="228" customWidth="1"/>
    <col min="4620" max="4864" width="9.140625" style="228"/>
    <col min="4865" max="4865" width="3" style="228" customWidth="1"/>
    <col min="4866" max="4866" width="36.85546875" style="228" customWidth="1"/>
    <col min="4867" max="4867" width="7.28515625" style="228" customWidth="1"/>
    <col min="4868" max="4869" width="16.42578125" style="228" customWidth="1"/>
    <col min="4870" max="4870" width="5.140625" style="228" customWidth="1"/>
    <col min="4871" max="4872" width="16.42578125" style="228" customWidth="1"/>
    <col min="4873" max="4873" width="8" style="228" customWidth="1"/>
    <col min="4874" max="4875" width="16.42578125" style="228" customWidth="1"/>
    <col min="4876" max="5120" width="9.140625" style="228"/>
    <col min="5121" max="5121" width="3" style="228" customWidth="1"/>
    <col min="5122" max="5122" width="36.85546875" style="228" customWidth="1"/>
    <col min="5123" max="5123" width="7.28515625" style="228" customWidth="1"/>
    <col min="5124" max="5125" width="16.42578125" style="228" customWidth="1"/>
    <col min="5126" max="5126" width="5.140625" style="228" customWidth="1"/>
    <col min="5127" max="5128" width="16.42578125" style="228" customWidth="1"/>
    <col min="5129" max="5129" width="8" style="228" customWidth="1"/>
    <col min="5130" max="5131" width="16.42578125" style="228" customWidth="1"/>
    <col min="5132" max="5376" width="9.140625" style="228"/>
    <col min="5377" max="5377" width="3" style="228" customWidth="1"/>
    <col min="5378" max="5378" width="36.85546875" style="228" customWidth="1"/>
    <col min="5379" max="5379" width="7.28515625" style="228" customWidth="1"/>
    <col min="5380" max="5381" width="16.42578125" style="228" customWidth="1"/>
    <col min="5382" max="5382" width="5.140625" style="228" customWidth="1"/>
    <col min="5383" max="5384" width="16.42578125" style="228" customWidth="1"/>
    <col min="5385" max="5385" width="8" style="228" customWidth="1"/>
    <col min="5386" max="5387" width="16.42578125" style="228" customWidth="1"/>
    <col min="5388" max="5632" width="9.140625" style="228"/>
    <col min="5633" max="5633" width="3" style="228" customWidth="1"/>
    <col min="5634" max="5634" width="36.85546875" style="228" customWidth="1"/>
    <col min="5635" max="5635" width="7.28515625" style="228" customWidth="1"/>
    <col min="5636" max="5637" width="16.42578125" style="228" customWidth="1"/>
    <col min="5638" max="5638" width="5.140625" style="228" customWidth="1"/>
    <col min="5639" max="5640" width="16.42578125" style="228" customWidth="1"/>
    <col min="5641" max="5641" width="8" style="228" customWidth="1"/>
    <col min="5642" max="5643" width="16.42578125" style="228" customWidth="1"/>
    <col min="5644" max="5888" width="9.140625" style="228"/>
    <col min="5889" max="5889" width="3" style="228" customWidth="1"/>
    <col min="5890" max="5890" width="36.85546875" style="228" customWidth="1"/>
    <col min="5891" max="5891" width="7.28515625" style="228" customWidth="1"/>
    <col min="5892" max="5893" width="16.42578125" style="228" customWidth="1"/>
    <col min="5894" max="5894" width="5.140625" style="228" customWidth="1"/>
    <col min="5895" max="5896" width="16.42578125" style="228" customWidth="1"/>
    <col min="5897" max="5897" width="8" style="228" customWidth="1"/>
    <col min="5898" max="5899" width="16.42578125" style="228" customWidth="1"/>
    <col min="5900" max="6144" width="9.140625" style="228"/>
    <col min="6145" max="6145" width="3" style="228" customWidth="1"/>
    <col min="6146" max="6146" width="36.85546875" style="228" customWidth="1"/>
    <col min="6147" max="6147" width="7.28515625" style="228" customWidth="1"/>
    <col min="6148" max="6149" width="16.42578125" style="228" customWidth="1"/>
    <col min="6150" max="6150" width="5.140625" style="228" customWidth="1"/>
    <col min="6151" max="6152" width="16.42578125" style="228" customWidth="1"/>
    <col min="6153" max="6153" width="8" style="228" customWidth="1"/>
    <col min="6154" max="6155" width="16.42578125" style="228" customWidth="1"/>
    <col min="6156" max="6400" width="9.140625" style="228"/>
    <col min="6401" max="6401" width="3" style="228" customWidth="1"/>
    <col min="6402" max="6402" width="36.85546875" style="228" customWidth="1"/>
    <col min="6403" max="6403" width="7.28515625" style="228" customWidth="1"/>
    <col min="6404" max="6405" width="16.42578125" style="228" customWidth="1"/>
    <col min="6406" max="6406" width="5.140625" style="228" customWidth="1"/>
    <col min="6407" max="6408" width="16.42578125" style="228" customWidth="1"/>
    <col min="6409" max="6409" width="8" style="228" customWidth="1"/>
    <col min="6410" max="6411" width="16.42578125" style="228" customWidth="1"/>
    <col min="6412" max="6656" width="9.140625" style="228"/>
    <col min="6657" max="6657" width="3" style="228" customWidth="1"/>
    <col min="6658" max="6658" width="36.85546875" style="228" customWidth="1"/>
    <col min="6659" max="6659" width="7.28515625" style="228" customWidth="1"/>
    <col min="6660" max="6661" width="16.42578125" style="228" customWidth="1"/>
    <col min="6662" max="6662" width="5.140625" style="228" customWidth="1"/>
    <col min="6663" max="6664" width="16.42578125" style="228" customWidth="1"/>
    <col min="6665" max="6665" width="8" style="228" customWidth="1"/>
    <col min="6666" max="6667" width="16.42578125" style="228" customWidth="1"/>
    <col min="6668" max="6912" width="9.140625" style="228"/>
    <col min="6913" max="6913" width="3" style="228" customWidth="1"/>
    <col min="6914" max="6914" width="36.85546875" style="228" customWidth="1"/>
    <col min="6915" max="6915" width="7.28515625" style="228" customWidth="1"/>
    <col min="6916" max="6917" width="16.42578125" style="228" customWidth="1"/>
    <col min="6918" max="6918" width="5.140625" style="228" customWidth="1"/>
    <col min="6919" max="6920" width="16.42578125" style="228" customWidth="1"/>
    <col min="6921" max="6921" width="8" style="228" customWidth="1"/>
    <col min="6922" max="6923" width="16.42578125" style="228" customWidth="1"/>
    <col min="6924" max="7168" width="9.140625" style="228"/>
    <col min="7169" max="7169" width="3" style="228" customWidth="1"/>
    <col min="7170" max="7170" width="36.85546875" style="228" customWidth="1"/>
    <col min="7171" max="7171" width="7.28515625" style="228" customWidth="1"/>
    <col min="7172" max="7173" width="16.42578125" style="228" customWidth="1"/>
    <col min="7174" max="7174" width="5.140625" style="228" customWidth="1"/>
    <col min="7175" max="7176" width="16.42578125" style="228" customWidth="1"/>
    <col min="7177" max="7177" width="8" style="228" customWidth="1"/>
    <col min="7178" max="7179" width="16.42578125" style="228" customWidth="1"/>
    <col min="7180" max="7424" width="9.140625" style="228"/>
    <col min="7425" max="7425" width="3" style="228" customWidth="1"/>
    <col min="7426" max="7426" width="36.85546875" style="228" customWidth="1"/>
    <col min="7427" max="7427" width="7.28515625" style="228" customWidth="1"/>
    <col min="7428" max="7429" width="16.42578125" style="228" customWidth="1"/>
    <col min="7430" max="7430" width="5.140625" style="228" customWidth="1"/>
    <col min="7431" max="7432" width="16.42578125" style="228" customWidth="1"/>
    <col min="7433" max="7433" width="8" style="228" customWidth="1"/>
    <col min="7434" max="7435" width="16.42578125" style="228" customWidth="1"/>
    <col min="7436" max="7680" width="9.140625" style="228"/>
    <col min="7681" max="7681" width="3" style="228" customWidth="1"/>
    <col min="7682" max="7682" width="36.85546875" style="228" customWidth="1"/>
    <col min="7683" max="7683" width="7.28515625" style="228" customWidth="1"/>
    <col min="7684" max="7685" width="16.42578125" style="228" customWidth="1"/>
    <col min="7686" max="7686" width="5.140625" style="228" customWidth="1"/>
    <col min="7687" max="7688" width="16.42578125" style="228" customWidth="1"/>
    <col min="7689" max="7689" width="8" style="228" customWidth="1"/>
    <col min="7690" max="7691" width="16.42578125" style="228" customWidth="1"/>
    <col min="7692" max="7936" width="9.140625" style="228"/>
    <col min="7937" max="7937" width="3" style="228" customWidth="1"/>
    <col min="7938" max="7938" width="36.85546875" style="228" customWidth="1"/>
    <col min="7939" max="7939" width="7.28515625" style="228" customWidth="1"/>
    <col min="7940" max="7941" width="16.42578125" style="228" customWidth="1"/>
    <col min="7942" max="7942" width="5.140625" style="228" customWidth="1"/>
    <col min="7943" max="7944" width="16.42578125" style="228" customWidth="1"/>
    <col min="7945" max="7945" width="8" style="228" customWidth="1"/>
    <col min="7946" max="7947" width="16.42578125" style="228" customWidth="1"/>
    <col min="7948" max="8192" width="9.140625" style="228"/>
    <col min="8193" max="8193" width="3" style="228" customWidth="1"/>
    <col min="8194" max="8194" width="36.85546875" style="228" customWidth="1"/>
    <col min="8195" max="8195" width="7.28515625" style="228" customWidth="1"/>
    <col min="8196" max="8197" width="16.42578125" style="228" customWidth="1"/>
    <col min="8198" max="8198" width="5.140625" style="228" customWidth="1"/>
    <col min="8199" max="8200" width="16.42578125" style="228" customWidth="1"/>
    <col min="8201" max="8201" width="8" style="228" customWidth="1"/>
    <col min="8202" max="8203" width="16.42578125" style="228" customWidth="1"/>
    <col min="8204" max="8448" width="9.140625" style="228"/>
    <col min="8449" max="8449" width="3" style="228" customWidth="1"/>
    <col min="8450" max="8450" width="36.85546875" style="228" customWidth="1"/>
    <col min="8451" max="8451" width="7.28515625" style="228" customWidth="1"/>
    <col min="8452" max="8453" width="16.42578125" style="228" customWidth="1"/>
    <col min="8454" max="8454" width="5.140625" style="228" customWidth="1"/>
    <col min="8455" max="8456" width="16.42578125" style="228" customWidth="1"/>
    <col min="8457" max="8457" width="8" style="228" customWidth="1"/>
    <col min="8458" max="8459" width="16.42578125" style="228" customWidth="1"/>
    <col min="8460" max="8704" width="9.140625" style="228"/>
    <col min="8705" max="8705" width="3" style="228" customWidth="1"/>
    <col min="8706" max="8706" width="36.85546875" style="228" customWidth="1"/>
    <col min="8707" max="8707" width="7.28515625" style="228" customWidth="1"/>
    <col min="8708" max="8709" width="16.42578125" style="228" customWidth="1"/>
    <col min="8710" max="8710" width="5.140625" style="228" customWidth="1"/>
    <col min="8711" max="8712" width="16.42578125" style="228" customWidth="1"/>
    <col min="8713" max="8713" width="8" style="228" customWidth="1"/>
    <col min="8714" max="8715" width="16.42578125" style="228" customWidth="1"/>
    <col min="8716" max="8960" width="9.140625" style="228"/>
    <col min="8961" max="8961" width="3" style="228" customWidth="1"/>
    <col min="8962" max="8962" width="36.85546875" style="228" customWidth="1"/>
    <col min="8963" max="8963" width="7.28515625" style="228" customWidth="1"/>
    <col min="8964" max="8965" width="16.42578125" style="228" customWidth="1"/>
    <col min="8966" max="8966" width="5.140625" style="228" customWidth="1"/>
    <col min="8967" max="8968" width="16.42578125" style="228" customWidth="1"/>
    <col min="8969" max="8969" width="8" style="228" customWidth="1"/>
    <col min="8970" max="8971" width="16.42578125" style="228" customWidth="1"/>
    <col min="8972" max="9216" width="9.140625" style="228"/>
    <col min="9217" max="9217" width="3" style="228" customWidth="1"/>
    <col min="9218" max="9218" width="36.85546875" style="228" customWidth="1"/>
    <col min="9219" max="9219" width="7.28515625" style="228" customWidth="1"/>
    <col min="9220" max="9221" width="16.42578125" style="228" customWidth="1"/>
    <col min="9222" max="9222" width="5.140625" style="228" customWidth="1"/>
    <col min="9223" max="9224" width="16.42578125" style="228" customWidth="1"/>
    <col min="9225" max="9225" width="8" style="228" customWidth="1"/>
    <col min="9226" max="9227" width="16.42578125" style="228" customWidth="1"/>
    <col min="9228" max="9472" width="9.140625" style="228"/>
    <col min="9473" max="9473" width="3" style="228" customWidth="1"/>
    <col min="9474" max="9474" width="36.85546875" style="228" customWidth="1"/>
    <col min="9475" max="9475" width="7.28515625" style="228" customWidth="1"/>
    <col min="9476" max="9477" width="16.42578125" style="228" customWidth="1"/>
    <col min="9478" max="9478" width="5.140625" style="228" customWidth="1"/>
    <col min="9479" max="9480" width="16.42578125" style="228" customWidth="1"/>
    <col min="9481" max="9481" width="8" style="228" customWidth="1"/>
    <col min="9482" max="9483" width="16.42578125" style="228" customWidth="1"/>
    <col min="9484" max="9728" width="9.140625" style="228"/>
    <col min="9729" max="9729" width="3" style="228" customWidth="1"/>
    <col min="9730" max="9730" width="36.85546875" style="228" customWidth="1"/>
    <col min="9731" max="9731" width="7.28515625" style="228" customWidth="1"/>
    <col min="9732" max="9733" width="16.42578125" style="228" customWidth="1"/>
    <col min="9734" max="9734" width="5.140625" style="228" customWidth="1"/>
    <col min="9735" max="9736" width="16.42578125" style="228" customWidth="1"/>
    <col min="9737" max="9737" width="8" style="228" customWidth="1"/>
    <col min="9738" max="9739" width="16.42578125" style="228" customWidth="1"/>
    <col min="9740" max="9984" width="9.140625" style="228"/>
    <col min="9985" max="9985" width="3" style="228" customWidth="1"/>
    <col min="9986" max="9986" width="36.85546875" style="228" customWidth="1"/>
    <col min="9987" max="9987" width="7.28515625" style="228" customWidth="1"/>
    <col min="9988" max="9989" width="16.42578125" style="228" customWidth="1"/>
    <col min="9990" max="9990" width="5.140625" style="228" customWidth="1"/>
    <col min="9991" max="9992" width="16.42578125" style="228" customWidth="1"/>
    <col min="9993" max="9993" width="8" style="228" customWidth="1"/>
    <col min="9994" max="9995" width="16.42578125" style="228" customWidth="1"/>
    <col min="9996" max="10240" width="9.140625" style="228"/>
    <col min="10241" max="10241" width="3" style="228" customWidth="1"/>
    <col min="10242" max="10242" width="36.85546875" style="228" customWidth="1"/>
    <col min="10243" max="10243" width="7.28515625" style="228" customWidth="1"/>
    <col min="10244" max="10245" width="16.42578125" style="228" customWidth="1"/>
    <col min="10246" max="10246" width="5.140625" style="228" customWidth="1"/>
    <col min="10247" max="10248" width="16.42578125" style="228" customWidth="1"/>
    <col min="10249" max="10249" width="8" style="228" customWidth="1"/>
    <col min="10250" max="10251" width="16.42578125" style="228" customWidth="1"/>
    <col min="10252" max="10496" width="9.140625" style="228"/>
    <col min="10497" max="10497" width="3" style="228" customWidth="1"/>
    <col min="10498" max="10498" width="36.85546875" style="228" customWidth="1"/>
    <col min="10499" max="10499" width="7.28515625" style="228" customWidth="1"/>
    <col min="10500" max="10501" width="16.42578125" style="228" customWidth="1"/>
    <col min="10502" max="10502" width="5.140625" style="228" customWidth="1"/>
    <col min="10503" max="10504" width="16.42578125" style="228" customWidth="1"/>
    <col min="10505" max="10505" width="8" style="228" customWidth="1"/>
    <col min="10506" max="10507" width="16.42578125" style="228" customWidth="1"/>
    <col min="10508" max="10752" width="9.140625" style="228"/>
    <col min="10753" max="10753" width="3" style="228" customWidth="1"/>
    <col min="10754" max="10754" width="36.85546875" style="228" customWidth="1"/>
    <col min="10755" max="10755" width="7.28515625" style="228" customWidth="1"/>
    <col min="10756" max="10757" width="16.42578125" style="228" customWidth="1"/>
    <col min="10758" max="10758" width="5.140625" style="228" customWidth="1"/>
    <col min="10759" max="10760" width="16.42578125" style="228" customWidth="1"/>
    <col min="10761" max="10761" width="8" style="228" customWidth="1"/>
    <col min="10762" max="10763" width="16.42578125" style="228" customWidth="1"/>
    <col min="10764" max="11008" width="9.140625" style="228"/>
    <col min="11009" max="11009" width="3" style="228" customWidth="1"/>
    <col min="11010" max="11010" width="36.85546875" style="228" customWidth="1"/>
    <col min="11011" max="11011" width="7.28515625" style="228" customWidth="1"/>
    <col min="11012" max="11013" width="16.42578125" style="228" customWidth="1"/>
    <col min="11014" max="11014" width="5.140625" style="228" customWidth="1"/>
    <col min="11015" max="11016" width="16.42578125" style="228" customWidth="1"/>
    <col min="11017" max="11017" width="8" style="228" customWidth="1"/>
    <col min="11018" max="11019" width="16.42578125" style="228" customWidth="1"/>
    <col min="11020" max="11264" width="9.140625" style="228"/>
    <col min="11265" max="11265" width="3" style="228" customWidth="1"/>
    <col min="11266" max="11266" width="36.85546875" style="228" customWidth="1"/>
    <col min="11267" max="11267" width="7.28515625" style="228" customWidth="1"/>
    <col min="11268" max="11269" width="16.42578125" style="228" customWidth="1"/>
    <col min="11270" max="11270" width="5.140625" style="228" customWidth="1"/>
    <col min="11271" max="11272" width="16.42578125" style="228" customWidth="1"/>
    <col min="11273" max="11273" width="8" style="228" customWidth="1"/>
    <col min="11274" max="11275" width="16.42578125" style="228" customWidth="1"/>
    <col min="11276" max="11520" width="9.140625" style="228"/>
    <col min="11521" max="11521" width="3" style="228" customWidth="1"/>
    <col min="11522" max="11522" width="36.85546875" style="228" customWidth="1"/>
    <col min="11523" max="11523" width="7.28515625" style="228" customWidth="1"/>
    <col min="11524" max="11525" width="16.42578125" style="228" customWidth="1"/>
    <col min="11526" max="11526" width="5.140625" style="228" customWidth="1"/>
    <col min="11527" max="11528" width="16.42578125" style="228" customWidth="1"/>
    <col min="11529" max="11529" width="8" style="228" customWidth="1"/>
    <col min="11530" max="11531" width="16.42578125" style="228" customWidth="1"/>
    <col min="11532" max="11776" width="9.140625" style="228"/>
    <col min="11777" max="11777" width="3" style="228" customWidth="1"/>
    <col min="11778" max="11778" width="36.85546875" style="228" customWidth="1"/>
    <col min="11779" max="11779" width="7.28515625" style="228" customWidth="1"/>
    <col min="11780" max="11781" width="16.42578125" style="228" customWidth="1"/>
    <col min="11782" max="11782" width="5.140625" style="228" customWidth="1"/>
    <col min="11783" max="11784" width="16.42578125" style="228" customWidth="1"/>
    <col min="11785" max="11785" width="8" style="228" customWidth="1"/>
    <col min="11786" max="11787" width="16.42578125" style="228" customWidth="1"/>
    <col min="11788" max="12032" width="9.140625" style="228"/>
    <col min="12033" max="12033" width="3" style="228" customWidth="1"/>
    <col min="12034" max="12034" width="36.85546875" style="228" customWidth="1"/>
    <col min="12035" max="12035" width="7.28515625" style="228" customWidth="1"/>
    <col min="12036" max="12037" width="16.42578125" style="228" customWidth="1"/>
    <col min="12038" max="12038" width="5.140625" style="228" customWidth="1"/>
    <col min="12039" max="12040" width="16.42578125" style="228" customWidth="1"/>
    <col min="12041" max="12041" width="8" style="228" customWidth="1"/>
    <col min="12042" max="12043" width="16.42578125" style="228" customWidth="1"/>
    <col min="12044" max="12288" width="9.140625" style="228"/>
    <col min="12289" max="12289" width="3" style="228" customWidth="1"/>
    <col min="12290" max="12290" width="36.85546875" style="228" customWidth="1"/>
    <col min="12291" max="12291" width="7.28515625" style="228" customWidth="1"/>
    <col min="12292" max="12293" width="16.42578125" style="228" customWidth="1"/>
    <col min="12294" max="12294" width="5.140625" style="228" customWidth="1"/>
    <col min="12295" max="12296" width="16.42578125" style="228" customWidth="1"/>
    <col min="12297" max="12297" width="8" style="228" customWidth="1"/>
    <col min="12298" max="12299" width="16.42578125" style="228" customWidth="1"/>
    <col min="12300" max="12544" width="9.140625" style="228"/>
    <col min="12545" max="12545" width="3" style="228" customWidth="1"/>
    <col min="12546" max="12546" width="36.85546875" style="228" customWidth="1"/>
    <col min="12547" max="12547" width="7.28515625" style="228" customWidth="1"/>
    <col min="12548" max="12549" width="16.42578125" style="228" customWidth="1"/>
    <col min="12550" max="12550" width="5.140625" style="228" customWidth="1"/>
    <col min="12551" max="12552" width="16.42578125" style="228" customWidth="1"/>
    <col min="12553" max="12553" width="8" style="228" customWidth="1"/>
    <col min="12554" max="12555" width="16.42578125" style="228" customWidth="1"/>
    <col min="12556" max="12800" width="9.140625" style="228"/>
    <col min="12801" max="12801" width="3" style="228" customWidth="1"/>
    <col min="12802" max="12802" width="36.85546875" style="228" customWidth="1"/>
    <col min="12803" max="12803" width="7.28515625" style="228" customWidth="1"/>
    <col min="12804" max="12805" width="16.42578125" style="228" customWidth="1"/>
    <col min="12806" max="12806" width="5.140625" style="228" customWidth="1"/>
    <col min="12807" max="12808" width="16.42578125" style="228" customWidth="1"/>
    <col min="12809" max="12809" width="8" style="228" customWidth="1"/>
    <col min="12810" max="12811" width="16.42578125" style="228" customWidth="1"/>
    <col min="12812" max="13056" width="9.140625" style="228"/>
    <col min="13057" max="13057" width="3" style="228" customWidth="1"/>
    <col min="13058" max="13058" width="36.85546875" style="228" customWidth="1"/>
    <col min="13059" max="13059" width="7.28515625" style="228" customWidth="1"/>
    <col min="13060" max="13061" width="16.42578125" style="228" customWidth="1"/>
    <col min="13062" max="13062" width="5.140625" style="228" customWidth="1"/>
    <col min="13063" max="13064" width="16.42578125" style="228" customWidth="1"/>
    <col min="13065" max="13065" width="8" style="228" customWidth="1"/>
    <col min="13066" max="13067" width="16.42578125" style="228" customWidth="1"/>
    <col min="13068" max="13312" width="9.140625" style="228"/>
    <col min="13313" max="13313" width="3" style="228" customWidth="1"/>
    <col min="13314" max="13314" width="36.85546875" style="228" customWidth="1"/>
    <col min="13315" max="13315" width="7.28515625" style="228" customWidth="1"/>
    <col min="13316" max="13317" width="16.42578125" style="228" customWidth="1"/>
    <col min="13318" max="13318" width="5.140625" style="228" customWidth="1"/>
    <col min="13319" max="13320" width="16.42578125" style="228" customWidth="1"/>
    <col min="13321" max="13321" width="8" style="228" customWidth="1"/>
    <col min="13322" max="13323" width="16.42578125" style="228" customWidth="1"/>
    <col min="13324" max="13568" width="9.140625" style="228"/>
    <col min="13569" max="13569" width="3" style="228" customWidth="1"/>
    <col min="13570" max="13570" width="36.85546875" style="228" customWidth="1"/>
    <col min="13571" max="13571" width="7.28515625" style="228" customWidth="1"/>
    <col min="13572" max="13573" width="16.42578125" style="228" customWidth="1"/>
    <col min="13574" max="13574" width="5.140625" style="228" customWidth="1"/>
    <col min="13575" max="13576" width="16.42578125" style="228" customWidth="1"/>
    <col min="13577" max="13577" width="8" style="228" customWidth="1"/>
    <col min="13578" max="13579" width="16.42578125" style="228" customWidth="1"/>
    <col min="13580" max="13824" width="9.140625" style="228"/>
    <col min="13825" max="13825" width="3" style="228" customWidth="1"/>
    <col min="13826" max="13826" width="36.85546875" style="228" customWidth="1"/>
    <col min="13827" max="13827" width="7.28515625" style="228" customWidth="1"/>
    <col min="13828" max="13829" width="16.42578125" style="228" customWidth="1"/>
    <col min="13830" max="13830" width="5.140625" style="228" customWidth="1"/>
    <col min="13831" max="13832" width="16.42578125" style="228" customWidth="1"/>
    <col min="13833" max="13833" width="8" style="228" customWidth="1"/>
    <col min="13834" max="13835" width="16.42578125" style="228" customWidth="1"/>
    <col min="13836" max="14080" width="9.140625" style="228"/>
    <col min="14081" max="14081" width="3" style="228" customWidth="1"/>
    <col min="14082" max="14082" width="36.85546875" style="228" customWidth="1"/>
    <col min="14083" max="14083" width="7.28515625" style="228" customWidth="1"/>
    <col min="14084" max="14085" width="16.42578125" style="228" customWidth="1"/>
    <col min="14086" max="14086" width="5.140625" style="228" customWidth="1"/>
    <col min="14087" max="14088" width="16.42578125" style="228" customWidth="1"/>
    <col min="14089" max="14089" width="8" style="228" customWidth="1"/>
    <col min="14090" max="14091" width="16.42578125" style="228" customWidth="1"/>
    <col min="14092" max="14336" width="9.140625" style="228"/>
    <col min="14337" max="14337" width="3" style="228" customWidth="1"/>
    <col min="14338" max="14338" width="36.85546875" style="228" customWidth="1"/>
    <col min="14339" max="14339" width="7.28515625" style="228" customWidth="1"/>
    <col min="14340" max="14341" width="16.42578125" style="228" customWidth="1"/>
    <col min="14342" max="14342" width="5.140625" style="228" customWidth="1"/>
    <col min="14343" max="14344" width="16.42578125" style="228" customWidth="1"/>
    <col min="14345" max="14345" width="8" style="228" customWidth="1"/>
    <col min="14346" max="14347" width="16.42578125" style="228" customWidth="1"/>
    <col min="14348" max="14592" width="9.140625" style="228"/>
    <col min="14593" max="14593" width="3" style="228" customWidth="1"/>
    <col min="14594" max="14594" width="36.85546875" style="228" customWidth="1"/>
    <col min="14595" max="14595" width="7.28515625" style="228" customWidth="1"/>
    <col min="14596" max="14597" width="16.42578125" style="228" customWidth="1"/>
    <col min="14598" max="14598" width="5.140625" style="228" customWidth="1"/>
    <col min="14599" max="14600" width="16.42578125" style="228" customWidth="1"/>
    <col min="14601" max="14601" width="8" style="228" customWidth="1"/>
    <col min="14602" max="14603" width="16.42578125" style="228" customWidth="1"/>
    <col min="14604" max="14848" width="9.140625" style="228"/>
    <col min="14849" max="14849" width="3" style="228" customWidth="1"/>
    <col min="14850" max="14850" width="36.85546875" style="228" customWidth="1"/>
    <col min="14851" max="14851" width="7.28515625" style="228" customWidth="1"/>
    <col min="14852" max="14853" width="16.42578125" style="228" customWidth="1"/>
    <col min="14854" max="14854" width="5.140625" style="228" customWidth="1"/>
    <col min="14855" max="14856" width="16.42578125" style="228" customWidth="1"/>
    <col min="14857" max="14857" width="8" style="228" customWidth="1"/>
    <col min="14858" max="14859" width="16.42578125" style="228" customWidth="1"/>
    <col min="14860" max="15104" width="9.140625" style="228"/>
    <col min="15105" max="15105" width="3" style="228" customWidth="1"/>
    <col min="15106" max="15106" width="36.85546875" style="228" customWidth="1"/>
    <col min="15107" max="15107" width="7.28515625" style="228" customWidth="1"/>
    <col min="15108" max="15109" width="16.42578125" style="228" customWidth="1"/>
    <col min="15110" max="15110" width="5.140625" style="228" customWidth="1"/>
    <col min="15111" max="15112" width="16.42578125" style="228" customWidth="1"/>
    <col min="15113" max="15113" width="8" style="228" customWidth="1"/>
    <col min="15114" max="15115" width="16.42578125" style="228" customWidth="1"/>
    <col min="15116" max="15360" width="9.140625" style="228"/>
    <col min="15361" max="15361" width="3" style="228" customWidth="1"/>
    <col min="15362" max="15362" width="36.85546875" style="228" customWidth="1"/>
    <col min="15363" max="15363" width="7.28515625" style="228" customWidth="1"/>
    <col min="15364" max="15365" width="16.42578125" style="228" customWidth="1"/>
    <col min="15366" max="15366" width="5.140625" style="228" customWidth="1"/>
    <col min="15367" max="15368" width="16.42578125" style="228" customWidth="1"/>
    <col min="15369" max="15369" width="8" style="228" customWidth="1"/>
    <col min="15370" max="15371" width="16.42578125" style="228" customWidth="1"/>
    <col min="15372" max="15616" width="9.140625" style="228"/>
    <col min="15617" max="15617" width="3" style="228" customWidth="1"/>
    <col min="15618" max="15618" width="36.85546875" style="228" customWidth="1"/>
    <col min="15619" max="15619" width="7.28515625" style="228" customWidth="1"/>
    <col min="15620" max="15621" width="16.42578125" style="228" customWidth="1"/>
    <col min="15622" max="15622" width="5.140625" style="228" customWidth="1"/>
    <col min="15623" max="15624" width="16.42578125" style="228" customWidth="1"/>
    <col min="15625" max="15625" width="8" style="228" customWidth="1"/>
    <col min="15626" max="15627" width="16.42578125" style="228" customWidth="1"/>
    <col min="15628" max="15872" width="9.140625" style="228"/>
    <col min="15873" max="15873" width="3" style="228" customWidth="1"/>
    <col min="15874" max="15874" width="36.85546875" style="228" customWidth="1"/>
    <col min="15875" max="15875" width="7.28515625" style="228" customWidth="1"/>
    <col min="15876" max="15877" width="16.42578125" style="228" customWidth="1"/>
    <col min="15878" max="15878" width="5.140625" style="228" customWidth="1"/>
    <col min="15879" max="15880" width="16.42578125" style="228" customWidth="1"/>
    <col min="15881" max="15881" width="8" style="228" customWidth="1"/>
    <col min="15882" max="15883" width="16.42578125" style="228" customWidth="1"/>
    <col min="15884" max="16128" width="9.140625" style="228"/>
    <col min="16129" max="16129" width="3" style="228" customWidth="1"/>
    <col min="16130" max="16130" width="36.85546875" style="228" customWidth="1"/>
    <col min="16131" max="16131" width="7.28515625" style="228" customWidth="1"/>
    <col min="16132" max="16133" width="16.42578125" style="228" customWidth="1"/>
    <col min="16134" max="16134" width="5.140625" style="228" customWidth="1"/>
    <col min="16135" max="16136" width="16.42578125" style="228" customWidth="1"/>
    <col min="16137" max="16137" width="8" style="228" customWidth="1"/>
    <col min="16138" max="16139" width="16.42578125" style="228" customWidth="1"/>
    <col min="16140" max="16384" width="9.140625" style="228"/>
  </cols>
  <sheetData>
    <row r="1" spans="1:11" ht="28.5" customHeight="1" x14ac:dyDescent="0.2">
      <c r="B1" s="74"/>
      <c r="C1" s="74"/>
      <c r="D1" s="74"/>
      <c r="E1" s="74"/>
      <c r="F1" s="74"/>
      <c r="G1" s="74"/>
      <c r="H1" s="605" t="s">
        <v>781</v>
      </c>
      <c r="I1" s="605"/>
      <c r="J1" s="605"/>
      <c r="K1" s="605"/>
    </row>
    <row r="2" spans="1:11" x14ac:dyDescent="0.2">
      <c r="A2" s="606" t="s">
        <v>782</v>
      </c>
      <c r="B2" s="606"/>
      <c r="C2" s="606"/>
      <c r="D2" s="606"/>
      <c r="E2" s="606"/>
      <c r="F2" s="606"/>
      <c r="G2" s="606"/>
      <c r="H2" s="606"/>
      <c r="I2" s="606"/>
      <c r="J2" s="606"/>
      <c r="K2" s="606"/>
    </row>
    <row r="3" spans="1:11" x14ac:dyDescent="0.2">
      <c r="A3" s="450"/>
      <c r="B3" s="450"/>
      <c r="C3" s="450"/>
      <c r="D3" s="450"/>
      <c r="E3" s="450"/>
      <c r="F3" s="450"/>
      <c r="G3" s="450"/>
      <c r="H3" s="450"/>
      <c r="I3" s="450"/>
      <c r="J3" s="450"/>
      <c r="K3" s="450"/>
    </row>
    <row r="4" spans="1:11" x14ac:dyDescent="0.2">
      <c r="A4" s="607" t="s">
        <v>783</v>
      </c>
      <c r="B4" s="607"/>
      <c r="C4" s="607"/>
      <c r="D4" s="607"/>
      <c r="E4" s="607"/>
      <c r="F4" s="607"/>
      <c r="G4" s="607"/>
      <c r="H4" s="607"/>
      <c r="I4" s="607"/>
      <c r="J4" s="607"/>
      <c r="K4" s="607"/>
    </row>
    <row r="5" spans="1:11" x14ac:dyDescent="0.2">
      <c r="A5" s="603" t="s">
        <v>779</v>
      </c>
      <c r="B5" s="603"/>
      <c r="C5" s="603"/>
      <c r="D5" s="229"/>
      <c r="E5" s="451"/>
      <c r="F5" s="230"/>
      <c r="G5" s="74"/>
      <c r="H5" s="231"/>
      <c r="I5" s="231"/>
      <c r="J5" s="562" t="s">
        <v>742</v>
      </c>
      <c r="K5" s="562"/>
    </row>
    <row r="6" spans="1:11" x14ac:dyDescent="0.2">
      <c r="A6" s="451"/>
      <c r="B6" s="74"/>
      <c r="C6" s="74"/>
      <c r="D6" s="74"/>
      <c r="E6" s="74"/>
      <c r="F6" s="74"/>
      <c r="G6" s="74"/>
      <c r="H6" s="74"/>
      <c r="I6" s="74"/>
      <c r="J6" s="562" t="s">
        <v>279</v>
      </c>
      <c r="K6" s="562"/>
    </row>
    <row r="7" spans="1:11" ht="62.25" customHeight="1" x14ac:dyDescent="0.2">
      <c r="A7" s="232"/>
      <c r="B7" s="233" t="s">
        <v>229</v>
      </c>
      <c r="C7" s="234" t="s">
        <v>784</v>
      </c>
      <c r="D7" s="234" t="s">
        <v>230</v>
      </c>
      <c r="E7" s="234" t="s">
        <v>231</v>
      </c>
      <c r="F7" s="234" t="s">
        <v>785</v>
      </c>
      <c r="G7" s="234" t="s">
        <v>232</v>
      </c>
      <c r="H7" s="234" t="s">
        <v>786</v>
      </c>
      <c r="I7" s="234" t="s">
        <v>787</v>
      </c>
      <c r="J7" s="234" t="s">
        <v>233</v>
      </c>
      <c r="K7" s="234" t="s">
        <v>234</v>
      </c>
    </row>
    <row r="8" spans="1:11" x14ac:dyDescent="0.2">
      <c r="A8" s="232" t="s">
        <v>282</v>
      </c>
      <c r="B8" s="233" t="s">
        <v>283</v>
      </c>
      <c r="C8" s="233">
        <v>1</v>
      </c>
      <c r="D8" s="233">
        <v>2</v>
      </c>
      <c r="E8" s="233">
        <v>3</v>
      </c>
      <c r="F8" s="233">
        <v>4</v>
      </c>
      <c r="G8" s="233">
        <v>5</v>
      </c>
      <c r="H8" s="233">
        <v>6</v>
      </c>
      <c r="I8" s="233">
        <v>7</v>
      </c>
      <c r="J8" s="233">
        <v>8</v>
      </c>
      <c r="K8" s="233">
        <v>9</v>
      </c>
    </row>
    <row r="9" spans="1:11" ht="14.25" customHeight="1" x14ac:dyDescent="0.2">
      <c r="A9" s="279">
        <v>1</v>
      </c>
      <c r="B9" s="280" t="str">
        <f>"Банкны харилцах, хадгаламж "</f>
        <v xml:space="preserve">Банкны харилцах, хадгаламж </v>
      </c>
      <c r="C9" s="275">
        <v>1</v>
      </c>
      <c r="D9" s="235">
        <f>IF(i.04144a!C9&lt;=1*(i.04130!$E$46-i.04130!$E$39-i.04130!$E$40),i.04144a!C9,1*(i.04130!$E$46-i.04130!$E$39-i.04130!$E$40))</f>
        <v>0</v>
      </c>
      <c r="E9" s="235">
        <f>i.04144a!C9-i.04144!D9</f>
        <v>0</v>
      </c>
      <c r="F9" s="276">
        <v>0.35</v>
      </c>
      <c r="G9" s="236">
        <f>i.04144a!D9</f>
        <v>0</v>
      </c>
      <c r="H9" s="236">
        <f>i.04144a!E9</f>
        <v>0</v>
      </c>
      <c r="I9" s="276">
        <v>0</v>
      </c>
      <c r="J9" s="236">
        <f>D9*I9</f>
        <v>0</v>
      </c>
      <c r="K9" s="237">
        <f>J9+H9+E9</f>
        <v>0</v>
      </c>
    </row>
    <row r="10" spans="1:11" ht="21.75" customHeight="1" x14ac:dyDescent="0.2">
      <c r="A10" s="279">
        <v>2</v>
      </c>
      <c r="B10" s="280" t="str">
        <f>"Гадаадын банкин дахь харилцах, хадгаламж, хадгаламжийн сертификат "</f>
        <v xml:space="preserve">Гадаадын банкин дахь харилцах, хадгаламж, хадгаламжийн сертификат </v>
      </c>
      <c r="C10" s="238">
        <v>0.02</v>
      </c>
      <c r="D10" s="235">
        <f>IF(i.04144a!C30&lt;=0.02*(i.04130!$E$46-i.04130!$E$39-i.04130!$E$40),i.04144a!C30,0.02*(i.04130!$E$46-i.04130!$E$39-i.04130!$E$40))</f>
        <v>0</v>
      </c>
      <c r="E10" s="235">
        <f>i.04144a!C30-i.04144!D10</f>
        <v>0</v>
      </c>
      <c r="F10" s="239">
        <v>0.01</v>
      </c>
      <c r="G10" s="236">
        <f>i.04144a!D30</f>
        <v>0</v>
      </c>
      <c r="H10" s="236">
        <f>i.04144a!E30</f>
        <v>0</v>
      </c>
      <c r="I10" s="239">
        <v>0</v>
      </c>
      <c r="J10" s="236">
        <f t="shared" ref="J10:J20" si="0">D10*I10</f>
        <v>0</v>
      </c>
      <c r="K10" s="237">
        <f>J10+H10+E10</f>
        <v>0</v>
      </c>
    </row>
    <row r="11" spans="1:11" ht="21.75" customHeight="1" x14ac:dyDescent="0.2">
      <c r="A11" s="279">
        <v>3</v>
      </c>
      <c r="B11" s="280" t="str">
        <f>"Дотоодын банк бус санхүүгийн байгууллагад итгэлцлээр байршуулсан мөнгөн хөрөнгө "</f>
        <v xml:space="preserve">Дотоодын банк бус санхүүгийн байгууллагад итгэлцлээр байршуулсан мөнгөн хөрөнгө </v>
      </c>
      <c r="C11" s="238">
        <v>0.2</v>
      </c>
      <c r="D11" s="235">
        <f>IF(i.04144a!C42&lt;=0.2*(i.04130!$E$46-i.04130!$E$39-i.04130!$E$40),i.04144a!C42,0.2*(i.04130!$E$46-i.04130!$E$39-i.04130!$E$40))</f>
        <v>0</v>
      </c>
      <c r="E11" s="235">
        <f>i.04144a!C42-i.04144!D11</f>
        <v>0</v>
      </c>
      <c r="F11" s="239">
        <v>0.05</v>
      </c>
      <c r="G11" s="236">
        <f>i.04144a!D42</f>
        <v>0</v>
      </c>
      <c r="H11" s="236">
        <f>i.04144a!E42</f>
        <v>0</v>
      </c>
      <c r="I11" s="239">
        <v>0.05</v>
      </c>
      <c r="J11" s="236">
        <f t="shared" si="0"/>
        <v>0</v>
      </c>
      <c r="K11" s="237">
        <f t="shared" ref="K11:K20" si="1">J11+H11+E11</f>
        <v>0</v>
      </c>
    </row>
    <row r="12" spans="1:11" ht="13.5" customHeight="1" x14ac:dyDescent="0.2">
      <c r="A12" s="452">
        <v>4</v>
      </c>
      <c r="B12" s="280" t="str">
        <f>"Бэлэн мөнгө "</f>
        <v xml:space="preserve">Бэлэн мөнгө </v>
      </c>
      <c r="C12" s="275">
        <v>0.02</v>
      </c>
      <c r="D12" s="235">
        <f>IF(i.04144a!C54&lt;=0.02*(i.04130!$E$46-i.04130!$E$39-i.04130!$E$40),i.04144a!C54,0.02*(i.04130!$E$46-i.04130!$E$39-i.04130!$E$40))</f>
        <v>0</v>
      </c>
      <c r="E12" s="235">
        <f>i.04144a!C54-i.04144!D12</f>
        <v>0</v>
      </c>
      <c r="F12" s="276">
        <v>0.02</v>
      </c>
      <c r="G12" s="236">
        <f>i.04144a!D54</f>
        <v>0</v>
      </c>
      <c r="H12" s="236">
        <f>i.04144a!E54</f>
        <v>0</v>
      </c>
      <c r="I12" s="276">
        <v>0</v>
      </c>
      <c r="J12" s="236">
        <f t="shared" si="0"/>
        <v>0</v>
      </c>
      <c r="K12" s="237">
        <f t="shared" si="1"/>
        <v>0</v>
      </c>
    </row>
    <row r="13" spans="1:11" x14ac:dyDescent="0.2">
      <c r="A13" s="608">
        <v>5</v>
      </c>
      <c r="B13" s="280" t="str">
        <f>"Хэвийн авлага "</f>
        <v xml:space="preserve">Хэвийн авлага </v>
      </c>
      <c r="C13" s="275">
        <v>0.2</v>
      </c>
      <c r="D13" s="235">
        <f>IF(i.04144a!C55&lt;=0.2*(i.04130!$E$46-i.04130!$E$39-i.04130!$E$40),i.04144a!C55,0.2*(i.04130!$E$46-i.04130!$E$39-i.04130!$E$40))</f>
        <v>0</v>
      </c>
      <c r="E13" s="235">
        <f>i.04144a!C55-i.04144!D13</f>
        <v>0</v>
      </c>
      <c r="F13" s="276">
        <v>0.2</v>
      </c>
      <c r="G13" s="236">
        <f>i.04144a!D55</f>
        <v>0</v>
      </c>
      <c r="H13" s="236">
        <f>i.04144a!E55</f>
        <v>0</v>
      </c>
      <c r="I13" s="276">
        <v>0</v>
      </c>
      <c r="J13" s="236">
        <f t="shared" si="0"/>
        <v>0</v>
      </c>
      <c r="K13" s="237">
        <f t="shared" si="1"/>
        <v>0</v>
      </c>
    </row>
    <row r="14" spans="1:11" x14ac:dyDescent="0.2">
      <c r="A14" s="608"/>
      <c r="B14" s="280" t="str">
        <f>"Хугацаа хэтэрсэн авлага\ "</f>
        <v xml:space="preserve">Хугацаа хэтэрсэн авлага\ </v>
      </c>
      <c r="C14" s="275">
        <v>0.15</v>
      </c>
      <c r="D14" s="235">
        <f>IF(i.04144a!C62&lt;=0.15*(i.04130!$E$46-i.04130!$E$39-i.04130!$E$40),i.04144a!C62,0.15*(i.04130!$E$46-i.04130!$E$39-i.04130!$E$40))</f>
        <v>0</v>
      </c>
      <c r="E14" s="235">
        <f>i.04144a!C62-i.04144!D14</f>
        <v>0</v>
      </c>
      <c r="F14" s="276">
        <v>0.15</v>
      </c>
      <c r="G14" s="236">
        <f>i.04144a!D62</f>
        <v>0</v>
      </c>
      <c r="H14" s="236">
        <f>i.04144a!E62</f>
        <v>0</v>
      </c>
      <c r="I14" s="276">
        <v>0.25</v>
      </c>
      <c r="J14" s="236">
        <f t="shared" si="0"/>
        <v>0</v>
      </c>
      <c r="K14" s="237">
        <f t="shared" si="1"/>
        <v>0</v>
      </c>
    </row>
    <row r="15" spans="1:11" x14ac:dyDescent="0.2">
      <c r="A15" s="608"/>
      <c r="B15" s="280" t="str">
        <f>"Хэвийн бус авлага "</f>
        <v xml:space="preserve">Хэвийн бус авлага </v>
      </c>
      <c r="C15" s="275">
        <v>0.1</v>
      </c>
      <c r="D15" s="235">
        <f>IF(i.04144a!C69&lt;=0.1*(i.04130!$E$46-i.04130!$E$39-i.04130!$E$40),i.04144a!C69,0.1*(i.04130!$E$46-i.04130!$E$39-i.04130!$E$40))</f>
        <v>0</v>
      </c>
      <c r="E15" s="235">
        <f>i.04144a!C69-i.04144!D15</f>
        <v>0</v>
      </c>
      <c r="F15" s="276">
        <v>0.1</v>
      </c>
      <c r="G15" s="236">
        <f>i.04144a!D69</f>
        <v>0</v>
      </c>
      <c r="H15" s="236">
        <f>i.04144a!E69</f>
        <v>0</v>
      </c>
      <c r="I15" s="276">
        <v>0.5</v>
      </c>
      <c r="J15" s="236">
        <f t="shared" si="0"/>
        <v>0</v>
      </c>
      <c r="K15" s="237">
        <f t="shared" si="1"/>
        <v>0</v>
      </c>
    </row>
    <row r="16" spans="1:11" x14ac:dyDescent="0.2">
      <c r="A16" s="608"/>
      <c r="B16" s="280" t="str">
        <f>"Эргэлзээтэй авлага "</f>
        <v xml:space="preserve">Эргэлзээтэй авлага </v>
      </c>
      <c r="C16" s="275">
        <v>0</v>
      </c>
      <c r="D16" s="235">
        <f>IF(i.04144a!C76&lt;=0*(i.04130!$E$46-i.04130!$E$39-i.04130!$E$40),i.04144a!C76,0*(i.04130!$E$46-i.04130!$E$39-i.04130!$E$40))</f>
        <v>0</v>
      </c>
      <c r="E16" s="235">
        <f>i.04144a!C76-i.04144!D16</f>
        <v>0</v>
      </c>
      <c r="F16" s="276">
        <v>0</v>
      </c>
      <c r="G16" s="236">
        <f>i.04144a!D76</f>
        <v>0</v>
      </c>
      <c r="H16" s="236">
        <f>i.04144a!E76</f>
        <v>0</v>
      </c>
      <c r="I16" s="276">
        <v>1</v>
      </c>
      <c r="J16" s="236">
        <f t="shared" si="0"/>
        <v>0</v>
      </c>
      <c r="K16" s="237">
        <f>+E16</f>
        <v>0</v>
      </c>
    </row>
    <row r="17" spans="1:11" x14ac:dyDescent="0.2">
      <c r="A17" s="608"/>
      <c r="B17" s="280" t="str">
        <f>"Муу авлага "</f>
        <v xml:space="preserve">Муу авлага </v>
      </c>
      <c r="C17" s="275">
        <v>0</v>
      </c>
      <c r="D17" s="235">
        <f>IF(i.04144a!C83&lt;=0*(i.04130!$E$46-i.04130!$E$39-i.04130!$E$40),i.04144a!C83,0*(i.04130!$E$46-i.04130!$E$39-i.04130!$E$40))</f>
        <v>0</v>
      </c>
      <c r="E17" s="235">
        <f>i.04144a!C83-i.04144!D17</f>
        <v>0</v>
      </c>
      <c r="F17" s="276">
        <v>0</v>
      </c>
      <c r="G17" s="236">
        <f>i.04144a!D83</f>
        <v>0</v>
      </c>
      <c r="H17" s="236">
        <f>i.04144a!E83</f>
        <v>0</v>
      </c>
      <c r="I17" s="276">
        <v>1</v>
      </c>
      <c r="J17" s="236">
        <f t="shared" si="0"/>
        <v>0</v>
      </c>
      <c r="K17" s="237">
        <f>+E17</f>
        <v>0</v>
      </c>
    </row>
    <row r="18" spans="1:11" ht="12" customHeight="1" x14ac:dyDescent="0.2">
      <c r="A18" s="279">
        <v>6</v>
      </c>
      <c r="B18" s="280" t="str">
        <f>"Банкны хадгаламжийн сертификат "</f>
        <v xml:space="preserve">Банкны хадгаламжийн сертификат </v>
      </c>
      <c r="C18" s="275">
        <v>0.5</v>
      </c>
      <c r="D18" s="235">
        <f>IF(i.04144a!C90&lt;=0.5*(i.04130!$E$46-i.04130!$E$39-i.04130!$E$40),i.04144a!C90,0.5*(i.04130!$E$46-i.04130!$E$39-i.04130!$E$40))</f>
        <v>0</v>
      </c>
      <c r="E18" s="235">
        <f>i.04144a!C90-i.04144!D18</f>
        <v>0</v>
      </c>
      <c r="F18" s="276">
        <v>0.2</v>
      </c>
      <c r="G18" s="236">
        <f>i.04144a!D90</f>
        <v>0</v>
      </c>
      <c r="H18" s="236">
        <f>i.04144a!E90</f>
        <v>0</v>
      </c>
      <c r="I18" s="276">
        <v>0</v>
      </c>
      <c r="J18" s="236">
        <f t="shared" si="0"/>
        <v>0</v>
      </c>
      <c r="K18" s="237">
        <f t="shared" si="1"/>
        <v>0</v>
      </c>
    </row>
    <row r="19" spans="1:11" ht="12" customHeight="1" x14ac:dyDescent="0.2">
      <c r="A19" s="452">
        <v>7</v>
      </c>
      <c r="B19" s="280" t="str">
        <f>"Засгийн газраас гаргасан өрийн хэрэгсэл"</f>
        <v>Засгийн газраас гаргасан өрийн хэрэгсэл</v>
      </c>
      <c r="C19" s="275">
        <v>1</v>
      </c>
      <c r="D19" s="235">
        <f>IF(i.04144a!C102&lt;=1*(i.04130!$E$46-i.04130!$E$39-i.04130!$E$40),i.04144a!C102,1*(i.04130!$E$46-i.04130!$E$39-i.04130!$E$40))</f>
        <v>0</v>
      </c>
      <c r="E19" s="235">
        <f>i.04144a!C102-i.04144!D19</f>
        <v>0</v>
      </c>
      <c r="F19" s="276">
        <v>1</v>
      </c>
      <c r="G19" s="236">
        <f>i.04144a!D102</f>
        <v>0</v>
      </c>
      <c r="H19" s="236">
        <f>i.04144a!E102</f>
        <v>0</v>
      </c>
      <c r="I19" s="276">
        <v>0</v>
      </c>
      <c r="J19" s="236">
        <f t="shared" si="0"/>
        <v>0</v>
      </c>
      <c r="K19" s="237">
        <f t="shared" si="1"/>
        <v>0</v>
      </c>
    </row>
    <row r="20" spans="1:11" ht="12" customHeight="1" x14ac:dyDescent="0.2">
      <c r="A20" s="393">
        <v>8</v>
      </c>
      <c r="B20" s="280" t="str">
        <f>"Төв банкны үнэт цаас "</f>
        <v xml:space="preserve">Төв банкны үнэт цаас </v>
      </c>
      <c r="C20" s="275">
        <v>0.6</v>
      </c>
      <c r="D20" s="235">
        <f>IF(i.04144a!C103&lt;=0.6*(i.04130!$E$46-i.04130!$E$39-i.04130!$E$40),i.04144a!C103,0.6*(i.04130!$E$46-i.04130!$E$39-i.04130!$E$40))</f>
        <v>0</v>
      </c>
      <c r="E20" s="235">
        <f>i.04144a!C103-i.04144!D20</f>
        <v>0</v>
      </c>
      <c r="F20" s="276">
        <v>0.6</v>
      </c>
      <c r="G20" s="236">
        <f>i.04144a!D103</f>
        <v>0</v>
      </c>
      <c r="H20" s="236">
        <f>i.04144a!E103</f>
        <v>0</v>
      </c>
      <c r="I20" s="276">
        <v>0</v>
      </c>
      <c r="J20" s="236">
        <f t="shared" si="0"/>
        <v>0</v>
      </c>
      <c r="K20" s="237">
        <f t="shared" si="1"/>
        <v>0</v>
      </c>
    </row>
    <row r="21" spans="1:11" x14ac:dyDescent="0.2">
      <c r="A21" s="388">
        <v>9</v>
      </c>
      <c r="B21" s="394" t="str">
        <f>"Хөрөнгөөр баталгаажсан үнэт цаас "</f>
        <v xml:space="preserve">Хөрөнгөөр баталгаажсан үнэт цаас </v>
      </c>
      <c r="C21" s="390">
        <v>0.6</v>
      </c>
      <c r="D21" s="235">
        <f>IF(i.04144a!C104&lt;=0.6*(i.04130!$E$46-i.04130!$E$39-i.04130!$E$40),i.04144a!C104,0.6*(i.04130!$E$46-i.04130!$E$39-i.04130!$E$40))</f>
        <v>0</v>
      </c>
      <c r="E21" s="235">
        <f>i.04144a!C104-i.04144!D21</f>
        <v>0</v>
      </c>
      <c r="F21" s="276">
        <v>0.2</v>
      </c>
      <c r="G21" s="236">
        <f>i.04144a!D104</f>
        <v>0</v>
      </c>
      <c r="H21" s="236">
        <f>i.04144a!E104</f>
        <v>0</v>
      </c>
      <c r="I21" s="276">
        <v>0</v>
      </c>
      <c r="J21" s="515"/>
      <c r="K21" s="237">
        <f>J21+J22+J23+J24+J25+H21+E21</f>
        <v>0</v>
      </c>
    </row>
    <row r="22" spans="1:11" x14ac:dyDescent="0.2">
      <c r="A22" s="382"/>
      <c r="B22" s="391"/>
      <c r="C22" s="384"/>
      <c r="D22" s="235"/>
      <c r="E22" s="235"/>
      <c r="F22" s="276">
        <v>0.2</v>
      </c>
      <c r="G22" s="236"/>
      <c r="H22" s="236"/>
      <c r="I22" s="276">
        <v>0.25</v>
      </c>
      <c r="J22" s="515"/>
      <c r="K22" s="236"/>
    </row>
    <row r="23" spans="1:11" x14ac:dyDescent="0.2">
      <c r="A23" s="382"/>
      <c r="B23" s="391"/>
      <c r="C23" s="384"/>
      <c r="D23" s="235"/>
      <c r="E23" s="235"/>
      <c r="F23" s="276">
        <v>0.2</v>
      </c>
      <c r="G23" s="236"/>
      <c r="H23" s="236"/>
      <c r="I23" s="276">
        <v>0.5</v>
      </c>
      <c r="J23" s="515"/>
      <c r="K23" s="237" t="str">
        <f>""</f>
        <v/>
      </c>
    </row>
    <row r="24" spans="1:11" x14ac:dyDescent="0.2">
      <c r="A24" s="382"/>
      <c r="B24" s="391"/>
      <c r="C24" s="384"/>
      <c r="D24" s="235"/>
      <c r="E24" s="235"/>
      <c r="F24" s="276">
        <v>0.2</v>
      </c>
      <c r="G24" s="236"/>
      <c r="H24" s="236"/>
      <c r="I24" s="276">
        <v>0.75</v>
      </c>
      <c r="J24" s="515"/>
      <c r="K24" s="237" t="str">
        <f>""</f>
        <v/>
      </c>
    </row>
    <row r="25" spans="1:11" x14ac:dyDescent="0.2">
      <c r="A25" s="385"/>
      <c r="B25" s="392"/>
      <c r="C25" s="387"/>
      <c r="D25" s="235"/>
      <c r="E25" s="235"/>
      <c r="F25" s="276">
        <v>0.2</v>
      </c>
      <c r="G25" s="236"/>
      <c r="H25" s="236"/>
      <c r="I25" s="276">
        <v>1</v>
      </c>
      <c r="J25" s="515"/>
      <c r="K25" s="237" t="str">
        <f>""</f>
        <v/>
      </c>
    </row>
    <row r="26" spans="1:11" x14ac:dyDescent="0.2">
      <c r="A26" s="388">
        <v>10</v>
      </c>
      <c r="B26" s="389" t="str">
        <f>"Аймаг нийслэлийн гаргасан өрийн хэрэгсэл"</f>
        <v>Аймаг нийслэлийн гаргасан өрийн хэрэгсэл</v>
      </c>
      <c r="C26" s="390">
        <v>0.6</v>
      </c>
      <c r="D26" s="235">
        <f>IF(i.04144a!C111&lt;=0.6*(i.04130!$E$46-i.04130!$E$39-i.04130!$E$40),i.04144a!C111,0.6*(i.04130!$E$46-i.04130!$E$39-i.04130!$E$40))</f>
        <v>0</v>
      </c>
      <c r="E26" s="235">
        <f>i.04144a!C111-i.04144!D26</f>
        <v>0</v>
      </c>
      <c r="F26" s="381">
        <v>0.2</v>
      </c>
      <c r="G26" s="236">
        <f>i.04144a!D111</f>
        <v>0</v>
      </c>
      <c r="H26" s="236">
        <f>i.04144a!E111</f>
        <v>0</v>
      </c>
      <c r="I26" s="276">
        <v>0</v>
      </c>
      <c r="J26" s="515"/>
      <c r="K26" s="237">
        <f>J26+J27+J28+J29+J30+H26+E26</f>
        <v>0</v>
      </c>
    </row>
    <row r="27" spans="1:11" x14ac:dyDescent="0.2">
      <c r="A27" s="382"/>
      <c r="B27" s="383"/>
      <c r="C27" s="384"/>
      <c r="D27" s="235"/>
      <c r="E27" s="235" t="str">
        <f>""</f>
        <v/>
      </c>
      <c r="F27" s="381">
        <v>0.2</v>
      </c>
      <c r="G27" s="236" t="str">
        <f>""</f>
        <v/>
      </c>
      <c r="H27" s="236" t="str">
        <f>""</f>
        <v/>
      </c>
      <c r="I27" s="276">
        <v>0.25</v>
      </c>
      <c r="J27" s="515"/>
      <c r="K27" s="237" t="str">
        <f>""</f>
        <v/>
      </c>
    </row>
    <row r="28" spans="1:11" x14ac:dyDescent="0.2">
      <c r="A28" s="382"/>
      <c r="B28" s="383"/>
      <c r="C28" s="384"/>
      <c r="D28" s="235"/>
      <c r="E28" s="235" t="str">
        <f>""</f>
        <v/>
      </c>
      <c r="F28" s="381">
        <v>0.2</v>
      </c>
      <c r="G28" s="236" t="str">
        <f>""</f>
        <v/>
      </c>
      <c r="H28" s="236" t="str">
        <f>""</f>
        <v/>
      </c>
      <c r="I28" s="276">
        <v>0.5</v>
      </c>
      <c r="J28" s="515"/>
      <c r="K28" s="237" t="str">
        <f>""</f>
        <v/>
      </c>
    </row>
    <row r="29" spans="1:11" x14ac:dyDescent="0.2">
      <c r="A29" s="382"/>
      <c r="B29" s="383"/>
      <c r="C29" s="384"/>
      <c r="D29" s="235"/>
      <c r="E29" s="235" t="str">
        <f>""</f>
        <v/>
      </c>
      <c r="F29" s="381">
        <v>0.2</v>
      </c>
      <c r="G29" s="236" t="str">
        <f>""</f>
        <v/>
      </c>
      <c r="H29" s="236" t="str">
        <f>""</f>
        <v/>
      </c>
      <c r="I29" s="276">
        <v>0.75</v>
      </c>
      <c r="J29" s="515"/>
      <c r="K29" s="237" t="str">
        <f>""</f>
        <v/>
      </c>
    </row>
    <row r="30" spans="1:11" x14ac:dyDescent="0.2">
      <c r="A30" s="385"/>
      <c r="B30" s="386"/>
      <c r="C30" s="387"/>
      <c r="D30" s="235"/>
      <c r="E30" s="235" t="str">
        <f>""</f>
        <v/>
      </c>
      <c r="F30" s="381">
        <v>0.2</v>
      </c>
      <c r="G30" s="236" t="str">
        <f>""</f>
        <v/>
      </c>
      <c r="H30" s="236" t="str">
        <f>""</f>
        <v/>
      </c>
      <c r="I30" s="276">
        <v>1</v>
      </c>
      <c r="J30" s="515"/>
      <c r="K30" s="237" t="str">
        <f>""</f>
        <v/>
      </c>
    </row>
    <row r="31" spans="1:11" x14ac:dyDescent="0.2">
      <c r="A31" s="388">
        <v>11</v>
      </c>
      <c r="B31" s="389" t="str">
        <f>"Компанийн өрийн хэрэгсэл  "</f>
        <v xml:space="preserve">Компанийн өрийн хэрэгсэл  </v>
      </c>
      <c r="C31" s="390">
        <v>0.2</v>
      </c>
      <c r="D31" s="235">
        <f>IF(i.04144a!C123&lt;=0.2*(i.04130!$E$46-i.04130!$E$39-i.04130!$E$40),i.04144a!C123,0.2*(i.04130!$E$46-i.04130!$E$39-i.04130!$E$40))</f>
        <v>0</v>
      </c>
      <c r="E31" s="235">
        <f>i.04144a!C123-i.04144!D31</f>
        <v>0</v>
      </c>
      <c r="F31" s="381">
        <v>0.1</v>
      </c>
      <c r="G31" s="236">
        <f>i.04144a!D123</f>
        <v>0</v>
      </c>
      <c r="H31" s="236">
        <f>i.04144a!E123</f>
        <v>0</v>
      </c>
      <c r="I31" s="276">
        <v>0</v>
      </c>
      <c r="J31" s="515"/>
      <c r="K31" s="237">
        <f>J31+J32+J33+J34+J35+H31+E31</f>
        <v>0</v>
      </c>
    </row>
    <row r="32" spans="1:11" x14ac:dyDescent="0.2">
      <c r="A32" s="382"/>
      <c r="B32" s="383"/>
      <c r="C32" s="384"/>
      <c r="D32" s="235"/>
      <c r="E32" s="235" t="str">
        <f>""</f>
        <v/>
      </c>
      <c r="F32" s="381">
        <v>0.1</v>
      </c>
      <c r="G32" s="236" t="str">
        <f>""</f>
        <v/>
      </c>
      <c r="H32" s="236" t="str">
        <f>""</f>
        <v/>
      </c>
      <c r="I32" s="276">
        <v>0.25</v>
      </c>
      <c r="J32" s="515"/>
      <c r="K32" s="237" t="str">
        <f>""</f>
        <v/>
      </c>
    </row>
    <row r="33" spans="1:11" x14ac:dyDescent="0.2">
      <c r="A33" s="382"/>
      <c r="B33" s="383"/>
      <c r="C33" s="384"/>
      <c r="D33" s="235"/>
      <c r="E33" s="235" t="str">
        <f>""</f>
        <v/>
      </c>
      <c r="F33" s="381">
        <v>0.1</v>
      </c>
      <c r="G33" s="236" t="str">
        <f>""</f>
        <v/>
      </c>
      <c r="H33" s="236" t="str">
        <f>""</f>
        <v/>
      </c>
      <c r="I33" s="276">
        <v>0.5</v>
      </c>
      <c r="J33" s="515"/>
      <c r="K33" s="237" t="str">
        <f>""</f>
        <v/>
      </c>
    </row>
    <row r="34" spans="1:11" x14ac:dyDescent="0.2">
      <c r="A34" s="382"/>
      <c r="B34" s="383"/>
      <c r="C34" s="384"/>
      <c r="D34" s="235"/>
      <c r="E34" s="235" t="str">
        <f>""</f>
        <v/>
      </c>
      <c r="F34" s="381">
        <v>0.1</v>
      </c>
      <c r="G34" s="236" t="str">
        <f>""</f>
        <v/>
      </c>
      <c r="H34" s="236" t="str">
        <f>""</f>
        <v/>
      </c>
      <c r="I34" s="276">
        <v>0.75</v>
      </c>
      <c r="J34" s="515"/>
      <c r="K34" s="237" t="str">
        <f>""</f>
        <v/>
      </c>
    </row>
    <row r="35" spans="1:11" x14ac:dyDescent="0.2">
      <c r="A35" s="385"/>
      <c r="B35" s="386"/>
      <c r="C35" s="387"/>
      <c r="D35" s="235"/>
      <c r="E35" s="235" t="str">
        <f>""</f>
        <v/>
      </c>
      <c r="F35" s="381">
        <v>0.1</v>
      </c>
      <c r="G35" s="236" t="str">
        <f>""</f>
        <v/>
      </c>
      <c r="H35" s="236" t="str">
        <f>""</f>
        <v/>
      </c>
      <c r="I35" s="276">
        <v>1</v>
      </c>
      <c r="J35" s="515"/>
      <c r="K35" s="237" t="str">
        <f>""</f>
        <v/>
      </c>
    </row>
    <row r="36" spans="1:11" ht="23.25" customHeight="1" x14ac:dyDescent="0.2">
      <c r="A36" s="380">
        <v>12</v>
      </c>
      <c r="B36" s="280" t="str">
        <f>"Монголын хөрөнгийн биржийн хувьцаат компанийн хувьцаа – 1 ангилал "</f>
        <v xml:space="preserve">Монголын хөрөнгийн биржийн хувьцаат компанийн хувьцаа – 1 ангилал </v>
      </c>
      <c r="C36" s="278">
        <v>0.1</v>
      </c>
      <c r="D36" s="235">
        <f>IF(i.04144a!C135&lt;=0.1*(i.04130!$E$46-i.04130!$E$39-i.04130!$E$40),i.04144a!C135,0.1*(i.04130!$E$46-i.04130!$E$39-i.04130!$E$40))</f>
        <v>0</v>
      </c>
      <c r="E36" s="235">
        <f>i.04144a!C135-i.04144!D36</f>
        <v>0</v>
      </c>
      <c r="F36" s="276">
        <v>0.05</v>
      </c>
      <c r="G36" s="236">
        <f>i.04144a!D135</f>
        <v>0</v>
      </c>
      <c r="H36" s="236">
        <f>i.04144a!E135</f>
        <v>0</v>
      </c>
      <c r="I36" s="276">
        <v>0.2</v>
      </c>
      <c r="J36" s="236">
        <f>D36*I36</f>
        <v>0</v>
      </c>
      <c r="K36" s="237">
        <f>J36+H36+E36</f>
        <v>0</v>
      </c>
    </row>
    <row r="37" spans="1:11" ht="23.25" customHeight="1" x14ac:dyDescent="0.2">
      <c r="A37" s="279">
        <v>13</v>
      </c>
      <c r="B37" s="280" t="str">
        <f>"Монголын хөрөнгийн биржийн хувьцаат компанийн хувьцаа – 2 ангилал "</f>
        <v xml:space="preserve">Монголын хөрөнгийн биржийн хувьцаат компанийн хувьцаа – 2 ангилал </v>
      </c>
      <c r="C37" s="275">
        <v>0.05</v>
      </c>
      <c r="D37" s="235">
        <f>IF(i.04144a!C147&lt;=0.05*(i.04130!$E$46-i.04130!$E$39-i.04130!$E$40),i.04144a!C147,0.05*(i.04130!$E$46-i.04130!$E$39-i.04130!$E$40))</f>
        <v>0</v>
      </c>
      <c r="E37" s="235">
        <f>i.04144a!C147-i.04144!D37</f>
        <v>0</v>
      </c>
      <c r="F37" s="276">
        <v>0.05</v>
      </c>
      <c r="G37" s="236">
        <f>i.04144a!D147</f>
        <v>0</v>
      </c>
      <c r="H37" s="236">
        <f>i.04144a!E147</f>
        <v>0</v>
      </c>
      <c r="I37" s="276">
        <v>0.3</v>
      </c>
      <c r="J37" s="236">
        <f t="shared" ref="J37:J56" si="2">D37*I37</f>
        <v>0</v>
      </c>
      <c r="K37" s="237">
        <f t="shared" ref="K37:K49" si="3">J37+H37+E37</f>
        <v>0</v>
      </c>
    </row>
    <row r="38" spans="1:11" ht="13.5" customHeight="1" x14ac:dyDescent="0.2">
      <c r="A38" s="279">
        <v>14</v>
      </c>
      <c r="B38" s="280" t="str">
        <f>"Хөрөнгө оруулалтын нээлттэй сан"</f>
        <v>Хөрөнгө оруулалтын нээлттэй сан</v>
      </c>
      <c r="C38" s="275">
        <v>0.2</v>
      </c>
      <c r="D38" s="235">
        <f>IF(i.04144a!C159&lt;=0.2*(i.04130!$E$46-i.04130!$E$39-i.04130!$E$40),i.04144a!C159,0.2*(i.04130!$E$46-i.04130!$E$39-i.04130!$E$40))</f>
        <v>0</v>
      </c>
      <c r="E38" s="235">
        <f>i.04144a!C159-i.04144!D38</f>
        <v>0</v>
      </c>
      <c r="F38" s="276">
        <v>0.1</v>
      </c>
      <c r="G38" s="236">
        <f>i.04144a!D159</f>
        <v>0</v>
      </c>
      <c r="H38" s="236">
        <f>i.04144a!E159</f>
        <v>0</v>
      </c>
      <c r="I38" s="276">
        <v>0.05</v>
      </c>
      <c r="J38" s="236">
        <f t="shared" si="2"/>
        <v>0</v>
      </c>
      <c r="K38" s="237">
        <f t="shared" si="3"/>
        <v>0</v>
      </c>
    </row>
    <row r="39" spans="1:11" ht="13.5" customHeight="1" x14ac:dyDescent="0.2">
      <c r="A39" s="279">
        <v>15</v>
      </c>
      <c r="B39" s="280" t="str">
        <f>"Хөрөнгө оруулалтын хаалттай сан "</f>
        <v xml:space="preserve">Хөрөнгө оруулалтын хаалттай сан </v>
      </c>
      <c r="C39" s="275">
        <v>0.2</v>
      </c>
      <c r="D39" s="235">
        <f>IF(i.04144a!C171&lt;=0.2*(i.04130!$E$46-i.04130!$E$39-i.04130!$E$40),i.04144a!C171,0.2*(i.04130!$E$46-i.04130!$E$39-i.04130!$E$40))</f>
        <v>0</v>
      </c>
      <c r="E39" s="235">
        <f>i.04144a!C171-i.04144!D39</f>
        <v>0</v>
      </c>
      <c r="F39" s="276">
        <v>0.1</v>
      </c>
      <c r="G39" s="236">
        <f>i.04144a!D171</f>
        <v>0</v>
      </c>
      <c r="H39" s="236">
        <f>i.04144a!E171</f>
        <v>0</v>
      </c>
      <c r="I39" s="276">
        <v>0.1</v>
      </c>
      <c r="J39" s="236">
        <f t="shared" si="2"/>
        <v>0</v>
      </c>
      <c r="K39" s="237">
        <f t="shared" si="3"/>
        <v>0</v>
      </c>
    </row>
    <row r="40" spans="1:11" ht="21.75" customHeight="1" x14ac:dyDescent="0.2">
      <c r="A40" s="279">
        <v>16</v>
      </c>
      <c r="B40" s="280" t="str">
        <f>"Гадаадын Засгийн газраас гаргасан өрийн хэрэгсэл "</f>
        <v xml:space="preserve">Гадаадын Засгийн газраас гаргасан өрийн хэрэгсэл </v>
      </c>
      <c r="C40" s="275">
        <v>0.02</v>
      </c>
      <c r="D40" s="235">
        <f>IF(i.04144a!C183&lt;=0.02*(i.04130!$E$46-i.04130!$E$39-i.04130!$E$40),i.04144a!C183,0.02*(i.04130!$E$46-i.04130!$E$39-i.04130!$E$40))</f>
        <v>0</v>
      </c>
      <c r="E40" s="235">
        <f>i.04144a!C183-i.04144!D40</f>
        <v>0</v>
      </c>
      <c r="F40" s="276">
        <v>0.01</v>
      </c>
      <c r="G40" s="236">
        <f>i.04144a!D183</f>
        <v>0</v>
      </c>
      <c r="H40" s="236">
        <f>i.04144a!E183</f>
        <v>0</v>
      </c>
      <c r="I40" s="276">
        <v>0</v>
      </c>
      <c r="J40" s="236">
        <f t="shared" si="2"/>
        <v>0</v>
      </c>
      <c r="K40" s="237">
        <f t="shared" si="3"/>
        <v>0</v>
      </c>
    </row>
    <row r="41" spans="1:11" ht="17.25" customHeight="1" x14ac:dyDescent="0.2">
      <c r="A41" s="279">
        <v>17</v>
      </c>
      <c r="B41" s="280" t="str">
        <f>"Гадаадын Төв банкны үнэт цаас "</f>
        <v xml:space="preserve">Гадаадын Төв банкны үнэт цаас </v>
      </c>
      <c r="C41" s="275">
        <v>0.02</v>
      </c>
      <c r="D41" s="235">
        <f>IF(i.04144a!C195&lt;=0.02*(i.04130!$E$46-i.04130!$E$39-i.04130!$E$40),i.04144a!C195,0.02*(i.04130!$E$46-i.04130!$E$39-i.04130!$E$40))</f>
        <v>0</v>
      </c>
      <c r="E41" s="235">
        <f>i.04144a!C195-i.04144!D41</f>
        <v>0</v>
      </c>
      <c r="F41" s="276">
        <v>0.01</v>
      </c>
      <c r="G41" s="236">
        <f>i.04144a!D195</f>
        <v>0</v>
      </c>
      <c r="H41" s="236">
        <f>i.04144a!E195</f>
        <v>0</v>
      </c>
      <c r="I41" s="276">
        <v>0</v>
      </c>
      <c r="J41" s="236">
        <f t="shared" si="2"/>
        <v>0</v>
      </c>
      <c r="K41" s="237">
        <f t="shared" si="3"/>
        <v>0</v>
      </c>
    </row>
    <row r="42" spans="1:11" ht="17.25" customHeight="1" x14ac:dyDescent="0.2">
      <c r="A42" s="279">
        <v>18</v>
      </c>
      <c r="B42" s="280" t="str">
        <f>"Гадаадын компанийн өрийн хэрэгсэл "</f>
        <v xml:space="preserve">Гадаадын компанийн өрийн хэрэгсэл </v>
      </c>
      <c r="C42" s="275">
        <v>0.01</v>
      </c>
      <c r="D42" s="235">
        <f>IF(i.04144a!C207&lt;=0.01*(i.04130!$E$46-i.04130!$E$39-i.04130!$E$40),i.04144a!C207,0.01*(i.04130!$E$46-i.04130!$E$39-i.04130!$E$40))</f>
        <v>0</v>
      </c>
      <c r="E42" s="235">
        <f>i.04144a!C207-i.04144!D42</f>
        <v>0</v>
      </c>
      <c r="F42" s="276">
        <v>5.0000000000000001E-3</v>
      </c>
      <c r="G42" s="236">
        <f>i.04144a!D207</f>
        <v>0</v>
      </c>
      <c r="H42" s="236">
        <f>i.04144a!E207</f>
        <v>0</v>
      </c>
      <c r="I42" s="276">
        <v>0.3</v>
      </c>
      <c r="J42" s="236">
        <f t="shared" si="2"/>
        <v>0</v>
      </c>
      <c r="K42" s="237">
        <f t="shared" si="3"/>
        <v>0</v>
      </c>
    </row>
    <row r="43" spans="1:11" ht="17.25" customHeight="1" x14ac:dyDescent="0.2">
      <c r="A43" s="279">
        <v>19</v>
      </c>
      <c r="B43" s="280" t="str">
        <f>"Гадаадын компанийн хувьцаа "</f>
        <v xml:space="preserve">Гадаадын компанийн хувьцаа </v>
      </c>
      <c r="C43" s="275">
        <v>0.01</v>
      </c>
      <c r="D43" s="235">
        <f>IF(i.04144a!C219&lt;=0.01*(i.04130!$E$46-i.04130!$E$39-i.04130!$E$40),i.04144a!C219,0.01*(i.04130!$E$46-i.04130!$E$39-i.04130!$E$40))</f>
        <v>0</v>
      </c>
      <c r="E43" s="235">
        <f>i.04144a!C219-i.04144!D43</f>
        <v>0</v>
      </c>
      <c r="F43" s="276">
        <v>5.0000000000000001E-3</v>
      </c>
      <c r="G43" s="236">
        <f>i.04144a!D219</f>
        <v>0</v>
      </c>
      <c r="H43" s="236">
        <f>i.04144a!E219</f>
        <v>0</v>
      </c>
      <c r="I43" s="276">
        <v>0.5</v>
      </c>
      <c r="J43" s="236">
        <f t="shared" si="2"/>
        <v>0</v>
      </c>
      <c r="K43" s="237">
        <f t="shared" si="3"/>
        <v>0</v>
      </c>
    </row>
    <row r="44" spans="1:11" ht="15.75" customHeight="1" x14ac:dyDescent="0.2">
      <c r="A44" s="449">
        <v>20</v>
      </c>
      <c r="B44" s="280" t="str">
        <f>"Давхар даатгалын хойшлогдсон хураамж "</f>
        <v xml:space="preserve">Давхар даатгалын хойшлогдсон хураамж </v>
      </c>
      <c r="C44" s="275">
        <v>1</v>
      </c>
      <c r="D44" s="235">
        <f>IF(i.04144a!C231&lt;=1*i.04130!E46,i.04144a!C231,1*i.04130!E46)</f>
        <v>0</v>
      </c>
      <c r="E44" s="235">
        <f>i.04144a!C231-i.04144!D44</f>
        <v>0</v>
      </c>
      <c r="F44" s="276">
        <v>1</v>
      </c>
      <c r="G44" s="236">
        <f>i.04144a!D231</f>
        <v>0</v>
      </c>
      <c r="H44" s="236">
        <f>i.04144a!E231</f>
        <v>0</v>
      </c>
      <c r="I44" s="276">
        <v>0</v>
      </c>
      <c r="J44" s="236">
        <f t="shared" si="2"/>
        <v>0</v>
      </c>
      <c r="K44" s="237">
        <f t="shared" si="3"/>
        <v>0</v>
      </c>
    </row>
    <row r="45" spans="1:11" ht="21.75" customHeight="1" x14ac:dyDescent="0.2">
      <c r="A45" s="449">
        <v>21</v>
      </c>
      <c r="B45" s="280" t="str">
        <f>"Нөхөн төлбөрийн нөөцийн давхар даатгагчид ногдох хэсэг "</f>
        <v xml:space="preserve">Нөхөн төлбөрийн нөөцийн давхар даатгагчид ногдох хэсэг </v>
      </c>
      <c r="C45" s="275">
        <v>1</v>
      </c>
      <c r="D45" s="235">
        <f>IF(i.04144a!C243&lt;=1*i.04130!E46,i.04144a!C243,1*i.04130!E46)</f>
        <v>0</v>
      </c>
      <c r="E45" s="235">
        <f>i.04144a!C243-i.04144!D45</f>
        <v>0</v>
      </c>
      <c r="F45" s="276">
        <v>1</v>
      </c>
      <c r="G45" s="236">
        <f>i.04144a!D243</f>
        <v>0</v>
      </c>
      <c r="H45" s="236">
        <f>i.04144a!E243</f>
        <v>0</v>
      </c>
      <c r="I45" s="276">
        <v>0</v>
      </c>
      <c r="J45" s="236">
        <f t="shared" si="2"/>
        <v>0</v>
      </c>
      <c r="K45" s="237">
        <f t="shared" si="3"/>
        <v>0</v>
      </c>
    </row>
    <row r="46" spans="1:11" ht="21.75" customHeight="1" x14ac:dyDescent="0.2">
      <c r="A46" s="279">
        <v>22</v>
      </c>
      <c r="B46" s="280" t="str">
        <f>"Даатгалын орлогын шимтгэлийн хойшлогдсон зардал "</f>
        <v xml:space="preserve">Даатгалын орлогын шимтгэлийн хойшлогдсон зардал </v>
      </c>
      <c r="C46" s="275">
        <v>0.1</v>
      </c>
      <c r="D46" s="235">
        <f>IF(i.04144a!C255&lt;=0.1*(i.04130!$E$46-i.04130!$E$39-i.04130!$E$40),i.04144a!C255,0.1*(i.04130!$E$46-i.04130!$E$39-i.04130!$E$40))</f>
        <v>0</v>
      </c>
      <c r="E46" s="235">
        <f>i.04144a!C255-i.04144!D46</f>
        <v>0</v>
      </c>
      <c r="F46" s="276">
        <v>0.05</v>
      </c>
      <c r="G46" s="236">
        <f>i.04144a!D255</f>
        <v>0</v>
      </c>
      <c r="H46" s="236">
        <f>i.04144a!E255</f>
        <v>0</v>
      </c>
      <c r="I46" s="276">
        <v>0.8</v>
      </c>
      <c r="J46" s="236">
        <f t="shared" si="2"/>
        <v>0</v>
      </c>
      <c r="K46" s="237">
        <f t="shared" si="3"/>
        <v>0</v>
      </c>
    </row>
    <row r="47" spans="1:11" x14ac:dyDescent="0.2">
      <c r="A47" s="604">
        <v>23</v>
      </c>
      <c r="B47" s="280" t="str">
        <f>"Хэвийн өмчлөх бусад хөрөнгө "</f>
        <v xml:space="preserve">Хэвийн өмчлөх бусад хөрөнгө </v>
      </c>
      <c r="C47" s="275">
        <v>0.1</v>
      </c>
      <c r="D47" s="235">
        <f>IF(i.04144a!C267&lt;=0.1*(i.04130!$E$46-i.04130!$E$39-i.04130!$E$40),i.04144a!C267,0.1*(i.04130!$E$46-i.04130!$E$39-i.04130!$E$40))</f>
        <v>0</v>
      </c>
      <c r="E47" s="235">
        <f>i.04144a!C267-i.04144!D47</f>
        <v>0</v>
      </c>
      <c r="F47" s="276">
        <v>0.05</v>
      </c>
      <c r="G47" s="236">
        <f>i.04144a!D267</f>
        <v>0</v>
      </c>
      <c r="H47" s="236">
        <f>i.04144a!E267</f>
        <v>0</v>
      </c>
      <c r="I47" s="276">
        <v>0</v>
      </c>
      <c r="J47" s="236">
        <f t="shared" si="2"/>
        <v>0</v>
      </c>
      <c r="K47" s="237">
        <f t="shared" si="3"/>
        <v>0</v>
      </c>
    </row>
    <row r="48" spans="1:11" x14ac:dyDescent="0.2">
      <c r="A48" s="604"/>
      <c r="B48" s="280" t="str">
        <f>"Хугацаа хэтэрсэн өмчлөх бусад хөрөнгө"</f>
        <v>Хугацаа хэтэрсэн өмчлөх бусад хөрөнгө</v>
      </c>
      <c r="C48" s="275">
        <v>0.05</v>
      </c>
      <c r="D48" s="235">
        <f>IF(i.04144a!C274&lt;=0.05*(i.04130!$E$46-i.04130!$E$39-i.04130!$E$40),i.04144a!C274,0.05*(i.04130!$E$46-i.04130!$E$39-i.04130!$E$40))</f>
        <v>0</v>
      </c>
      <c r="E48" s="235">
        <f>i.04144a!C274-i.04144!D48</f>
        <v>0</v>
      </c>
      <c r="F48" s="276">
        <v>2.5000000000000001E-2</v>
      </c>
      <c r="G48" s="236">
        <f>i.04144a!D274</f>
        <v>0</v>
      </c>
      <c r="H48" s="236">
        <f>i.04144a!E274</f>
        <v>0</v>
      </c>
      <c r="I48" s="276">
        <v>0.25</v>
      </c>
      <c r="J48" s="236">
        <f t="shared" si="2"/>
        <v>0</v>
      </c>
      <c r="K48" s="237">
        <f t="shared" si="3"/>
        <v>0</v>
      </c>
    </row>
    <row r="49" spans="1:11" x14ac:dyDescent="0.2">
      <c r="A49" s="604"/>
      <c r="B49" s="280" t="str">
        <f>"Хэвийн бус өмчлөх бусад хөрөнгө "</f>
        <v xml:space="preserve">Хэвийн бус өмчлөх бусад хөрөнгө </v>
      </c>
      <c r="C49" s="275">
        <v>2.5000000000000001E-2</v>
      </c>
      <c r="D49" s="235">
        <f>IF(i.04144a!C281&lt;=0.025*(i.04130!$E$46-i.04130!$E$39-i.04130!$E$40),i.04144a!C281,0.025*(i.04130!$E$46-i.04130!$E$39-i.04130!$E$40))</f>
        <v>0</v>
      </c>
      <c r="E49" s="235">
        <f>i.04144a!C281-i.04144!D49</f>
        <v>0</v>
      </c>
      <c r="F49" s="276">
        <v>2.5000000000000001E-2</v>
      </c>
      <c r="G49" s="236">
        <f>i.04144a!D281</f>
        <v>0</v>
      </c>
      <c r="H49" s="236">
        <f>i.04144a!E281</f>
        <v>0</v>
      </c>
      <c r="I49" s="276">
        <v>0.5</v>
      </c>
      <c r="J49" s="236">
        <f t="shared" si="2"/>
        <v>0</v>
      </c>
      <c r="K49" s="237">
        <f t="shared" si="3"/>
        <v>0</v>
      </c>
    </row>
    <row r="50" spans="1:11" x14ac:dyDescent="0.2">
      <c r="A50" s="604"/>
      <c r="B50" s="280" t="str">
        <f>"Эргэлзээтэй өмчлөх бусад хөрөнгө "</f>
        <v xml:space="preserve">Эргэлзээтэй өмчлөх бусад хөрөнгө </v>
      </c>
      <c r="C50" s="275">
        <v>0</v>
      </c>
      <c r="D50" s="235">
        <f>IF(i.04144a!C288&lt;=0*(i.04130!$E$46-i.04130!$E$39-i.04130!$E$40),i.04144a!C288,0*(i.04130!$E$46-i.04130!$E$39-i.04130!$E$40))</f>
        <v>0</v>
      </c>
      <c r="E50" s="235">
        <f>i.04144a!C288-i.04144!D50</f>
        <v>0</v>
      </c>
      <c r="F50" s="276">
        <v>0</v>
      </c>
      <c r="G50" s="236">
        <f>i.04144a!D288</f>
        <v>0</v>
      </c>
      <c r="H50" s="236">
        <f>i.04144a!E288</f>
        <v>0</v>
      </c>
      <c r="I50" s="276">
        <v>1</v>
      </c>
      <c r="J50" s="236">
        <f t="shared" si="2"/>
        <v>0</v>
      </c>
      <c r="K50" s="237">
        <f>E50</f>
        <v>0</v>
      </c>
    </row>
    <row r="51" spans="1:11" x14ac:dyDescent="0.2">
      <c r="A51" s="604"/>
      <c r="B51" s="280" t="str">
        <f>"Муу өмчлөх бусад хөрөнгө "</f>
        <v xml:space="preserve">Муу өмчлөх бусад хөрөнгө </v>
      </c>
      <c r="C51" s="275">
        <v>0</v>
      </c>
      <c r="D51" s="235">
        <f>IF(i.04144a!C295&lt;=0*(i.04130!$E$46-i.04130!$E$39-i.04130!$E$40),i.04144a!C295,0*(i.04130!$E$46-i.04130!$E$39-i.04130!$E$40))</f>
        <v>0</v>
      </c>
      <c r="E51" s="235">
        <f>i.04144a!C295-i.04144!D51</f>
        <v>0</v>
      </c>
      <c r="F51" s="276">
        <v>0</v>
      </c>
      <c r="G51" s="236">
        <f>i.04144a!D295</f>
        <v>0</v>
      </c>
      <c r="H51" s="236">
        <f>i.04144a!E295</f>
        <v>0</v>
      </c>
      <c r="I51" s="276">
        <v>1</v>
      </c>
      <c r="J51" s="236">
        <f t="shared" si="2"/>
        <v>0</v>
      </c>
      <c r="K51" s="237">
        <f>E51</f>
        <v>0</v>
      </c>
    </row>
    <row r="52" spans="1:11" ht="14.25" customHeight="1" x14ac:dyDescent="0.2">
      <c r="A52" s="279">
        <v>24</v>
      </c>
      <c r="B52" s="280" t="str">
        <f>"Санхүүгийн түрээс "</f>
        <v xml:space="preserve">Санхүүгийн түрээс </v>
      </c>
      <c r="C52" s="275">
        <v>0.1</v>
      </c>
      <c r="D52" s="235">
        <f>IF(i.04144a!C302&lt;=0.1*(i.04130!$E$46-i.04130!$E$39-i.04130!$E$40),i.04144a!C302,0.1*(i.04130!$E$46-i.04130!$E$39-i.04130!$E$40))</f>
        <v>0</v>
      </c>
      <c r="E52" s="235">
        <f>i.04144a!C302-i.04144!D52</f>
        <v>0</v>
      </c>
      <c r="F52" s="276">
        <v>0.05</v>
      </c>
      <c r="G52" s="236">
        <f>i.04144a!D302</f>
        <v>0</v>
      </c>
      <c r="H52" s="236">
        <f>i.04144a!E302</f>
        <v>0</v>
      </c>
      <c r="I52" s="276">
        <v>0.05</v>
      </c>
      <c r="J52" s="236">
        <f t="shared" si="2"/>
        <v>0</v>
      </c>
      <c r="K52" s="237">
        <f>J52+H52+E52</f>
        <v>0</v>
      </c>
    </row>
    <row r="53" spans="1:11" ht="14.25" customHeight="1" x14ac:dyDescent="0.2">
      <c r="A53" s="449">
        <v>25</v>
      </c>
      <c r="B53" s="280" t="str">
        <f>"Үл хөдлөх хөрөнгө "</f>
        <v xml:space="preserve">Үл хөдлөх хөрөнгө </v>
      </c>
      <c r="C53" s="275">
        <v>0.25</v>
      </c>
      <c r="D53" s="235">
        <f>IF(i.04144a!C314&lt;=0.25*(i.04130!$E$46-i.04130!$E$39-i.04130!$E$40),i.04144a!C314,0.25*(i.04130!$E$46-i.04130!$E$39-i.04130!$E$40))</f>
        <v>0</v>
      </c>
      <c r="E53" s="235">
        <f>i.04144a!C314-i.04144!D53</f>
        <v>0</v>
      </c>
      <c r="F53" s="276">
        <v>0.25</v>
      </c>
      <c r="G53" s="236">
        <f>i.04144a!D314</f>
        <v>0</v>
      </c>
      <c r="H53" s="236">
        <f>i.04144a!E314</f>
        <v>0</v>
      </c>
      <c r="I53" s="276">
        <v>0.05</v>
      </c>
      <c r="J53" s="236">
        <f t="shared" si="2"/>
        <v>0</v>
      </c>
      <c r="K53" s="237">
        <f>J53+H53+E53</f>
        <v>0</v>
      </c>
    </row>
    <row r="54" spans="1:11" ht="14.25" customHeight="1" x14ac:dyDescent="0.2">
      <c r="A54" s="449">
        <v>26</v>
      </c>
      <c r="B54" s="280" t="str">
        <f>"Хөдлөх хөрөнгө "</f>
        <v xml:space="preserve">Хөдлөх хөрөнгө </v>
      </c>
      <c r="C54" s="275">
        <v>0.1</v>
      </c>
      <c r="D54" s="235">
        <f>IF(i.04144a!C326&lt;=0.1*(i.04130!$E$46-i.04130!$E$39-i.04130!$E$40),i.04144a!C326,0.1*(i.04130!$E$46-i.04130!$E$39-i.04130!$E$40))</f>
        <v>0</v>
      </c>
      <c r="E54" s="235">
        <f>i.04144a!C326-i.04144!D54</f>
        <v>0</v>
      </c>
      <c r="F54" s="276">
        <v>0.05</v>
      </c>
      <c r="G54" s="236">
        <f>i.04144a!D326</f>
        <v>0</v>
      </c>
      <c r="H54" s="236">
        <f>i.04144a!E326</f>
        <v>0</v>
      </c>
      <c r="I54" s="276">
        <v>0.7</v>
      </c>
      <c r="J54" s="236">
        <f t="shared" si="2"/>
        <v>0</v>
      </c>
      <c r="K54" s="237">
        <f>J54+H54+E54</f>
        <v>0</v>
      </c>
    </row>
    <row r="55" spans="1:11" ht="22.5" customHeight="1" x14ac:dyDescent="0.2">
      <c r="A55" s="449">
        <v>27</v>
      </c>
      <c r="B55" s="280" t="str">
        <f>"Даатгалын үндсэн үйл ажиллагаанд зориулан авсан биет бус хөрөнгө "</f>
        <v xml:space="preserve">Даатгалын үндсэн үйл ажиллагаанд зориулан авсан биет бус хөрөнгө </v>
      </c>
      <c r="C55" s="275">
        <v>0.1</v>
      </c>
      <c r="D55" s="235">
        <f>IF(i.04144a!C338&lt;=0.1*(i.04130!$E$46-i.04130!$E$39-i.04130!$E$40),i.04144a!C338,0.1*(i.04130!$E$46-i.04130!$E$39-i.04130!$E$40))</f>
        <v>0</v>
      </c>
      <c r="E55" s="235">
        <f>i.04144a!C338-i.04144!D55</f>
        <v>0</v>
      </c>
      <c r="F55" s="276">
        <v>0.1</v>
      </c>
      <c r="G55" s="236">
        <f>i.04144a!D338</f>
        <v>0</v>
      </c>
      <c r="H55" s="236">
        <f>i.04144a!E338</f>
        <v>0</v>
      </c>
      <c r="I55" s="276">
        <v>0.7</v>
      </c>
      <c r="J55" s="236">
        <f t="shared" si="2"/>
        <v>0</v>
      </c>
      <c r="K55" s="237">
        <f>J55+H55+E55</f>
        <v>0</v>
      </c>
    </row>
    <row r="56" spans="1:11" ht="17.25" customHeight="1" x14ac:dyDescent="0.2">
      <c r="A56" s="452">
        <v>28</v>
      </c>
      <c r="B56" s="280" t="str">
        <f>"Бусад хөрөнгө  "</f>
        <v xml:space="preserve">Бусад хөрөнгө  </v>
      </c>
      <c r="C56" s="275">
        <v>0</v>
      </c>
      <c r="D56" s="235">
        <f>IF(i.04144a!C350&lt;=0*(i.04130!$E$46-i.04130!$E$39-i.04130!$E$40),i.04144a!C350,0*(i.04130!$E$46-i.04130!$E$39-i.04130!$E$40))</f>
        <v>0</v>
      </c>
      <c r="E56" s="235">
        <f>i.04144a!C350-i.04144!D56</f>
        <v>0</v>
      </c>
      <c r="F56" s="276">
        <v>0</v>
      </c>
      <c r="G56" s="236">
        <f>i.04144a!D350</f>
        <v>0</v>
      </c>
      <c r="H56" s="236">
        <f>i.04144a!E350</f>
        <v>0</v>
      </c>
      <c r="I56" s="276">
        <v>1</v>
      </c>
      <c r="J56" s="236">
        <f t="shared" si="2"/>
        <v>0</v>
      </c>
      <c r="K56" s="237">
        <f>E56</f>
        <v>0</v>
      </c>
    </row>
    <row r="57" spans="1:11" x14ac:dyDescent="0.2">
      <c r="A57" s="240"/>
      <c r="B57" s="232" t="str">
        <f>"Нийт хөрөнгийн дүн "</f>
        <v xml:space="preserve">Нийт хөрөнгийн дүн </v>
      </c>
      <c r="C57" s="241"/>
      <c r="D57" s="242">
        <f>D9+D10+D11+D12+D13+D14+D15+D16+D17+D18+D19+D20+D21+D26+D31+D36+D37+D38+D39+D40+D41+D42+D43+D44+D45+D46+D47+D48+D49+D50+D51+D53+D54+D55+D56</f>
        <v>0</v>
      </c>
      <c r="E57" s="243">
        <f>E9+E10+E11+E12+E13+E14+E15+E16+E17+E18+E19+E20+E21+E26+E31+E36+E37+E38+E39+E40+E41+E42+E43+E44+E45+E46+E47+E48+E49+E50+E51+E53+E54+E55+E56</f>
        <v>0</v>
      </c>
      <c r="F57" s="244"/>
      <c r="G57" s="243">
        <f>G9+G10+G11+G12+G13+G14+G15+G16+G17+G18+G19+G20+G21+G26+G31+G36+G37+G38+G39+G40+G41+G42+G43+G44+G45+G46+G47+G48+G49+G50+G51+G53+G54+G55+G56</f>
        <v>0</v>
      </c>
      <c r="H57" s="243">
        <f>H9+H10+H11+H12+H13+H14+H15+H16+H17+H18+H19+H20+H21+H26+H31+H36+H37+H38+H39+H40+H41+H42+H43+H44+H45+H46+H47+H48+H49+H50+H51+H53+H54+H55+H56</f>
        <v>0</v>
      </c>
      <c r="I57" s="245"/>
      <c r="J57" s="243">
        <f>J9+J10+J11+J12+J13+J14+J15+J16+J17+J18+J19+J20+J21+J26+J31+J36+J37+J38+J39+J40+J41+J42+J43+J44+J45+J46+J47+J48+J49+J50+J51+J53+J54+J55+J56</f>
        <v>0</v>
      </c>
      <c r="K57" s="246">
        <f>K9+K10+K11+K12+K13+K14+K15+K16+K17+K18+K19+K20+K21+K26+K31+K36+K37+K38+K39+K40+K41+K42+K43+K44+K45+K46+K47+K48+K49+K50+K51+K53+K54+K55+K56</f>
        <v>0</v>
      </c>
    </row>
    <row r="58" spans="1:11" x14ac:dyDescent="0.2">
      <c r="A58" s="74"/>
      <c r="B58" s="74"/>
      <c r="C58" s="74"/>
      <c r="D58" s="74"/>
      <c r="E58" s="74"/>
      <c r="F58" s="74"/>
      <c r="G58" s="74"/>
      <c r="H58" s="74"/>
      <c r="I58" s="74"/>
      <c r="J58" s="74"/>
      <c r="K58" s="74"/>
    </row>
    <row r="59" spans="1:11" s="247" customFormat="1" x14ac:dyDescent="0.2">
      <c r="A59" s="227"/>
      <c r="B59" s="2" t="s">
        <v>285</v>
      </c>
      <c r="C59" s="448"/>
      <c r="D59" s="4"/>
      <c r="E59" s="4"/>
      <c r="F59" s="227"/>
      <c r="G59" s="227"/>
      <c r="H59" s="227"/>
      <c r="I59" s="227"/>
      <c r="J59" s="227"/>
      <c r="K59" s="227"/>
    </row>
    <row r="60" spans="1:11" s="247" customFormat="1" x14ac:dyDescent="0.2">
      <c r="A60" s="227"/>
      <c r="B60" s="5"/>
      <c r="C60" s="448"/>
      <c r="D60" s="4"/>
      <c r="E60" s="4"/>
      <c r="F60" s="227"/>
      <c r="G60" s="227"/>
      <c r="H60" s="227"/>
      <c r="I60" s="227"/>
      <c r="J60" s="227"/>
      <c r="K60" s="227"/>
    </row>
    <row r="61" spans="1:11" s="247" customFormat="1" x14ac:dyDescent="0.2">
      <c r="A61" s="227"/>
      <c r="B61" s="5" t="s">
        <v>286</v>
      </c>
      <c r="C61" s="448"/>
      <c r="D61" s="4"/>
      <c r="E61" s="4"/>
      <c r="F61" s="227"/>
      <c r="G61" s="227"/>
      <c r="H61" s="227"/>
      <c r="I61" s="227"/>
      <c r="J61" s="227"/>
      <c r="K61" s="227"/>
    </row>
    <row r="62" spans="1:11" s="247" customFormat="1" x14ac:dyDescent="0.2">
      <c r="A62" s="227"/>
      <c r="B62" s="5"/>
      <c r="C62" s="448"/>
      <c r="D62" s="4"/>
      <c r="E62" s="4"/>
      <c r="F62" s="227"/>
      <c r="G62" s="227"/>
      <c r="H62" s="227"/>
      <c r="I62" s="227"/>
      <c r="J62" s="227"/>
      <c r="K62" s="227"/>
    </row>
    <row r="63" spans="1:11" s="247" customFormat="1" x14ac:dyDescent="0.2">
      <c r="A63" s="227"/>
      <c r="B63" s="6" t="s">
        <v>287</v>
      </c>
      <c r="C63" s="520" t="s">
        <v>288</v>
      </c>
      <c r="D63" s="520"/>
      <c r="E63" s="4" t="s">
        <v>289</v>
      </c>
      <c r="F63" s="227"/>
      <c r="G63" s="227"/>
      <c r="H63" s="227"/>
      <c r="I63" s="227"/>
      <c r="J63" s="227"/>
      <c r="K63" s="227"/>
    </row>
    <row r="64" spans="1:11" s="247" customFormat="1" x14ac:dyDescent="0.2">
      <c r="A64" s="227"/>
      <c r="B64" s="5"/>
      <c r="C64" s="520"/>
      <c r="D64" s="520"/>
      <c r="E64" s="4"/>
      <c r="F64" s="227"/>
      <c r="G64" s="227"/>
      <c r="H64" s="227"/>
      <c r="I64" s="227"/>
      <c r="J64" s="227"/>
      <c r="K64" s="227"/>
    </row>
    <row r="65" spans="1:11" x14ac:dyDescent="0.2">
      <c r="A65" s="74"/>
      <c r="B65" s="6" t="s">
        <v>290</v>
      </c>
      <c r="C65" s="520" t="s">
        <v>291</v>
      </c>
      <c r="D65" s="520"/>
      <c r="E65" s="4" t="s">
        <v>292</v>
      </c>
      <c r="F65" s="74"/>
      <c r="G65" s="74"/>
      <c r="H65" s="74"/>
      <c r="I65" s="74"/>
      <c r="J65" s="74"/>
      <c r="K65" s="74"/>
    </row>
    <row r="66" spans="1:11" x14ac:dyDescent="0.2">
      <c r="A66" s="74"/>
      <c r="B66" s="5"/>
      <c r="C66" s="520"/>
      <c r="D66" s="520"/>
      <c r="E66" s="4"/>
      <c r="F66" s="74"/>
      <c r="G66" s="74"/>
      <c r="H66" s="74"/>
      <c r="I66" s="74"/>
      <c r="J66" s="74"/>
      <c r="K66" s="74"/>
    </row>
    <row r="67" spans="1:11" x14ac:dyDescent="0.2">
      <c r="A67" s="74"/>
      <c r="B67" s="6" t="s">
        <v>293</v>
      </c>
      <c r="C67" s="520" t="s">
        <v>288</v>
      </c>
      <c r="D67" s="520"/>
      <c r="E67" s="4" t="s">
        <v>292</v>
      </c>
      <c r="F67" s="74"/>
      <c r="G67" s="74"/>
      <c r="H67" s="74"/>
      <c r="I67" s="74"/>
      <c r="J67" s="74"/>
      <c r="K67" s="74"/>
    </row>
    <row r="68" spans="1:11" x14ac:dyDescent="0.2">
      <c r="A68" s="74"/>
      <c r="B68" s="74"/>
      <c r="C68" s="74"/>
      <c r="D68" s="74"/>
      <c r="E68" s="74"/>
      <c r="F68" s="74"/>
      <c r="G68" s="74"/>
      <c r="H68" s="74"/>
      <c r="I68" s="74"/>
      <c r="J68" s="74"/>
      <c r="K68" s="74"/>
    </row>
    <row r="69" spans="1:11" x14ac:dyDescent="0.2">
      <c r="A69" s="74"/>
      <c r="B69" s="74"/>
      <c r="C69" s="74"/>
      <c r="D69" s="74"/>
      <c r="E69" s="74"/>
      <c r="F69" s="74"/>
      <c r="G69" s="74"/>
      <c r="H69" s="74"/>
      <c r="I69" s="74"/>
      <c r="J69" s="74"/>
      <c r="K69" s="74"/>
    </row>
    <row r="70" spans="1:11" x14ac:dyDescent="0.2">
      <c r="A70" s="74"/>
      <c r="B70" s="74"/>
      <c r="C70" s="74"/>
      <c r="D70" s="74"/>
      <c r="E70" s="74"/>
      <c r="F70" s="74"/>
      <c r="G70" s="74"/>
      <c r="H70" s="74"/>
      <c r="I70" s="74"/>
      <c r="J70" s="74"/>
      <c r="K70" s="74"/>
    </row>
    <row r="71" spans="1:11" x14ac:dyDescent="0.2">
      <c r="A71" s="74"/>
      <c r="B71" s="74"/>
      <c r="C71" s="74"/>
      <c r="D71" s="74"/>
      <c r="E71" s="74"/>
      <c r="F71" s="74"/>
      <c r="G71" s="74"/>
      <c r="H71" s="74"/>
      <c r="I71" s="74"/>
      <c r="J71" s="74"/>
      <c r="K71" s="74"/>
    </row>
    <row r="72" spans="1:11" x14ac:dyDescent="0.2">
      <c r="A72" s="74"/>
      <c r="B72" s="74"/>
      <c r="C72" s="74"/>
      <c r="D72" s="74"/>
      <c r="E72" s="74"/>
      <c r="F72" s="74"/>
      <c r="G72" s="74"/>
      <c r="H72" s="74"/>
      <c r="I72" s="74"/>
      <c r="J72" s="74"/>
      <c r="K72" s="74"/>
    </row>
    <row r="73" spans="1:11" x14ac:dyDescent="0.2">
      <c r="A73" s="74"/>
      <c r="B73" s="74"/>
      <c r="C73" s="74"/>
      <c r="D73" s="74"/>
      <c r="E73" s="74"/>
      <c r="F73" s="74"/>
      <c r="G73" s="74"/>
      <c r="H73" s="74"/>
      <c r="I73" s="74"/>
      <c r="J73" s="74"/>
      <c r="K73" s="74"/>
    </row>
    <row r="74" spans="1:11" x14ac:dyDescent="0.2">
      <c r="A74" s="74"/>
      <c r="B74" s="74"/>
      <c r="C74" s="74"/>
      <c r="D74" s="74"/>
      <c r="E74" s="74"/>
      <c r="F74" s="74"/>
      <c r="G74" s="74"/>
      <c r="H74" s="74"/>
      <c r="I74" s="74"/>
      <c r="J74" s="74"/>
      <c r="K74" s="74"/>
    </row>
    <row r="75" spans="1:11" x14ac:dyDescent="0.2">
      <c r="A75" s="74"/>
      <c r="B75" s="74"/>
      <c r="C75" s="74"/>
      <c r="D75" s="74"/>
      <c r="E75" s="74"/>
      <c r="F75" s="74"/>
      <c r="G75" s="74"/>
      <c r="H75" s="74"/>
      <c r="I75" s="74"/>
      <c r="J75" s="74"/>
      <c r="K75" s="74"/>
    </row>
    <row r="76" spans="1:11" x14ac:dyDescent="0.2">
      <c r="A76" s="74"/>
      <c r="B76" s="74"/>
      <c r="C76" s="74"/>
      <c r="D76" s="74"/>
      <c r="E76" s="74"/>
      <c r="F76" s="74"/>
      <c r="G76" s="74"/>
      <c r="H76" s="74"/>
      <c r="I76" s="74"/>
      <c r="J76" s="74"/>
      <c r="K76" s="74"/>
    </row>
    <row r="77" spans="1:11" x14ac:dyDescent="0.2">
      <c r="A77" s="74"/>
      <c r="B77" s="74"/>
      <c r="C77" s="74"/>
      <c r="D77" s="74"/>
      <c r="E77" s="74"/>
      <c r="F77" s="74"/>
      <c r="G77" s="74"/>
      <c r="H77" s="74"/>
      <c r="I77" s="74"/>
      <c r="J77" s="74"/>
      <c r="K77" s="74"/>
    </row>
    <row r="78" spans="1:11" x14ac:dyDescent="0.2">
      <c r="A78" s="74"/>
      <c r="B78" s="74"/>
      <c r="C78" s="74"/>
      <c r="D78" s="74"/>
      <c r="E78" s="74"/>
      <c r="F78" s="74"/>
      <c r="G78" s="74"/>
      <c r="H78" s="74"/>
      <c r="I78" s="74"/>
      <c r="J78" s="74"/>
      <c r="K78" s="74"/>
    </row>
    <row r="79" spans="1:11" x14ac:dyDescent="0.2">
      <c r="A79" s="74"/>
      <c r="B79" s="74"/>
      <c r="C79" s="74"/>
      <c r="D79" s="74"/>
      <c r="E79" s="74"/>
      <c r="F79" s="74"/>
      <c r="G79" s="74"/>
      <c r="H79" s="74"/>
      <c r="I79" s="74"/>
      <c r="J79" s="74"/>
      <c r="K79" s="74"/>
    </row>
    <row r="80" spans="1:11" x14ac:dyDescent="0.2">
      <c r="A80" s="74"/>
      <c r="B80" s="74"/>
      <c r="C80" s="74"/>
      <c r="D80" s="74"/>
      <c r="E80" s="74"/>
      <c r="F80" s="74"/>
      <c r="G80" s="74"/>
      <c r="H80" s="74"/>
      <c r="I80" s="74"/>
      <c r="J80" s="74"/>
      <c r="K80" s="74"/>
    </row>
    <row r="81" spans="1:11" x14ac:dyDescent="0.2">
      <c r="A81" s="74"/>
      <c r="B81" s="74"/>
      <c r="C81" s="74"/>
      <c r="D81" s="74"/>
      <c r="E81" s="74"/>
      <c r="F81" s="74"/>
      <c r="G81" s="74"/>
      <c r="H81" s="74"/>
      <c r="I81" s="74"/>
      <c r="J81" s="74"/>
      <c r="K81" s="74"/>
    </row>
    <row r="82" spans="1:11" x14ac:dyDescent="0.2">
      <c r="A82" s="74"/>
      <c r="B82" s="74"/>
      <c r="C82" s="74"/>
      <c r="D82" s="74"/>
      <c r="E82" s="74"/>
      <c r="F82" s="74"/>
      <c r="G82" s="74"/>
      <c r="H82" s="74"/>
      <c r="I82" s="74"/>
      <c r="J82" s="74"/>
      <c r="K82" s="74"/>
    </row>
    <row r="83" spans="1:11" x14ac:dyDescent="0.2">
      <c r="A83" s="74"/>
      <c r="B83" s="74"/>
      <c r="C83" s="74"/>
      <c r="D83" s="74"/>
      <c r="E83" s="74"/>
      <c r="F83" s="74"/>
      <c r="G83" s="74"/>
      <c r="H83" s="74"/>
      <c r="I83" s="74"/>
      <c r="J83" s="74"/>
      <c r="K83" s="74"/>
    </row>
  </sheetData>
  <sheetProtection password="CA9F" sheet="1" objects="1" scenarios="1"/>
  <mergeCells count="13">
    <mergeCell ref="A47:A51"/>
    <mergeCell ref="H1:K1"/>
    <mergeCell ref="A2:K2"/>
    <mergeCell ref="A4:K4"/>
    <mergeCell ref="A13:A17"/>
    <mergeCell ref="J5:K5"/>
    <mergeCell ref="J6:K6"/>
    <mergeCell ref="A5:C5"/>
    <mergeCell ref="C63:D63"/>
    <mergeCell ref="C64:D64"/>
    <mergeCell ref="C65:D65"/>
    <mergeCell ref="C66:D66"/>
    <mergeCell ref="C67:D67"/>
  </mergeCells>
  <dataValidations count="1">
    <dataValidation type="whole" allowBlank="1" showInputMessage="1" showErrorMessage="1" sqref="WVS983046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K65542 JG65542 TC65542 ACY65542 AMU65542 AWQ65542 BGM65542 BQI65542 CAE65542 CKA65542 CTW65542 DDS65542 DNO65542 DXK65542 EHG65542 ERC65542 FAY65542 FKU65542 FUQ65542 GEM65542 GOI65542 GYE65542 HIA65542 HRW65542 IBS65542 ILO65542 IVK65542 JFG65542 JPC65542 JYY65542 KIU65542 KSQ65542 LCM65542 LMI65542 LWE65542 MGA65542 MPW65542 MZS65542 NJO65542 NTK65542 ODG65542 ONC65542 OWY65542 PGU65542 PQQ65542 QAM65542 QKI65542 QUE65542 REA65542 RNW65542 RXS65542 SHO65542 SRK65542 TBG65542 TLC65542 TUY65542 UEU65542 UOQ65542 UYM65542 VII65542 VSE65542 WCA65542 WLW65542 WVS65542 K131078 JG131078 TC131078 ACY131078 AMU131078 AWQ131078 BGM131078 BQI131078 CAE131078 CKA131078 CTW131078 DDS131078 DNO131078 DXK131078 EHG131078 ERC131078 FAY131078 FKU131078 FUQ131078 GEM131078 GOI131078 GYE131078 HIA131078 HRW131078 IBS131078 ILO131078 IVK131078 JFG131078 JPC131078 JYY131078 KIU131078 KSQ131078 LCM131078 LMI131078 LWE131078 MGA131078 MPW131078 MZS131078 NJO131078 NTK131078 ODG131078 ONC131078 OWY131078 PGU131078 PQQ131078 QAM131078 QKI131078 QUE131078 REA131078 RNW131078 RXS131078 SHO131078 SRK131078 TBG131078 TLC131078 TUY131078 UEU131078 UOQ131078 UYM131078 VII131078 VSE131078 WCA131078 WLW131078 WVS131078 K196614 JG196614 TC196614 ACY196614 AMU196614 AWQ196614 BGM196614 BQI196614 CAE196614 CKA196614 CTW196614 DDS196614 DNO196614 DXK196614 EHG196614 ERC196614 FAY196614 FKU196614 FUQ196614 GEM196614 GOI196614 GYE196614 HIA196614 HRW196614 IBS196614 ILO196614 IVK196614 JFG196614 JPC196614 JYY196614 KIU196614 KSQ196614 LCM196614 LMI196614 LWE196614 MGA196614 MPW196614 MZS196614 NJO196614 NTK196614 ODG196614 ONC196614 OWY196614 PGU196614 PQQ196614 QAM196614 QKI196614 QUE196614 REA196614 RNW196614 RXS196614 SHO196614 SRK196614 TBG196614 TLC196614 TUY196614 UEU196614 UOQ196614 UYM196614 VII196614 VSE196614 WCA196614 WLW196614 WVS196614 K262150 JG262150 TC262150 ACY262150 AMU262150 AWQ262150 BGM262150 BQI262150 CAE262150 CKA262150 CTW262150 DDS262150 DNO262150 DXK262150 EHG262150 ERC262150 FAY262150 FKU262150 FUQ262150 GEM262150 GOI262150 GYE262150 HIA262150 HRW262150 IBS262150 ILO262150 IVK262150 JFG262150 JPC262150 JYY262150 KIU262150 KSQ262150 LCM262150 LMI262150 LWE262150 MGA262150 MPW262150 MZS262150 NJO262150 NTK262150 ODG262150 ONC262150 OWY262150 PGU262150 PQQ262150 QAM262150 QKI262150 QUE262150 REA262150 RNW262150 RXS262150 SHO262150 SRK262150 TBG262150 TLC262150 TUY262150 UEU262150 UOQ262150 UYM262150 VII262150 VSE262150 WCA262150 WLW262150 WVS262150 K327686 JG327686 TC327686 ACY327686 AMU327686 AWQ327686 BGM327686 BQI327686 CAE327686 CKA327686 CTW327686 DDS327686 DNO327686 DXK327686 EHG327686 ERC327686 FAY327686 FKU327686 FUQ327686 GEM327686 GOI327686 GYE327686 HIA327686 HRW327686 IBS327686 ILO327686 IVK327686 JFG327686 JPC327686 JYY327686 KIU327686 KSQ327686 LCM327686 LMI327686 LWE327686 MGA327686 MPW327686 MZS327686 NJO327686 NTK327686 ODG327686 ONC327686 OWY327686 PGU327686 PQQ327686 QAM327686 QKI327686 QUE327686 REA327686 RNW327686 RXS327686 SHO327686 SRK327686 TBG327686 TLC327686 TUY327686 UEU327686 UOQ327686 UYM327686 VII327686 VSE327686 WCA327686 WLW327686 WVS327686 K393222 JG393222 TC393222 ACY393222 AMU393222 AWQ393222 BGM393222 BQI393222 CAE393222 CKA393222 CTW393222 DDS393222 DNO393222 DXK393222 EHG393222 ERC393222 FAY393222 FKU393222 FUQ393222 GEM393222 GOI393222 GYE393222 HIA393222 HRW393222 IBS393222 ILO393222 IVK393222 JFG393222 JPC393222 JYY393222 KIU393222 KSQ393222 LCM393222 LMI393222 LWE393222 MGA393222 MPW393222 MZS393222 NJO393222 NTK393222 ODG393222 ONC393222 OWY393222 PGU393222 PQQ393222 QAM393222 QKI393222 QUE393222 REA393222 RNW393222 RXS393222 SHO393222 SRK393222 TBG393222 TLC393222 TUY393222 UEU393222 UOQ393222 UYM393222 VII393222 VSE393222 WCA393222 WLW393222 WVS393222 K458758 JG458758 TC458758 ACY458758 AMU458758 AWQ458758 BGM458758 BQI458758 CAE458758 CKA458758 CTW458758 DDS458758 DNO458758 DXK458758 EHG458758 ERC458758 FAY458758 FKU458758 FUQ458758 GEM458758 GOI458758 GYE458758 HIA458758 HRW458758 IBS458758 ILO458758 IVK458758 JFG458758 JPC458758 JYY458758 KIU458758 KSQ458758 LCM458758 LMI458758 LWE458758 MGA458758 MPW458758 MZS458758 NJO458758 NTK458758 ODG458758 ONC458758 OWY458758 PGU458758 PQQ458758 QAM458758 QKI458758 QUE458758 REA458758 RNW458758 RXS458758 SHO458758 SRK458758 TBG458758 TLC458758 TUY458758 UEU458758 UOQ458758 UYM458758 VII458758 VSE458758 WCA458758 WLW458758 WVS458758 K524294 JG524294 TC524294 ACY524294 AMU524294 AWQ524294 BGM524294 BQI524294 CAE524294 CKA524294 CTW524294 DDS524294 DNO524294 DXK524294 EHG524294 ERC524294 FAY524294 FKU524294 FUQ524294 GEM524294 GOI524294 GYE524294 HIA524294 HRW524294 IBS524294 ILO524294 IVK524294 JFG524294 JPC524294 JYY524294 KIU524294 KSQ524294 LCM524294 LMI524294 LWE524294 MGA524294 MPW524294 MZS524294 NJO524294 NTK524294 ODG524294 ONC524294 OWY524294 PGU524294 PQQ524294 QAM524294 QKI524294 QUE524294 REA524294 RNW524294 RXS524294 SHO524294 SRK524294 TBG524294 TLC524294 TUY524294 UEU524294 UOQ524294 UYM524294 VII524294 VSE524294 WCA524294 WLW524294 WVS524294 K589830 JG589830 TC589830 ACY589830 AMU589830 AWQ589830 BGM589830 BQI589830 CAE589830 CKA589830 CTW589830 DDS589830 DNO589830 DXK589830 EHG589830 ERC589830 FAY589830 FKU589830 FUQ589830 GEM589830 GOI589830 GYE589830 HIA589830 HRW589830 IBS589830 ILO589830 IVK589830 JFG589830 JPC589830 JYY589830 KIU589830 KSQ589830 LCM589830 LMI589830 LWE589830 MGA589830 MPW589830 MZS589830 NJO589830 NTK589830 ODG589830 ONC589830 OWY589830 PGU589830 PQQ589830 QAM589830 QKI589830 QUE589830 REA589830 RNW589830 RXS589830 SHO589830 SRK589830 TBG589830 TLC589830 TUY589830 UEU589830 UOQ589830 UYM589830 VII589830 VSE589830 WCA589830 WLW589830 WVS589830 K655366 JG655366 TC655366 ACY655366 AMU655366 AWQ655366 BGM655366 BQI655366 CAE655366 CKA655366 CTW655366 DDS655366 DNO655366 DXK655366 EHG655366 ERC655366 FAY655366 FKU655366 FUQ655366 GEM655366 GOI655366 GYE655366 HIA655366 HRW655366 IBS655366 ILO655366 IVK655366 JFG655366 JPC655366 JYY655366 KIU655366 KSQ655366 LCM655366 LMI655366 LWE655366 MGA655366 MPW655366 MZS655366 NJO655366 NTK655366 ODG655366 ONC655366 OWY655366 PGU655366 PQQ655366 QAM655366 QKI655366 QUE655366 REA655366 RNW655366 RXS655366 SHO655366 SRK655366 TBG655366 TLC655366 TUY655366 UEU655366 UOQ655366 UYM655366 VII655366 VSE655366 WCA655366 WLW655366 WVS655366 K720902 JG720902 TC720902 ACY720902 AMU720902 AWQ720902 BGM720902 BQI720902 CAE720902 CKA720902 CTW720902 DDS720902 DNO720902 DXK720902 EHG720902 ERC720902 FAY720902 FKU720902 FUQ720902 GEM720902 GOI720902 GYE720902 HIA720902 HRW720902 IBS720902 ILO720902 IVK720902 JFG720902 JPC720902 JYY720902 KIU720902 KSQ720902 LCM720902 LMI720902 LWE720902 MGA720902 MPW720902 MZS720902 NJO720902 NTK720902 ODG720902 ONC720902 OWY720902 PGU720902 PQQ720902 QAM720902 QKI720902 QUE720902 REA720902 RNW720902 RXS720902 SHO720902 SRK720902 TBG720902 TLC720902 TUY720902 UEU720902 UOQ720902 UYM720902 VII720902 VSE720902 WCA720902 WLW720902 WVS720902 K786438 JG786438 TC786438 ACY786438 AMU786438 AWQ786438 BGM786438 BQI786438 CAE786438 CKA786438 CTW786438 DDS786438 DNO786438 DXK786438 EHG786438 ERC786438 FAY786438 FKU786438 FUQ786438 GEM786438 GOI786438 GYE786438 HIA786438 HRW786438 IBS786438 ILO786438 IVK786438 JFG786438 JPC786438 JYY786438 KIU786438 KSQ786438 LCM786438 LMI786438 LWE786438 MGA786438 MPW786438 MZS786438 NJO786438 NTK786438 ODG786438 ONC786438 OWY786438 PGU786438 PQQ786438 QAM786438 QKI786438 QUE786438 REA786438 RNW786438 RXS786438 SHO786438 SRK786438 TBG786438 TLC786438 TUY786438 UEU786438 UOQ786438 UYM786438 VII786438 VSE786438 WCA786438 WLW786438 WVS786438 K851974 JG851974 TC851974 ACY851974 AMU851974 AWQ851974 BGM851974 BQI851974 CAE851974 CKA851974 CTW851974 DDS851974 DNO851974 DXK851974 EHG851974 ERC851974 FAY851974 FKU851974 FUQ851974 GEM851974 GOI851974 GYE851974 HIA851974 HRW851974 IBS851974 ILO851974 IVK851974 JFG851974 JPC851974 JYY851974 KIU851974 KSQ851974 LCM851974 LMI851974 LWE851974 MGA851974 MPW851974 MZS851974 NJO851974 NTK851974 ODG851974 ONC851974 OWY851974 PGU851974 PQQ851974 QAM851974 QKI851974 QUE851974 REA851974 RNW851974 RXS851974 SHO851974 SRK851974 TBG851974 TLC851974 TUY851974 UEU851974 UOQ851974 UYM851974 VII851974 VSE851974 WCA851974 WLW851974 WVS851974 K917510 JG917510 TC917510 ACY917510 AMU917510 AWQ917510 BGM917510 BQI917510 CAE917510 CKA917510 CTW917510 DDS917510 DNO917510 DXK917510 EHG917510 ERC917510 FAY917510 FKU917510 FUQ917510 GEM917510 GOI917510 GYE917510 HIA917510 HRW917510 IBS917510 ILO917510 IVK917510 JFG917510 JPC917510 JYY917510 KIU917510 KSQ917510 LCM917510 LMI917510 LWE917510 MGA917510 MPW917510 MZS917510 NJO917510 NTK917510 ODG917510 ONC917510 OWY917510 PGU917510 PQQ917510 QAM917510 QKI917510 QUE917510 REA917510 RNW917510 RXS917510 SHO917510 SRK917510 TBG917510 TLC917510 TUY917510 UEU917510 UOQ917510 UYM917510 VII917510 VSE917510 WCA917510 WLW917510 WVS917510 K983046 JG983046 TC983046 ACY983046 AMU983046 AWQ983046 BGM983046 BQI983046 CAE983046 CKA983046 CTW983046 DDS983046 DNO983046 DXK983046 EHG983046 ERC983046 FAY983046 FKU983046 FUQ983046 GEM983046 GOI983046 GYE983046 HIA983046 HRW983046 IBS983046 ILO983046 IVK983046 JFG983046 JPC983046 JYY983046 KIU983046 KSQ983046 LCM983046 LMI983046 LWE983046 MGA983046 MPW983046 MZS983046 NJO983046 NTK983046 ODG983046 ONC983046 OWY983046 PGU983046 PQQ983046 QAM983046 QKI983046 QUE983046 REA983046 RNW983046 RXS983046 SHO983046 SRK983046 TBG983046 TLC983046 TUY983046 UEU983046 UOQ983046 UYM983046 VII983046 VSE983046 WCA983046 WLW983046 K6" xr:uid="{B0FFE1D3-8B6B-4043-ABC6-ECA8B6E433E9}">
      <formula1>1</formula1>
      <formula2>100000000000</formula2>
    </dataValidation>
  </dataValidations>
  <pageMargins left="0.7" right="0.7" top="0.75" bottom="0.75" header="0.3" footer="0.3"/>
  <pageSetup scale="79"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48"/>
  <sheetViews>
    <sheetView zoomScaleNormal="100" zoomScalePageLayoutView="60" workbookViewId="0">
      <selection activeCell="D36" sqref="D36"/>
    </sheetView>
  </sheetViews>
  <sheetFormatPr defaultRowHeight="12.75" x14ac:dyDescent="0.2"/>
  <cols>
    <col min="1" max="1" width="6" style="287" customWidth="1"/>
    <col min="2" max="2" width="112.28515625" style="287" bestFit="1" customWidth="1"/>
    <col min="3" max="3" width="16" style="287" bestFit="1" customWidth="1"/>
    <col min="4" max="4" width="18.7109375" style="287" bestFit="1" customWidth="1"/>
    <col min="5" max="5" width="15.5703125" style="287" bestFit="1" customWidth="1"/>
    <col min="6" max="1023" width="11.5703125" style="287"/>
    <col min="1024" max="16384" width="9.140625" style="287"/>
  </cols>
  <sheetData>
    <row r="1" spans="1:5" x14ac:dyDescent="0.2">
      <c r="A1" s="249"/>
      <c r="B1" s="250"/>
      <c r="C1" s="609" t="s">
        <v>878</v>
      </c>
      <c r="D1" s="609"/>
      <c r="E1" s="609"/>
    </row>
    <row r="2" spans="1:5" x14ac:dyDescent="0.2">
      <c r="A2" s="249"/>
      <c r="B2" s="251"/>
      <c r="C2" s="609"/>
      <c r="D2" s="609"/>
      <c r="E2" s="609"/>
    </row>
    <row r="3" spans="1:5" x14ac:dyDescent="0.2">
      <c r="A3" s="616" t="s">
        <v>879</v>
      </c>
      <c r="B3" s="616"/>
      <c r="C3" s="616"/>
      <c r="D3" s="616"/>
      <c r="E3" s="616"/>
    </row>
    <row r="4" spans="1:5" x14ac:dyDescent="0.2">
      <c r="A4" s="249"/>
      <c r="B4" s="251"/>
      <c r="C4" s="251"/>
      <c r="D4" s="251"/>
      <c r="E4" s="251"/>
    </row>
    <row r="5" spans="1:5" x14ac:dyDescent="0.2">
      <c r="A5" s="617"/>
      <c r="B5" s="617"/>
      <c r="C5" s="618"/>
      <c r="D5" s="618"/>
      <c r="E5" s="618"/>
    </row>
    <row r="6" spans="1:5" x14ac:dyDescent="0.2">
      <c r="A6" s="603" t="s">
        <v>779</v>
      </c>
      <c r="B6" s="603"/>
      <c r="C6" s="603"/>
      <c r="D6" s="562" t="s">
        <v>742</v>
      </c>
      <c r="E6" s="562"/>
    </row>
    <row r="7" spans="1:5" x14ac:dyDescent="0.2">
      <c r="A7" s="249"/>
      <c r="B7" s="453"/>
      <c r="C7" s="251"/>
      <c r="D7" s="562" t="s">
        <v>279</v>
      </c>
      <c r="E7" s="562"/>
    </row>
    <row r="8" spans="1:5" x14ac:dyDescent="0.2">
      <c r="A8" s="252"/>
      <c r="B8" s="253" t="s">
        <v>465</v>
      </c>
      <c r="C8" s="254" t="s">
        <v>22</v>
      </c>
      <c r="D8" s="254" t="s">
        <v>880</v>
      </c>
      <c r="E8" s="254" t="s">
        <v>275</v>
      </c>
    </row>
    <row r="9" spans="1:5" x14ac:dyDescent="0.2">
      <c r="A9" s="252" t="s">
        <v>282</v>
      </c>
      <c r="B9" s="254" t="s">
        <v>283</v>
      </c>
      <c r="C9" s="254">
        <v>1</v>
      </c>
      <c r="D9" s="254">
        <v>2</v>
      </c>
      <c r="E9" s="254">
        <v>3</v>
      </c>
    </row>
    <row r="10" spans="1:5" x14ac:dyDescent="0.2">
      <c r="A10" s="252">
        <v>1</v>
      </c>
      <c r="B10" s="255" t="str">
        <f>"Зайлшгүй байх хөрөнгө / 1=max(1.1,1.2,1.3) /"</f>
        <v>Зайлшгүй байх хөрөнгө / 1=max(1.1,1.2,1.3) /</v>
      </c>
      <c r="C10" s="255" t="str">
        <f>""</f>
        <v/>
      </c>
      <c r="D10" s="255"/>
      <c r="E10" s="256">
        <f>MAX(E11,E14,E17)</f>
        <v>0</v>
      </c>
    </row>
    <row r="11" spans="1:5" x14ac:dyDescent="0.2">
      <c r="A11" s="257">
        <v>1.1000000000000001</v>
      </c>
      <c r="B11" s="258" t="str">
        <f>"Даатгалын хураамжид үндэслэх /Тухай тайлант хугацааны нийт орлогод тооцсон хураамж /(1.1.1 (4)+1.1.2 (4))"</f>
        <v>Даатгалын хураамжид үндэслэх /Тухай тайлант хугацааны нийт орлогод тооцсон хураамж /(1.1.1 (4)+1.1.2 (4))</v>
      </c>
      <c r="C11" s="259">
        <f>+C12+C13</f>
        <v>0</v>
      </c>
      <c r="D11" s="260"/>
      <c r="E11" s="259">
        <f>E12+E13</f>
        <v>0</v>
      </c>
    </row>
    <row r="12" spans="1:5" x14ac:dyDescent="0.2">
      <c r="A12" s="257" t="s">
        <v>300</v>
      </c>
      <c r="B12" s="258" t="str">
        <f>"Агаарын хөлөг, авто тээврийн хэрэгсэл, бүх төрлийн хариуцлагын даатгалын хэлбэрийн орлогод тооцсон хураамж"</f>
        <v>Агаарын хөлөг, авто тээврийн хэрэгсэл, бүх төрлийн хариуцлагын даатгалын хэлбэрийн орлогод тооцсон хураамж</v>
      </c>
      <c r="C12" s="261"/>
      <c r="D12" s="262">
        <v>0.4</v>
      </c>
      <c r="E12" s="259">
        <f>C12*0.4</f>
        <v>0</v>
      </c>
    </row>
    <row r="13" spans="1:5" x14ac:dyDescent="0.2">
      <c r="A13" s="257" t="s">
        <v>302</v>
      </c>
      <c r="B13" s="258" t="str">
        <f>"Бусад хэлбэрийн орлогод тооцсон хураамж"</f>
        <v>Бусад хэлбэрийн орлогод тооцсон хураамж</v>
      </c>
      <c r="C13" s="261"/>
      <c r="D13" s="262">
        <v>0.2</v>
      </c>
      <c r="E13" s="259">
        <f>C13*0.2</f>
        <v>0</v>
      </c>
    </row>
    <row r="14" spans="1:5" x14ac:dyDescent="0.2">
      <c r="A14" s="257">
        <v>1.2</v>
      </c>
      <c r="B14" s="258" t="str">
        <f>"Даатгалын нэхэмжлэлд үндэслэх /Сүүлийн 3 жилийн дунджид үндэслэн/    (1.2.1 (4)+1.2.2 (4))"</f>
        <v>Даатгалын нэхэмжлэлд үндэслэх /Сүүлийн 3 жилийн дунджид үндэслэн/    (1.2.1 (4)+1.2.2 (4))</v>
      </c>
      <c r="C14" s="259">
        <f>+C15+C16</f>
        <v>0</v>
      </c>
      <c r="D14" s="260"/>
      <c r="E14" s="259">
        <f>E15+E16</f>
        <v>0</v>
      </c>
    </row>
    <row r="15" spans="1:5" x14ac:dyDescent="0.2">
      <c r="A15" s="257" t="s">
        <v>315</v>
      </c>
      <c r="B15" s="258" t="str">
        <f>"Агаарын хөлөг, авто тээврийн хэрэгсэл, бүх төрлийн хариуцлагын даатгалын хэлбэрийн нэхэмжилсэн хохирлын дундаж дүн"</f>
        <v>Агаарын хөлөг, авто тээврийн хэрэгсэл, бүх төрлийн хариуцлагын даатгалын хэлбэрийн нэхэмжилсэн хохирлын дундаж дүн</v>
      </c>
      <c r="C15" s="261"/>
      <c r="D15" s="262">
        <v>0.5</v>
      </c>
      <c r="E15" s="259">
        <f>C15*0.5</f>
        <v>0</v>
      </c>
    </row>
    <row r="16" spans="1:5" x14ac:dyDescent="0.2">
      <c r="A16" s="257" t="s">
        <v>317</v>
      </c>
      <c r="B16" s="258" t="str">
        <f>"Бусад хэлбэрийн нэхэмжилсэн хохирлын дундаж дүн "</f>
        <v xml:space="preserve">Бусад хэлбэрийн нэхэмжилсэн хохирлын дундаж дүн </v>
      </c>
      <c r="C16" s="261"/>
      <c r="D16" s="262">
        <v>0.2</v>
      </c>
      <c r="E16" s="259">
        <f>C16*0.2</f>
        <v>0</v>
      </c>
    </row>
    <row r="17" spans="1:5" x14ac:dyDescent="0.2">
      <c r="A17" s="257">
        <v>1.3</v>
      </c>
      <c r="B17" s="258" t="str">
        <f>"Хорооноос тогтоосон дүрмийн сангийн доод хэмжээ"</f>
        <v>Хорооноос тогтоосон дүрмийн сангийн доод хэмжээ</v>
      </c>
      <c r="C17" s="263" t="str">
        <f>""</f>
        <v/>
      </c>
      <c r="D17" s="264"/>
      <c r="E17" s="261"/>
    </row>
    <row r="18" spans="1:5" x14ac:dyDescent="0.2">
      <c r="A18" s="252">
        <v>2</v>
      </c>
      <c r="B18" s="255" t="str">
        <f>"Нийт хөрөнгө"</f>
        <v>Нийт хөрөнгө</v>
      </c>
      <c r="C18" s="610" t="str">
        <f>""</f>
        <v/>
      </c>
      <c r="D18" s="611"/>
      <c r="E18" s="265">
        <f>(i.04130!$E$46-i.04130!$E$39-i.04130!$E$40)</f>
        <v>0</v>
      </c>
    </row>
    <row r="19" spans="1:5" x14ac:dyDescent="0.2">
      <c r="A19" s="252">
        <v>3</v>
      </c>
      <c r="B19" s="255" t="str">
        <f>"Зөвшөөрөгдөхгүй хөрөнгө"</f>
        <v>Зөвшөөрөгдөхгүй хөрөнгө</v>
      </c>
      <c r="C19" s="612"/>
      <c r="D19" s="613"/>
      <c r="E19" s="256">
        <f>i.04144!K57</f>
        <v>0</v>
      </c>
    </row>
    <row r="20" spans="1:5" x14ac:dyDescent="0.2">
      <c r="A20" s="252">
        <v>4</v>
      </c>
      <c r="B20" s="255" t="str">
        <f>"Зөвшөөрөгдөх хөрөнгө / 4=(2)-(3)/"</f>
        <v>Зөвшөөрөгдөх хөрөнгө / 4=(2)-(3)/</v>
      </c>
      <c r="C20" s="612"/>
      <c r="D20" s="613"/>
      <c r="E20" s="256">
        <f>E18-E19</f>
        <v>0</v>
      </c>
    </row>
    <row r="21" spans="1:5" x14ac:dyDescent="0.2">
      <c r="A21" s="252">
        <v>5</v>
      </c>
      <c r="B21" s="255" t="str">
        <f>"Өр төлбөр / 5= Нийт өр төлбөр-(ОТХН+ДДХШО)*10%/"</f>
        <v>Өр төлбөр / 5= Нийт өр төлбөр-(ОТХН+ДДХШО)*10%/</v>
      </c>
      <c r="C21" s="612"/>
      <c r="D21" s="613"/>
      <c r="E21" s="265">
        <f>i.04130!E84-i.04130!E39-i.04130!E40-(i.04130!E77-i.04130!E39+i.04130!E79)*0.1</f>
        <v>0</v>
      </c>
    </row>
    <row r="22" spans="1:5" x14ac:dyDescent="0.2">
      <c r="A22" s="252">
        <v>6</v>
      </c>
      <c r="B22" s="266" t="str">
        <f>"Төлбөрийн чадварын зохистой харьцаа 6= 4/(1+5)≥100%"</f>
        <v>Төлбөрийн чадварын зохистой харьцаа 6= 4/(1+5)≥100%</v>
      </c>
      <c r="C22" s="614"/>
      <c r="D22" s="615"/>
      <c r="E22" s="256" t="e">
        <f>(E20/(E10+E21))*100</f>
        <v>#DIV/0!</v>
      </c>
    </row>
    <row r="23" spans="1:5" x14ac:dyDescent="0.2">
      <c r="A23" s="249"/>
      <c r="B23" s="249"/>
      <c r="C23" s="251"/>
      <c r="D23" s="251"/>
      <c r="E23" s="251"/>
    </row>
    <row r="24" spans="1:5" x14ac:dyDescent="0.2">
      <c r="A24" s="267"/>
      <c r="B24" s="2" t="s">
        <v>285</v>
      </c>
      <c r="C24" s="448"/>
      <c r="D24" s="4"/>
      <c r="E24" s="4"/>
    </row>
    <row r="25" spans="1:5" x14ac:dyDescent="0.2">
      <c r="A25" s="267"/>
      <c r="B25" s="5"/>
      <c r="C25" s="448"/>
      <c r="D25" s="4"/>
      <c r="E25" s="4"/>
    </row>
    <row r="26" spans="1:5" x14ac:dyDescent="0.2">
      <c r="A26" s="267"/>
      <c r="B26" s="5" t="s">
        <v>286</v>
      </c>
      <c r="C26" s="448"/>
      <c r="D26" s="4"/>
      <c r="E26" s="4"/>
    </row>
    <row r="27" spans="1:5" x14ac:dyDescent="0.2">
      <c r="A27" s="267"/>
      <c r="B27" s="5"/>
      <c r="C27" s="448"/>
      <c r="D27" s="4"/>
      <c r="E27" s="4"/>
    </row>
    <row r="28" spans="1:5" x14ac:dyDescent="0.2">
      <c r="A28" s="267"/>
      <c r="B28" s="6" t="s">
        <v>287</v>
      </c>
      <c r="C28" s="520" t="s">
        <v>288</v>
      </c>
      <c r="D28" s="520"/>
      <c r="E28" s="4" t="s">
        <v>289</v>
      </c>
    </row>
    <row r="29" spans="1:5" x14ac:dyDescent="0.2">
      <c r="A29" s="267"/>
      <c r="B29" s="5"/>
      <c r="C29" s="520"/>
      <c r="D29" s="520"/>
      <c r="E29" s="4"/>
    </row>
    <row r="30" spans="1:5" x14ac:dyDescent="0.2">
      <c r="A30" s="267"/>
      <c r="B30" s="6" t="s">
        <v>290</v>
      </c>
      <c r="C30" s="520" t="s">
        <v>291</v>
      </c>
      <c r="D30" s="520"/>
      <c r="E30" s="4" t="s">
        <v>292</v>
      </c>
    </row>
    <row r="31" spans="1:5" x14ac:dyDescent="0.2">
      <c r="A31" s="249"/>
      <c r="B31" s="5"/>
      <c r="C31" s="520"/>
      <c r="D31" s="520"/>
      <c r="E31" s="4"/>
    </row>
    <row r="32" spans="1:5" x14ac:dyDescent="0.2">
      <c r="A32" s="249"/>
      <c r="B32" s="6" t="s">
        <v>293</v>
      </c>
      <c r="C32" s="520" t="s">
        <v>288</v>
      </c>
      <c r="D32" s="520"/>
      <c r="E32" s="4" t="s">
        <v>292</v>
      </c>
    </row>
    <row r="33" spans="1:5" x14ac:dyDescent="0.2">
      <c r="A33" s="249"/>
      <c r="B33" s="251"/>
      <c r="C33" s="251"/>
      <c r="D33" s="251"/>
      <c r="E33" s="251"/>
    </row>
    <row r="34" spans="1:5" x14ac:dyDescent="0.2">
      <c r="A34" s="249"/>
      <c r="B34" s="251"/>
      <c r="C34" s="251"/>
      <c r="D34" s="251"/>
      <c r="E34" s="251"/>
    </row>
    <row r="35" spans="1:5" x14ac:dyDescent="0.2">
      <c r="A35" s="249"/>
      <c r="B35" s="251"/>
      <c r="C35" s="251"/>
      <c r="D35" s="251"/>
      <c r="E35" s="251"/>
    </row>
    <row r="36" spans="1:5" x14ac:dyDescent="0.2">
      <c r="A36" s="249"/>
      <c r="B36" s="251"/>
      <c r="C36" s="251"/>
      <c r="D36" s="251"/>
      <c r="E36" s="251"/>
    </row>
    <row r="37" spans="1:5" x14ac:dyDescent="0.2">
      <c r="A37" s="249"/>
      <c r="B37" s="251"/>
      <c r="C37" s="251"/>
      <c r="D37" s="251"/>
      <c r="E37" s="251"/>
    </row>
    <row r="38" spans="1:5" x14ac:dyDescent="0.2">
      <c r="A38" s="249"/>
      <c r="B38" s="251"/>
      <c r="C38" s="251"/>
      <c r="D38" s="251"/>
      <c r="E38" s="251"/>
    </row>
    <row r="39" spans="1:5" x14ac:dyDescent="0.2">
      <c r="A39" s="249"/>
      <c r="B39" s="251"/>
      <c r="C39" s="251"/>
      <c r="D39" s="251"/>
      <c r="E39" s="251"/>
    </row>
    <row r="40" spans="1:5" x14ac:dyDescent="0.2">
      <c r="A40" s="249"/>
      <c r="B40" s="251"/>
      <c r="C40" s="251"/>
      <c r="D40" s="251"/>
      <c r="E40" s="251"/>
    </row>
    <row r="41" spans="1:5" x14ac:dyDescent="0.2">
      <c r="A41" s="249"/>
      <c r="B41" s="251"/>
      <c r="C41" s="251"/>
      <c r="D41" s="251"/>
      <c r="E41" s="251"/>
    </row>
    <row r="42" spans="1:5" x14ac:dyDescent="0.2">
      <c r="A42" s="249"/>
      <c r="B42" s="251"/>
      <c r="C42" s="251"/>
      <c r="D42" s="251"/>
      <c r="E42" s="251"/>
    </row>
    <row r="43" spans="1:5" x14ac:dyDescent="0.2">
      <c r="A43" s="249"/>
      <c r="B43" s="251"/>
      <c r="C43" s="251"/>
      <c r="D43" s="251"/>
      <c r="E43" s="251"/>
    </row>
    <row r="44" spans="1:5" x14ac:dyDescent="0.2">
      <c r="A44" s="249"/>
      <c r="B44" s="251"/>
      <c r="C44" s="251"/>
      <c r="D44" s="251"/>
      <c r="E44" s="251"/>
    </row>
    <row r="45" spans="1:5" x14ac:dyDescent="0.2">
      <c r="A45" s="249"/>
      <c r="B45" s="251"/>
      <c r="C45" s="251"/>
      <c r="D45" s="251"/>
      <c r="E45" s="251"/>
    </row>
    <row r="46" spans="1:5" x14ac:dyDescent="0.2">
      <c r="A46" s="249"/>
      <c r="B46" s="251"/>
      <c r="C46" s="251"/>
      <c r="D46" s="251"/>
      <c r="E46" s="251"/>
    </row>
    <row r="47" spans="1:5" x14ac:dyDescent="0.2">
      <c r="A47" s="249"/>
      <c r="B47" s="251"/>
      <c r="C47" s="251"/>
      <c r="D47" s="251"/>
      <c r="E47" s="251"/>
    </row>
    <row r="48" spans="1:5" x14ac:dyDescent="0.2">
      <c r="A48" s="249"/>
      <c r="B48" s="251"/>
      <c r="C48" s="251"/>
      <c r="D48" s="251"/>
      <c r="E48" s="251"/>
    </row>
  </sheetData>
  <sheetProtection password="CA9F" sheet="1" objects="1" scenarios="1"/>
  <mergeCells count="13">
    <mergeCell ref="C1:E2"/>
    <mergeCell ref="D6:E6"/>
    <mergeCell ref="D7:E7"/>
    <mergeCell ref="A6:C6"/>
    <mergeCell ref="C18:D22"/>
    <mergeCell ref="A3:E3"/>
    <mergeCell ref="A5:B5"/>
    <mergeCell ref="C5:E5"/>
    <mergeCell ref="C28:D28"/>
    <mergeCell ref="C29:D29"/>
    <mergeCell ref="C30:D30"/>
    <mergeCell ref="C31:D31"/>
    <mergeCell ref="C32:D32"/>
  </mergeCells>
  <dataValidations count="1">
    <dataValidation type="whole" allowBlank="1" showInputMessage="1" showErrorMessage="1" sqref="E7" xr:uid="{6F23DC8D-3BA1-4B49-9C53-8A72E138F45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zoomScaleNormal="100" zoomScalePageLayoutView="60" workbookViewId="0">
      <selection activeCell="B37" sqref="B37"/>
    </sheetView>
  </sheetViews>
  <sheetFormatPr defaultRowHeight="12.75" x14ac:dyDescent="0.2"/>
  <cols>
    <col min="1" max="1" width="11.5703125" style="63"/>
    <col min="2" max="2" width="75.7109375" style="63"/>
    <col min="3" max="3" width="8.28515625" style="63" customWidth="1"/>
    <col min="4" max="6" width="22" style="63" customWidth="1"/>
    <col min="7" max="1025" width="11.5703125" style="63"/>
    <col min="1026" max="16384" width="9.140625" style="63"/>
  </cols>
  <sheetData>
    <row r="1" spans="1:7" x14ac:dyDescent="0.2">
      <c r="A1" s="124"/>
      <c r="B1" s="126"/>
      <c r="C1" s="126"/>
      <c r="D1" s="519" t="s">
        <v>394</v>
      </c>
      <c r="E1" s="519"/>
      <c r="F1" s="519"/>
      <c r="G1" s="519"/>
    </row>
    <row r="2" spans="1:7" x14ac:dyDescent="0.2">
      <c r="A2" s="124"/>
      <c r="B2" s="126"/>
      <c r="C2" s="126"/>
      <c r="D2" s="519"/>
      <c r="E2" s="519"/>
      <c r="F2" s="519"/>
      <c r="G2" s="519"/>
    </row>
    <row r="3" spans="1:7" x14ac:dyDescent="0.2">
      <c r="A3" s="124"/>
      <c r="B3" s="518" t="s">
        <v>395</v>
      </c>
      <c r="C3" s="518"/>
      <c r="D3" s="518"/>
      <c r="E3" s="518"/>
      <c r="F3" s="124"/>
      <c r="G3" s="124"/>
    </row>
    <row r="4" spans="1:7" x14ac:dyDescent="0.2">
      <c r="A4" s="124"/>
      <c r="B4" s="124"/>
      <c r="C4" s="124"/>
      <c r="D4" s="124"/>
      <c r="E4" s="124"/>
      <c r="F4" s="124"/>
      <c r="G4" s="124"/>
    </row>
    <row r="5" spans="1:7" x14ac:dyDescent="0.2">
      <c r="A5" s="124" t="s">
        <v>277</v>
      </c>
      <c r="B5" s="126"/>
      <c r="C5" s="126"/>
      <c r="D5" s="124"/>
      <c r="E5" s="124"/>
      <c r="F5" s="517" t="s">
        <v>278</v>
      </c>
      <c r="G5" s="517"/>
    </row>
    <row r="6" spans="1:7" x14ac:dyDescent="0.2">
      <c r="A6" s="124"/>
      <c r="B6" s="124"/>
      <c r="C6" s="124"/>
      <c r="D6" s="124"/>
      <c r="E6" s="124"/>
      <c r="F6" s="127"/>
      <c r="G6" s="1" t="s">
        <v>279</v>
      </c>
    </row>
    <row r="7" spans="1:7" ht="25.5" x14ac:dyDescent="0.2">
      <c r="A7" s="128"/>
      <c r="B7" s="129" t="s">
        <v>1</v>
      </c>
      <c r="C7" s="129" t="s">
        <v>295</v>
      </c>
      <c r="D7" s="129" t="s">
        <v>20</v>
      </c>
      <c r="E7" s="129" t="s">
        <v>21</v>
      </c>
      <c r="F7" s="129" t="s">
        <v>22</v>
      </c>
      <c r="G7" s="129" t="s">
        <v>23</v>
      </c>
    </row>
    <row r="8" spans="1:7" x14ac:dyDescent="0.2">
      <c r="A8" s="128" t="s">
        <v>282</v>
      </c>
      <c r="B8" s="129" t="s">
        <v>283</v>
      </c>
      <c r="C8" s="129" t="s">
        <v>297</v>
      </c>
      <c r="D8" s="129">
        <v>1</v>
      </c>
      <c r="E8" s="129">
        <v>2</v>
      </c>
      <c r="F8" s="129">
        <v>3</v>
      </c>
      <c r="G8" s="129">
        <v>4</v>
      </c>
    </row>
    <row r="9" spans="1:7" x14ac:dyDescent="0.2">
      <c r="A9" s="128">
        <v>1</v>
      </c>
      <c r="B9" s="146" t="s">
        <v>121</v>
      </c>
      <c r="C9" s="148">
        <v>1</v>
      </c>
      <c r="D9" s="147">
        <v>0</v>
      </c>
      <c r="E9" s="147">
        <v>0</v>
      </c>
      <c r="F9" s="133">
        <f t="shared" ref="F9:F72" si="0">D9+E9</f>
        <v>0</v>
      </c>
      <c r="G9" s="149" t="e">
        <f>F9/$F$95</f>
        <v>#DIV/0!</v>
      </c>
    </row>
    <row r="10" spans="1:7" x14ac:dyDescent="0.2">
      <c r="A10" s="128">
        <v>2</v>
      </c>
      <c r="B10" s="141" t="s">
        <v>396</v>
      </c>
      <c r="C10" s="150">
        <v>2</v>
      </c>
      <c r="D10" s="133">
        <f>SUM(D11:D22)</f>
        <v>0</v>
      </c>
      <c r="E10" s="133">
        <f>SUM(E11:E22)</f>
        <v>0</v>
      </c>
      <c r="F10" s="133">
        <f t="shared" si="0"/>
        <v>0</v>
      </c>
      <c r="G10" s="149" t="e">
        <f t="shared" ref="G10:G73" si="1">F10/$F$95</f>
        <v>#DIV/0!</v>
      </c>
    </row>
    <row r="11" spans="1:7" x14ac:dyDescent="0.2">
      <c r="A11" s="134">
        <v>2.1</v>
      </c>
      <c r="B11" s="135" t="s">
        <v>272</v>
      </c>
      <c r="C11" s="151">
        <v>3</v>
      </c>
      <c r="D11" s="132"/>
      <c r="E11" s="139"/>
      <c r="F11" s="137">
        <f t="shared" si="0"/>
        <v>0</v>
      </c>
      <c r="G11" s="149" t="e">
        <f t="shared" si="1"/>
        <v>#DIV/0!</v>
      </c>
    </row>
    <row r="12" spans="1:7" x14ac:dyDescent="0.2">
      <c r="A12" s="134">
        <v>2.2000000000000002</v>
      </c>
      <c r="B12" s="135" t="s">
        <v>274</v>
      </c>
      <c r="C12" s="151">
        <v>4</v>
      </c>
      <c r="D12" s="132"/>
      <c r="E12" s="139"/>
      <c r="F12" s="137">
        <f t="shared" si="0"/>
        <v>0</v>
      </c>
      <c r="G12" s="149" t="e">
        <f t="shared" si="1"/>
        <v>#DIV/0!</v>
      </c>
    </row>
    <row r="13" spans="1:7" x14ac:dyDescent="0.2">
      <c r="A13" s="134">
        <v>2.2999999999999998</v>
      </c>
      <c r="B13" s="135" t="s">
        <v>266</v>
      </c>
      <c r="C13" s="151">
        <v>5</v>
      </c>
      <c r="D13" s="132"/>
      <c r="E13" s="139"/>
      <c r="F13" s="137">
        <f t="shared" si="0"/>
        <v>0</v>
      </c>
      <c r="G13" s="149" t="e">
        <f t="shared" si="1"/>
        <v>#DIV/0!</v>
      </c>
    </row>
    <row r="14" spans="1:7" x14ac:dyDescent="0.2">
      <c r="A14" s="134">
        <v>2.4</v>
      </c>
      <c r="B14" s="135" t="s">
        <v>271</v>
      </c>
      <c r="C14" s="152">
        <v>6</v>
      </c>
      <c r="D14" s="132"/>
      <c r="E14" s="139"/>
      <c r="F14" s="137">
        <f t="shared" si="0"/>
        <v>0</v>
      </c>
      <c r="G14" s="149" t="e">
        <f t="shared" si="1"/>
        <v>#DIV/0!</v>
      </c>
    </row>
    <row r="15" spans="1:7" x14ac:dyDescent="0.2">
      <c r="A15" s="134">
        <v>2.5</v>
      </c>
      <c r="B15" s="135" t="s">
        <v>273</v>
      </c>
      <c r="C15" s="151">
        <v>7</v>
      </c>
      <c r="D15" s="132"/>
      <c r="E15" s="139"/>
      <c r="F15" s="137">
        <f t="shared" si="0"/>
        <v>0</v>
      </c>
      <c r="G15" s="149" t="e">
        <f t="shared" si="1"/>
        <v>#DIV/0!</v>
      </c>
    </row>
    <row r="16" spans="1:7" x14ac:dyDescent="0.2">
      <c r="A16" s="134">
        <v>2.6</v>
      </c>
      <c r="B16" s="135" t="s">
        <v>268</v>
      </c>
      <c r="C16" s="151">
        <v>8</v>
      </c>
      <c r="D16" s="132"/>
      <c r="E16" s="139"/>
      <c r="F16" s="137">
        <f t="shared" si="0"/>
        <v>0</v>
      </c>
      <c r="G16" s="149" t="e">
        <f t="shared" si="1"/>
        <v>#DIV/0!</v>
      </c>
    </row>
    <row r="17" spans="1:7" x14ac:dyDescent="0.2">
      <c r="A17" s="134">
        <v>2.7</v>
      </c>
      <c r="B17" s="135" t="s">
        <v>397</v>
      </c>
      <c r="C17" s="151">
        <v>9</v>
      </c>
      <c r="D17" s="132"/>
      <c r="E17" s="139"/>
      <c r="F17" s="137">
        <f t="shared" si="0"/>
        <v>0</v>
      </c>
      <c r="G17" s="149" t="e">
        <f t="shared" si="1"/>
        <v>#DIV/0!</v>
      </c>
    </row>
    <row r="18" spans="1:7" x14ac:dyDescent="0.2">
      <c r="A18" s="134">
        <v>2.8</v>
      </c>
      <c r="B18" s="135" t="s">
        <v>270</v>
      </c>
      <c r="C18" s="152">
        <v>10</v>
      </c>
      <c r="D18" s="132"/>
      <c r="E18" s="139"/>
      <c r="F18" s="137">
        <f t="shared" si="0"/>
        <v>0</v>
      </c>
      <c r="G18" s="149" t="e">
        <f t="shared" si="1"/>
        <v>#DIV/0!</v>
      </c>
    </row>
    <row r="19" spans="1:7" x14ac:dyDescent="0.2">
      <c r="A19" s="134">
        <v>2.9</v>
      </c>
      <c r="B19" s="135" t="s">
        <v>265</v>
      </c>
      <c r="C19" s="151">
        <v>11</v>
      </c>
      <c r="D19" s="132"/>
      <c r="E19" s="139"/>
      <c r="F19" s="137">
        <f t="shared" si="0"/>
        <v>0</v>
      </c>
      <c r="G19" s="149" t="e">
        <f t="shared" si="1"/>
        <v>#DIV/0!</v>
      </c>
    </row>
    <row r="20" spans="1:7" x14ac:dyDescent="0.2">
      <c r="A20" s="153">
        <v>2.1</v>
      </c>
      <c r="B20" s="135" t="s">
        <v>269</v>
      </c>
      <c r="C20" s="151">
        <v>12</v>
      </c>
      <c r="D20" s="132"/>
      <c r="E20" s="139"/>
      <c r="F20" s="137">
        <f t="shared" si="0"/>
        <v>0</v>
      </c>
      <c r="G20" s="149" t="e">
        <f t="shared" si="1"/>
        <v>#DIV/0!</v>
      </c>
    </row>
    <row r="21" spans="1:7" x14ac:dyDescent="0.2">
      <c r="A21" s="134">
        <v>2.11</v>
      </c>
      <c r="B21" s="135" t="s">
        <v>267</v>
      </c>
      <c r="C21" s="151">
        <v>13</v>
      </c>
      <c r="D21" s="132"/>
      <c r="E21" s="139"/>
      <c r="F21" s="137">
        <f t="shared" si="0"/>
        <v>0</v>
      </c>
      <c r="G21" s="149" t="e">
        <f t="shared" si="1"/>
        <v>#DIV/0!</v>
      </c>
    </row>
    <row r="22" spans="1:7" x14ac:dyDescent="0.2">
      <c r="A22" s="134">
        <v>2.12</v>
      </c>
      <c r="B22" s="135" t="s">
        <v>398</v>
      </c>
      <c r="C22" s="152">
        <v>14</v>
      </c>
      <c r="D22" s="132"/>
      <c r="E22" s="139"/>
      <c r="F22" s="137">
        <f t="shared" si="0"/>
        <v>0</v>
      </c>
      <c r="G22" s="149" t="e">
        <f t="shared" si="1"/>
        <v>#DIV/0!</v>
      </c>
    </row>
    <row r="23" spans="1:7" x14ac:dyDescent="0.2">
      <c r="A23" s="128">
        <v>3</v>
      </c>
      <c r="B23" s="141" t="s">
        <v>399</v>
      </c>
      <c r="C23" s="148">
        <v>15</v>
      </c>
      <c r="D23" s="133">
        <f>SUM(D24:D35)</f>
        <v>0</v>
      </c>
      <c r="E23" s="133">
        <f>SUM(E24:E35)</f>
        <v>0</v>
      </c>
      <c r="F23" s="133">
        <f t="shared" si="0"/>
        <v>0</v>
      </c>
      <c r="G23" s="149" t="e">
        <f t="shared" si="1"/>
        <v>#DIV/0!</v>
      </c>
    </row>
    <row r="24" spans="1:7" x14ac:dyDescent="0.2">
      <c r="A24" s="134">
        <v>3.1</v>
      </c>
      <c r="B24" s="135" t="s">
        <v>272</v>
      </c>
      <c r="C24" s="151">
        <v>16</v>
      </c>
      <c r="D24" s="132"/>
      <c r="E24" s="139"/>
      <c r="F24" s="137">
        <f t="shared" si="0"/>
        <v>0</v>
      </c>
      <c r="G24" s="149" t="e">
        <f t="shared" si="1"/>
        <v>#DIV/0!</v>
      </c>
    </row>
    <row r="25" spans="1:7" x14ac:dyDescent="0.2">
      <c r="A25" s="134">
        <v>3.2</v>
      </c>
      <c r="B25" s="135" t="s">
        <v>274</v>
      </c>
      <c r="C25" s="151">
        <v>17</v>
      </c>
      <c r="D25" s="132"/>
      <c r="E25" s="139"/>
      <c r="F25" s="137">
        <f t="shared" si="0"/>
        <v>0</v>
      </c>
      <c r="G25" s="149" t="e">
        <f t="shared" si="1"/>
        <v>#DIV/0!</v>
      </c>
    </row>
    <row r="26" spans="1:7" x14ac:dyDescent="0.2">
      <c r="A26" s="134">
        <v>3.3</v>
      </c>
      <c r="B26" s="135" t="s">
        <v>266</v>
      </c>
      <c r="C26" s="152">
        <v>18</v>
      </c>
      <c r="D26" s="132"/>
      <c r="E26" s="139"/>
      <c r="F26" s="137">
        <f t="shared" si="0"/>
        <v>0</v>
      </c>
      <c r="G26" s="149" t="e">
        <f t="shared" si="1"/>
        <v>#DIV/0!</v>
      </c>
    </row>
    <row r="27" spans="1:7" x14ac:dyDescent="0.2">
      <c r="A27" s="134">
        <v>3.4</v>
      </c>
      <c r="B27" s="135" t="s">
        <v>271</v>
      </c>
      <c r="C27" s="151">
        <v>19</v>
      </c>
      <c r="D27" s="132"/>
      <c r="E27" s="139"/>
      <c r="F27" s="137">
        <f t="shared" si="0"/>
        <v>0</v>
      </c>
      <c r="G27" s="149" t="e">
        <f t="shared" si="1"/>
        <v>#DIV/0!</v>
      </c>
    </row>
    <row r="28" spans="1:7" x14ac:dyDescent="0.2">
      <c r="A28" s="134">
        <v>3.5</v>
      </c>
      <c r="B28" s="135" t="s">
        <v>273</v>
      </c>
      <c r="C28" s="151">
        <v>20</v>
      </c>
      <c r="D28" s="132"/>
      <c r="E28" s="139"/>
      <c r="F28" s="137">
        <f t="shared" si="0"/>
        <v>0</v>
      </c>
      <c r="G28" s="149" t="e">
        <f t="shared" si="1"/>
        <v>#DIV/0!</v>
      </c>
    </row>
    <row r="29" spans="1:7" x14ac:dyDescent="0.2">
      <c r="A29" s="134">
        <v>3.6</v>
      </c>
      <c r="B29" s="135" t="s">
        <v>268</v>
      </c>
      <c r="C29" s="151">
        <v>21</v>
      </c>
      <c r="D29" s="132"/>
      <c r="E29" s="139"/>
      <c r="F29" s="137">
        <f t="shared" si="0"/>
        <v>0</v>
      </c>
      <c r="G29" s="149" t="e">
        <f t="shared" si="1"/>
        <v>#DIV/0!</v>
      </c>
    </row>
    <row r="30" spans="1:7" x14ac:dyDescent="0.2">
      <c r="A30" s="134">
        <v>3.7</v>
      </c>
      <c r="B30" s="135" t="s">
        <v>397</v>
      </c>
      <c r="C30" s="152">
        <v>22</v>
      </c>
      <c r="D30" s="132"/>
      <c r="E30" s="139"/>
      <c r="F30" s="137">
        <f t="shared" si="0"/>
        <v>0</v>
      </c>
      <c r="G30" s="149" t="e">
        <f t="shared" si="1"/>
        <v>#DIV/0!</v>
      </c>
    </row>
    <row r="31" spans="1:7" x14ac:dyDescent="0.2">
      <c r="A31" s="134">
        <v>3.8</v>
      </c>
      <c r="B31" s="135" t="s">
        <v>270</v>
      </c>
      <c r="C31" s="151">
        <v>23</v>
      </c>
      <c r="D31" s="132"/>
      <c r="E31" s="139"/>
      <c r="F31" s="137">
        <f t="shared" si="0"/>
        <v>0</v>
      </c>
      <c r="G31" s="149" t="e">
        <f t="shared" si="1"/>
        <v>#DIV/0!</v>
      </c>
    </row>
    <row r="32" spans="1:7" x14ac:dyDescent="0.2">
      <c r="A32" s="134">
        <v>3.9</v>
      </c>
      <c r="B32" s="135" t="s">
        <v>265</v>
      </c>
      <c r="C32" s="151">
        <v>24</v>
      </c>
      <c r="D32" s="132"/>
      <c r="E32" s="139"/>
      <c r="F32" s="137">
        <f t="shared" si="0"/>
        <v>0</v>
      </c>
      <c r="G32" s="149" t="e">
        <f t="shared" si="1"/>
        <v>#DIV/0!</v>
      </c>
    </row>
    <row r="33" spans="1:7" x14ac:dyDescent="0.2">
      <c r="A33" s="153">
        <v>3.1</v>
      </c>
      <c r="B33" s="135" t="s">
        <v>269</v>
      </c>
      <c r="C33" s="151">
        <v>25</v>
      </c>
      <c r="D33" s="132"/>
      <c r="E33" s="139"/>
      <c r="F33" s="137">
        <f t="shared" si="0"/>
        <v>0</v>
      </c>
      <c r="G33" s="149" t="e">
        <f t="shared" si="1"/>
        <v>#DIV/0!</v>
      </c>
    </row>
    <row r="34" spans="1:7" x14ac:dyDescent="0.2">
      <c r="A34" s="134">
        <v>3.11</v>
      </c>
      <c r="B34" s="135" t="s">
        <v>267</v>
      </c>
      <c r="C34" s="152">
        <v>26</v>
      </c>
      <c r="D34" s="132"/>
      <c r="E34" s="139"/>
      <c r="F34" s="137">
        <f t="shared" si="0"/>
        <v>0</v>
      </c>
      <c r="G34" s="149" t="e">
        <f t="shared" si="1"/>
        <v>#DIV/0!</v>
      </c>
    </row>
    <row r="35" spans="1:7" x14ac:dyDescent="0.2">
      <c r="A35" s="134">
        <v>3.12</v>
      </c>
      <c r="B35" s="135" t="s">
        <v>398</v>
      </c>
      <c r="C35" s="151">
        <v>27</v>
      </c>
      <c r="D35" s="132"/>
      <c r="E35" s="139"/>
      <c r="F35" s="137">
        <f t="shared" si="0"/>
        <v>0</v>
      </c>
      <c r="G35" s="149" t="e">
        <f t="shared" si="1"/>
        <v>#DIV/0!</v>
      </c>
    </row>
    <row r="36" spans="1:7" x14ac:dyDescent="0.2">
      <c r="A36" s="128">
        <v>4</v>
      </c>
      <c r="B36" s="141" t="s">
        <v>24</v>
      </c>
      <c r="C36" s="148">
        <v>28</v>
      </c>
      <c r="D36" s="133">
        <f>SUM(D37:D48)</f>
        <v>0</v>
      </c>
      <c r="E36" s="133">
        <f>SUM(E37:E48)</f>
        <v>0</v>
      </c>
      <c r="F36" s="133">
        <f t="shared" si="0"/>
        <v>0</v>
      </c>
      <c r="G36" s="149" t="e">
        <f t="shared" si="1"/>
        <v>#DIV/0!</v>
      </c>
    </row>
    <row r="37" spans="1:7" x14ac:dyDescent="0.2">
      <c r="A37" s="134">
        <v>4.0999999999999996</v>
      </c>
      <c r="B37" s="135" t="s">
        <v>272</v>
      </c>
      <c r="C37" s="151">
        <v>29</v>
      </c>
      <c r="D37" s="139"/>
      <c r="E37" s="132"/>
      <c r="F37" s="137">
        <f t="shared" si="0"/>
        <v>0</v>
      </c>
      <c r="G37" s="149" t="e">
        <f t="shared" si="1"/>
        <v>#DIV/0!</v>
      </c>
    </row>
    <row r="38" spans="1:7" x14ac:dyDescent="0.2">
      <c r="A38" s="134">
        <v>4.2</v>
      </c>
      <c r="B38" s="135" t="s">
        <v>274</v>
      </c>
      <c r="C38" s="152">
        <v>30</v>
      </c>
      <c r="D38" s="139"/>
      <c r="E38" s="132"/>
      <c r="F38" s="137">
        <f t="shared" si="0"/>
        <v>0</v>
      </c>
      <c r="G38" s="149" t="e">
        <f t="shared" si="1"/>
        <v>#DIV/0!</v>
      </c>
    </row>
    <row r="39" spans="1:7" x14ac:dyDescent="0.2">
      <c r="A39" s="134">
        <v>4.3</v>
      </c>
      <c r="B39" s="135" t="s">
        <v>266</v>
      </c>
      <c r="C39" s="151">
        <v>31</v>
      </c>
      <c r="D39" s="139"/>
      <c r="E39" s="132"/>
      <c r="F39" s="137">
        <f t="shared" si="0"/>
        <v>0</v>
      </c>
      <c r="G39" s="149" t="e">
        <f t="shared" si="1"/>
        <v>#DIV/0!</v>
      </c>
    </row>
    <row r="40" spans="1:7" x14ac:dyDescent="0.2">
      <c r="A40" s="134">
        <v>4.4000000000000004</v>
      </c>
      <c r="B40" s="135" t="s">
        <v>271</v>
      </c>
      <c r="C40" s="151">
        <v>32</v>
      </c>
      <c r="D40" s="139"/>
      <c r="E40" s="132"/>
      <c r="F40" s="137">
        <f t="shared" si="0"/>
        <v>0</v>
      </c>
      <c r="G40" s="149" t="e">
        <f t="shared" si="1"/>
        <v>#DIV/0!</v>
      </c>
    </row>
    <row r="41" spans="1:7" x14ac:dyDescent="0.2">
      <c r="A41" s="134">
        <v>4.5</v>
      </c>
      <c r="B41" s="135" t="s">
        <v>273</v>
      </c>
      <c r="C41" s="151">
        <v>33</v>
      </c>
      <c r="D41" s="139"/>
      <c r="E41" s="132"/>
      <c r="F41" s="137">
        <f t="shared" si="0"/>
        <v>0</v>
      </c>
      <c r="G41" s="149" t="e">
        <f t="shared" si="1"/>
        <v>#DIV/0!</v>
      </c>
    </row>
    <row r="42" spans="1:7" x14ac:dyDescent="0.2">
      <c r="A42" s="134">
        <v>4.5999999999999996</v>
      </c>
      <c r="B42" s="135" t="s">
        <v>268</v>
      </c>
      <c r="C42" s="152">
        <v>34</v>
      </c>
      <c r="D42" s="139"/>
      <c r="E42" s="132"/>
      <c r="F42" s="137">
        <f t="shared" si="0"/>
        <v>0</v>
      </c>
      <c r="G42" s="149" t="e">
        <f t="shared" si="1"/>
        <v>#DIV/0!</v>
      </c>
    </row>
    <row r="43" spans="1:7" x14ac:dyDescent="0.2">
      <c r="A43" s="134">
        <v>4.7</v>
      </c>
      <c r="B43" s="135" t="s">
        <v>397</v>
      </c>
      <c r="C43" s="151">
        <v>35</v>
      </c>
      <c r="D43" s="139"/>
      <c r="E43" s="132"/>
      <c r="F43" s="137">
        <f t="shared" si="0"/>
        <v>0</v>
      </c>
      <c r="G43" s="149" t="e">
        <f t="shared" si="1"/>
        <v>#DIV/0!</v>
      </c>
    </row>
    <row r="44" spans="1:7" x14ac:dyDescent="0.2">
      <c r="A44" s="134">
        <v>4.8</v>
      </c>
      <c r="B44" s="135" t="s">
        <v>270</v>
      </c>
      <c r="C44" s="151">
        <v>36</v>
      </c>
      <c r="D44" s="139"/>
      <c r="E44" s="132"/>
      <c r="F44" s="137">
        <f t="shared" si="0"/>
        <v>0</v>
      </c>
      <c r="G44" s="149" t="e">
        <f t="shared" si="1"/>
        <v>#DIV/0!</v>
      </c>
    </row>
    <row r="45" spans="1:7" x14ac:dyDescent="0.2">
      <c r="A45" s="134">
        <v>4.9000000000000004</v>
      </c>
      <c r="B45" s="135" t="s">
        <v>265</v>
      </c>
      <c r="C45" s="151">
        <v>37</v>
      </c>
      <c r="D45" s="139"/>
      <c r="E45" s="132"/>
      <c r="F45" s="137">
        <f t="shared" si="0"/>
        <v>0</v>
      </c>
      <c r="G45" s="149" t="e">
        <f t="shared" si="1"/>
        <v>#DIV/0!</v>
      </c>
    </row>
    <row r="46" spans="1:7" x14ac:dyDescent="0.2">
      <c r="A46" s="153">
        <v>4.0999999999999996</v>
      </c>
      <c r="B46" s="135" t="s">
        <v>269</v>
      </c>
      <c r="C46" s="152">
        <v>38</v>
      </c>
      <c r="D46" s="139"/>
      <c r="E46" s="132"/>
      <c r="F46" s="137">
        <f t="shared" si="0"/>
        <v>0</v>
      </c>
      <c r="G46" s="149" t="e">
        <f t="shared" si="1"/>
        <v>#DIV/0!</v>
      </c>
    </row>
    <row r="47" spans="1:7" x14ac:dyDescent="0.2">
      <c r="A47" s="134">
        <v>4.1100000000000003</v>
      </c>
      <c r="B47" s="135" t="s">
        <v>267</v>
      </c>
      <c r="C47" s="151">
        <v>39</v>
      </c>
      <c r="D47" s="139"/>
      <c r="E47" s="132"/>
      <c r="F47" s="137">
        <f t="shared" si="0"/>
        <v>0</v>
      </c>
      <c r="G47" s="149" t="e">
        <f t="shared" si="1"/>
        <v>#DIV/0!</v>
      </c>
    </row>
    <row r="48" spans="1:7" x14ac:dyDescent="0.2">
      <c r="A48" s="134">
        <v>4.12</v>
      </c>
      <c r="B48" s="135" t="s">
        <v>398</v>
      </c>
      <c r="C48" s="151">
        <v>40</v>
      </c>
      <c r="D48" s="139"/>
      <c r="E48" s="132"/>
      <c r="F48" s="137">
        <f t="shared" si="0"/>
        <v>0</v>
      </c>
      <c r="G48" s="149" t="e">
        <f t="shared" si="1"/>
        <v>#DIV/0!</v>
      </c>
    </row>
    <row r="49" spans="1:7" x14ac:dyDescent="0.2">
      <c r="A49" s="128">
        <v>5</v>
      </c>
      <c r="B49" s="141" t="s">
        <v>25</v>
      </c>
      <c r="C49" s="148">
        <v>41</v>
      </c>
      <c r="D49" s="133">
        <f>SUM(D50:D61)</f>
        <v>0</v>
      </c>
      <c r="E49" s="133">
        <f>SUM(E50:E61)</f>
        <v>0</v>
      </c>
      <c r="F49" s="133">
        <f t="shared" si="0"/>
        <v>0</v>
      </c>
      <c r="G49" s="149" t="e">
        <f t="shared" si="1"/>
        <v>#DIV/0!</v>
      </c>
    </row>
    <row r="50" spans="1:7" x14ac:dyDescent="0.2">
      <c r="A50" s="134">
        <v>5.0999999999999996</v>
      </c>
      <c r="B50" s="135" t="s">
        <v>272</v>
      </c>
      <c r="C50" s="152">
        <v>42</v>
      </c>
      <c r="D50" s="139"/>
      <c r="E50" s="132"/>
      <c r="F50" s="137">
        <f t="shared" si="0"/>
        <v>0</v>
      </c>
      <c r="G50" s="149" t="e">
        <f t="shared" si="1"/>
        <v>#DIV/0!</v>
      </c>
    </row>
    <row r="51" spans="1:7" x14ac:dyDescent="0.2">
      <c r="A51" s="134">
        <v>5.2</v>
      </c>
      <c r="B51" s="135" t="s">
        <v>274</v>
      </c>
      <c r="C51" s="151">
        <v>43</v>
      </c>
      <c r="D51" s="139"/>
      <c r="E51" s="132"/>
      <c r="F51" s="137">
        <f t="shared" si="0"/>
        <v>0</v>
      </c>
      <c r="G51" s="149" t="e">
        <f t="shared" si="1"/>
        <v>#DIV/0!</v>
      </c>
    </row>
    <row r="52" spans="1:7" x14ac:dyDescent="0.2">
      <c r="A52" s="134">
        <v>5.3</v>
      </c>
      <c r="B52" s="135" t="s">
        <v>266</v>
      </c>
      <c r="C52" s="151">
        <v>44</v>
      </c>
      <c r="D52" s="139"/>
      <c r="E52" s="132"/>
      <c r="F52" s="137">
        <f t="shared" si="0"/>
        <v>0</v>
      </c>
      <c r="G52" s="149" t="e">
        <f t="shared" si="1"/>
        <v>#DIV/0!</v>
      </c>
    </row>
    <row r="53" spans="1:7" x14ac:dyDescent="0.2">
      <c r="A53" s="134">
        <v>5.4</v>
      </c>
      <c r="B53" s="135" t="s">
        <v>271</v>
      </c>
      <c r="C53" s="151">
        <v>45</v>
      </c>
      <c r="D53" s="139"/>
      <c r="E53" s="132"/>
      <c r="F53" s="137">
        <f t="shared" si="0"/>
        <v>0</v>
      </c>
      <c r="G53" s="149" t="e">
        <f t="shared" si="1"/>
        <v>#DIV/0!</v>
      </c>
    </row>
    <row r="54" spans="1:7" x14ac:dyDescent="0.2">
      <c r="A54" s="134">
        <v>5.5</v>
      </c>
      <c r="B54" s="135" t="s">
        <v>273</v>
      </c>
      <c r="C54" s="152">
        <v>46</v>
      </c>
      <c r="D54" s="139"/>
      <c r="E54" s="132"/>
      <c r="F54" s="137">
        <f t="shared" si="0"/>
        <v>0</v>
      </c>
      <c r="G54" s="149" t="e">
        <f t="shared" si="1"/>
        <v>#DIV/0!</v>
      </c>
    </row>
    <row r="55" spans="1:7" x14ac:dyDescent="0.2">
      <c r="A55" s="134">
        <v>5.6</v>
      </c>
      <c r="B55" s="135" t="s">
        <v>268</v>
      </c>
      <c r="C55" s="151">
        <v>47</v>
      </c>
      <c r="D55" s="139"/>
      <c r="E55" s="132"/>
      <c r="F55" s="137">
        <f t="shared" si="0"/>
        <v>0</v>
      </c>
      <c r="G55" s="149" t="e">
        <f t="shared" si="1"/>
        <v>#DIV/0!</v>
      </c>
    </row>
    <row r="56" spans="1:7" x14ac:dyDescent="0.2">
      <c r="A56" s="134">
        <v>5.7</v>
      </c>
      <c r="B56" s="135" t="s">
        <v>397</v>
      </c>
      <c r="C56" s="151">
        <v>48</v>
      </c>
      <c r="D56" s="139"/>
      <c r="E56" s="132"/>
      <c r="F56" s="137">
        <f t="shared" si="0"/>
        <v>0</v>
      </c>
      <c r="G56" s="149" t="e">
        <f t="shared" si="1"/>
        <v>#DIV/0!</v>
      </c>
    </row>
    <row r="57" spans="1:7" x14ac:dyDescent="0.2">
      <c r="A57" s="134">
        <v>5.8</v>
      </c>
      <c r="B57" s="135" t="s">
        <v>270</v>
      </c>
      <c r="C57" s="151">
        <v>49</v>
      </c>
      <c r="D57" s="139"/>
      <c r="E57" s="132"/>
      <c r="F57" s="137">
        <f t="shared" si="0"/>
        <v>0</v>
      </c>
      <c r="G57" s="149" t="e">
        <f t="shared" si="1"/>
        <v>#DIV/0!</v>
      </c>
    </row>
    <row r="58" spans="1:7" x14ac:dyDescent="0.2">
      <c r="A58" s="134">
        <v>5.9</v>
      </c>
      <c r="B58" s="135" t="s">
        <v>265</v>
      </c>
      <c r="C58" s="152">
        <v>50</v>
      </c>
      <c r="D58" s="139"/>
      <c r="E58" s="132"/>
      <c r="F58" s="137">
        <f t="shared" si="0"/>
        <v>0</v>
      </c>
      <c r="G58" s="149" t="e">
        <f t="shared" si="1"/>
        <v>#DIV/0!</v>
      </c>
    </row>
    <row r="59" spans="1:7" x14ac:dyDescent="0.2">
      <c r="A59" s="153">
        <v>5.0999999999999996</v>
      </c>
      <c r="B59" s="135" t="s">
        <v>269</v>
      </c>
      <c r="C59" s="151">
        <v>51</v>
      </c>
      <c r="D59" s="139"/>
      <c r="E59" s="132"/>
      <c r="F59" s="137">
        <f t="shared" si="0"/>
        <v>0</v>
      </c>
      <c r="G59" s="149" t="e">
        <f t="shared" si="1"/>
        <v>#DIV/0!</v>
      </c>
    </row>
    <row r="60" spans="1:7" x14ac:dyDescent="0.2">
      <c r="A60" s="134">
        <v>5.1100000000000003</v>
      </c>
      <c r="B60" s="135" t="s">
        <v>267</v>
      </c>
      <c r="C60" s="151">
        <v>52</v>
      </c>
      <c r="D60" s="139"/>
      <c r="E60" s="132"/>
      <c r="F60" s="137">
        <f t="shared" si="0"/>
        <v>0</v>
      </c>
      <c r="G60" s="149" t="e">
        <f t="shared" si="1"/>
        <v>#DIV/0!</v>
      </c>
    </row>
    <row r="61" spans="1:7" x14ac:dyDescent="0.2">
      <c r="A61" s="153">
        <v>5.12</v>
      </c>
      <c r="B61" s="135" t="s">
        <v>398</v>
      </c>
      <c r="C61" s="151">
        <v>53</v>
      </c>
      <c r="D61" s="139"/>
      <c r="E61" s="132"/>
      <c r="F61" s="137">
        <f t="shared" si="0"/>
        <v>0</v>
      </c>
      <c r="G61" s="149" t="e">
        <f t="shared" si="1"/>
        <v>#DIV/0!</v>
      </c>
    </row>
    <row r="62" spans="1:7" x14ac:dyDescent="0.2">
      <c r="A62" s="128">
        <v>6</v>
      </c>
      <c r="B62" s="141" t="s">
        <v>400</v>
      </c>
      <c r="C62" s="150">
        <v>54</v>
      </c>
      <c r="D62" s="133">
        <f>SUM(D63:D71)</f>
        <v>0</v>
      </c>
      <c r="E62" s="133">
        <f>SUM(E63:E71)</f>
        <v>0</v>
      </c>
      <c r="F62" s="133">
        <f t="shared" si="0"/>
        <v>0</v>
      </c>
      <c r="G62" s="149" t="e">
        <f t="shared" si="1"/>
        <v>#DIV/0!</v>
      </c>
    </row>
    <row r="63" spans="1:7" x14ac:dyDescent="0.2">
      <c r="A63" s="134">
        <v>6.1</v>
      </c>
      <c r="B63" s="135" t="s">
        <v>401</v>
      </c>
      <c r="C63" s="151">
        <v>55</v>
      </c>
      <c r="D63" s="132"/>
      <c r="E63" s="132"/>
      <c r="F63" s="137">
        <f t="shared" si="0"/>
        <v>0</v>
      </c>
      <c r="G63" s="149" t="e">
        <f t="shared" si="1"/>
        <v>#DIV/0!</v>
      </c>
    </row>
    <row r="64" spans="1:7" x14ac:dyDescent="0.2">
      <c r="A64" s="134">
        <v>6.2</v>
      </c>
      <c r="B64" s="135" t="s">
        <v>240</v>
      </c>
      <c r="C64" s="151">
        <v>56</v>
      </c>
      <c r="D64" s="132"/>
      <c r="E64" s="132"/>
      <c r="F64" s="137">
        <f t="shared" si="0"/>
        <v>0</v>
      </c>
      <c r="G64" s="149" t="e">
        <f t="shared" si="1"/>
        <v>#DIV/0!</v>
      </c>
    </row>
    <row r="65" spans="1:7" x14ac:dyDescent="0.2">
      <c r="A65" s="134">
        <v>6.3</v>
      </c>
      <c r="B65" s="135" t="s">
        <v>246</v>
      </c>
      <c r="C65" s="151">
        <v>57</v>
      </c>
      <c r="D65" s="132"/>
      <c r="E65" s="132"/>
      <c r="F65" s="137">
        <f t="shared" si="0"/>
        <v>0</v>
      </c>
      <c r="G65" s="149" t="e">
        <f t="shared" si="1"/>
        <v>#DIV/0!</v>
      </c>
    </row>
    <row r="66" spans="1:7" x14ac:dyDescent="0.2">
      <c r="A66" s="134">
        <v>6.4</v>
      </c>
      <c r="B66" s="135" t="s">
        <v>402</v>
      </c>
      <c r="C66" s="152">
        <v>58</v>
      </c>
      <c r="D66" s="132"/>
      <c r="E66" s="132"/>
      <c r="F66" s="137">
        <f t="shared" si="0"/>
        <v>0</v>
      </c>
      <c r="G66" s="149" t="e">
        <f t="shared" si="1"/>
        <v>#DIV/0!</v>
      </c>
    </row>
    <row r="67" spans="1:7" x14ac:dyDescent="0.2">
      <c r="A67" s="134">
        <v>6.5</v>
      </c>
      <c r="B67" s="135" t="s">
        <v>403</v>
      </c>
      <c r="C67" s="151">
        <v>59</v>
      </c>
      <c r="D67" s="132"/>
      <c r="E67" s="132"/>
      <c r="F67" s="137">
        <f t="shared" si="0"/>
        <v>0</v>
      </c>
      <c r="G67" s="149" t="e">
        <f t="shared" si="1"/>
        <v>#DIV/0!</v>
      </c>
    </row>
    <row r="68" spans="1:7" x14ac:dyDescent="0.2">
      <c r="A68" s="134">
        <v>6.6</v>
      </c>
      <c r="B68" s="135" t="s">
        <v>404</v>
      </c>
      <c r="C68" s="151">
        <v>60</v>
      </c>
      <c r="D68" s="132"/>
      <c r="E68" s="132"/>
      <c r="F68" s="137">
        <f t="shared" si="0"/>
        <v>0</v>
      </c>
      <c r="G68" s="149" t="e">
        <f t="shared" si="1"/>
        <v>#DIV/0!</v>
      </c>
    </row>
    <row r="69" spans="1:7" x14ac:dyDescent="0.2">
      <c r="A69" s="134">
        <v>6.7</v>
      </c>
      <c r="B69" s="135" t="s">
        <v>405</v>
      </c>
      <c r="C69" s="151">
        <v>61</v>
      </c>
      <c r="D69" s="132"/>
      <c r="E69" s="132"/>
      <c r="F69" s="137">
        <f t="shared" si="0"/>
        <v>0</v>
      </c>
      <c r="G69" s="149" t="e">
        <f t="shared" si="1"/>
        <v>#DIV/0!</v>
      </c>
    </row>
    <row r="70" spans="1:7" x14ac:dyDescent="0.2">
      <c r="A70" s="134">
        <v>6.8</v>
      </c>
      <c r="B70" s="135" t="s">
        <v>406</v>
      </c>
      <c r="C70" s="152">
        <v>62</v>
      </c>
      <c r="D70" s="132"/>
      <c r="E70" s="132"/>
      <c r="F70" s="137">
        <f t="shared" si="0"/>
        <v>0</v>
      </c>
      <c r="G70" s="149" t="e">
        <f t="shared" si="1"/>
        <v>#DIV/0!</v>
      </c>
    </row>
    <row r="71" spans="1:7" x14ac:dyDescent="0.2">
      <c r="A71" s="134">
        <v>6.9</v>
      </c>
      <c r="B71" s="135" t="s">
        <v>216</v>
      </c>
      <c r="C71" s="151">
        <v>63</v>
      </c>
      <c r="D71" s="132"/>
      <c r="E71" s="132"/>
      <c r="F71" s="137">
        <f t="shared" si="0"/>
        <v>0</v>
      </c>
      <c r="G71" s="149" t="e">
        <f t="shared" si="1"/>
        <v>#DIV/0!</v>
      </c>
    </row>
    <row r="72" spans="1:7" x14ac:dyDescent="0.2">
      <c r="A72" s="128">
        <v>7</v>
      </c>
      <c r="B72" s="154" t="s">
        <v>244</v>
      </c>
      <c r="C72" s="148">
        <v>64</v>
      </c>
      <c r="D72" s="139"/>
      <c r="E72" s="132"/>
      <c r="F72" s="137">
        <f t="shared" si="0"/>
        <v>0</v>
      </c>
      <c r="G72" s="149" t="e">
        <f t="shared" si="1"/>
        <v>#DIV/0!</v>
      </c>
    </row>
    <row r="73" spans="1:7" x14ac:dyDescent="0.2">
      <c r="A73" s="128">
        <v>8</v>
      </c>
      <c r="B73" s="154" t="s">
        <v>137</v>
      </c>
      <c r="C73" s="148">
        <v>65</v>
      </c>
      <c r="D73" s="139"/>
      <c r="E73" s="132"/>
      <c r="F73" s="137">
        <f t="shared" ref="F73:F86" si="2">D73+E73</f>
        <v>0</v>
      </c>
      <c r="G73" s="149" t="e">
        <f t="shared" si="1"/>
        <v>#DIV/0!</v>
      </c>
    </row>
    <row r="74" spans="1:7" x14ac:dyDescent="0.2">
      <c r="A74" s="128">
        <v>9</v>
      </c>
      <c r="B74" s="154" t="s">
        <v>138</v>
      </c>
      <c r="C74" s="148">
        <v>66</v>
      </c>
      <c r="D74" s="139"/>
      <c r="E74" s="132"/>
      <c r="F74" s="137">
        <f t="shared" si="2"/>
        <v>0</v>
      </c>
      <c r="G74" s="149" t="e">
        <f t="shared" ref="G74:G95" si="3">F74/$F$95</f>
        <v>#DIV/0!</v>
      </c>
    </row>
    <row r="75" spans="1:7" x14ac:dyDescent="0.2">
      <c r="A75" s="128">
        <v>10</v>
      </c>
      <c r="B75" s="155" t="s">
        <v>407</v>
      </c>
      <c r="C75" s="148">
        <v>67</v>
      </c>
      <c r="D75" s="133">
        <f>SUM(D76:D85)</f>
        <v>0</v>
      </c>
      <c r="E75" s="133">
        <f>SUM(E76:E85)</f>
        <v>0</v>
      </c>
      <c r="F75" s="133">
        <f t="shared" si="2"/>
        <v>0</v>
      </c>
      <c r="G75" s="149" t="e">
        <f t="shared" si="3"/>
        <v>#DIV/0!</v>
      </c>
    </row>
    <row r="76" spans="1:7" x14ac:dyDescent="0.2">
      <c r="A76" s="134">
        <v>10.1</v>
      </c>
      <c r="B76" s="135" t="s">
        <v>408</v>
      </c>
      <c r="C76" s="151">
        <v>68</v>
      </c>
      <c r="D76" s="132"/>
      <c r="E76" s="132"/>
      <c r="F76" s="137">
        <f t="shared" si="2"/>
        <v>0</v>
      </c>
      <c r="G76" s="149" t="e">
        <f t="shared" si="3"/>
        <v>#DIV/0!</v>
      </c>
    </row>
    <row r="77" spans="1:7" x14ac:dyDescent="0.2">
      <c r="A77" s="134">
        <v>10.199999999999999</v>
      </c>
      <c r="B77" s="135" t="s">
        <v>409</v>
      </c>
      <c r="C77" s="151">
        <v>69</v>
      </c>
      <c r="D77" s="132"/>
      <c r="E77" s="132"/>
      <c r="F77" s="137">
        <f t="shared" si="2"/>
        <v>0</v>
      </c>
      <c r="G77" s="149" t="e">
        <f t="shared" si="3"/>
        <v>#DIV/0!</v>
      </c>
    </row>
    <row r="78" spans="1:7" x14ac:dyDescent="0.2">
      <c r="A78" s="134">
        <v>10.3</v>
      </c>
      <c r="B78" s="135" t="s">
        <v>410</v>
      </c>
      <c r="C78" s="151">
        <v>70</v>
      </c>
      <c r="D78" s="132"/>
      <c r="E78" s="132"/>
      <c r="F78" s="137"/>
      <c r="G78" s="149"/>
    </row>
    <row r="79" spans="1:7" x14ac:dyDescent="0.2">
      <c r="A79" s="134">
        <v>10.4</v>
      </c>
      <c r="B79" s="135" t="s">
        <v>1094</v>
      </c>
      <c r="C79" s="151">
        <v>71</v>
      </c>
      <c r="D79" s="132"/>
      <c r="E79" s="132"/>
      <c r="F79" s="137"/>
      <c r="G79" s="149"/>
    </row>
    <row r="80" spans="1:7" x14ac:dyDescent="0.2">
      <c r="A80" s="134">
        <v>10.5</v>
      </c>
      <c r="B80" s="135" t="s">
        <v>1095</v>
      </c>
      <c r="C80" s="151">
        <v>72</v>
      </c>
      <c r="D80" s="132"/>
      <c r="E80" s="132"/>
      <c r="F80" s="137"/>
      <c r="G80" s="149"/>
    </row>
    <row r="81" spans="1:7" x14ac:dyDescent="0.2">
      <c r="A81" s="134">
        <v>10.6</v>
      </c>
      <c r="B81" s="135" t="s">
        <v>1096</v>
      </c>
      <c r="C81" s="151">
        <v>73</v>
      </c>
      <c r="D81" s="132"/>
      <c r="E81" s="132"/>
      <c r="F81" s="137"/>
      <c r="G81" s="149"/>
    </row>
    <row r="82" spans="1:7" x14ac:dyDescent="0.2">
      <c r="A82" s="134">
        <v>10.7</v>
      </c>
      <c r="B82" s="135" t="s">
        <v>1097</v>
      </c>
      <c r="C82" s="151">
        <v>74</v>
      </c>
      <c r="D82" s="132"/>
      <c r="E82" s="132"/>
      <c r="F82" s="137"/>
      <c r="G82" s="149"/>
    </row>
    <row r="83" spans="1:7" x14ac:dyDescent="0.2">
      <c r="A83" s="134">
        <v>10.8</v>
      </c>
      <c r="B83" s="135" t="s">
        <v>1098</v>
      </c>
      <c r="C83" s="151">
        <v>75</v>
      </c>
      <c r="D83" s="132"/>
      <c r="E83" s="132"/>
      <c r="F83" s="137"/>
      <c r="G83" s="149"/>
    </row>
    <row r="84" spans="1:7" x14ac:dyDescent="0.2">
      <c r="A84" s="134">
        <v>10.9</v>
      </c>
      <c r="B84" s="135" t="s">
        <v>1099</v>
      </c>
      <c r="C84" s="151">
        <v>76</v>
      </c>
      <c r="D84" s="132"/>
      <c r="E84" s="132"/>
      <c r="F84" s="137"/>
      <c r="G84" s="149"/>
    </row>
    <row r="85" spans="1:7" x14ac:dyDescent="0.2">
      <c r="A85" s="134">
        <v>11</v>
      </c>
      <c r="B85" s="135" t="s">
        <v>1100</v>
      </c>
      <c r="C85" s="151">
        <v>77</v>
      </c>
      <c r="D85" s="132"/>
      <c r="E85" s="132"/>
      <c r="F85" s="137">
        <f t="shared" si="2"/>
        <v>0</v>
      </c>
      <c r="G85" s="149" t="e">
        <f t="shared" si="3"/>
        <v>#DIV/0!</v>
      </c>
    </row>
    <row r="86" spans="1:7" x14ac:dyDescent="0.2">
      <c r="A86" s="128">
        <v>11</v>
      </c>
      <c r="B86" s="141" t="s">
        <v>411</v>
      </c>
      <c r="C86" s="148">
        <v>78</v>
      </c>
      <c r="D86" s="133">
        <f>D87+D88</f>
        <v>0</v>
      </c>
      <c r="E86" s="133">
        <f>E87+E88</f>
        <v>0</v>
      </c>
      <c r="F86" s="133">
        <f t="shared" si="2"/>
        <v>0</v>
      </c>
      <c r="G86" s="149" t="e">
        <f t="shared" si="3"/>
        <v>#DIV/0!</v>
      </c>
    </row>
    <row r="87" spans="1:7" x14ac:dyDescent="0.2">
      <c r="A87" s="134">
        <v>11.1</v>
      </c>
      <c r="B87" s="135" t="s">
        <v>258</v>
      </c>
      <c r="C87" s="151">
        <v>79</v>
      </c>
      <c r="D87" s="139"/>
      <c r="E87" s="139"/>
      <c r="F87" s="156"/>
      <c r="G87" s="149" t="e">
        <f t="shared" si="3"/>
        <v>#DIV/0!</v>
      </c>
    </row>
    <row r="88" spans="1:7" x14ac:dyDescent="0.2">
      <c r="A88" s="134">
        <v>11.2</v>
      </c>
      <c r="B88" s="135" t="s">
        <v>412</v>
      </c>
      <c r="C88" s="151">
        <v>80</v>
      </c>
      <c r="D88" s="139"/>
      <c r="E88" s="139"/>
      <c r="F88" s="156"/>
      <c r="G88" s="149" t="e">
        <f t="shared" si="3"/>
        <v>#DIV/0!</v>
      </c>
    </row>
    <row r="89" spans="1:7" x14ac:dyDescent="0.2">
      <c r="A89" s="128">
        <v>12</v>
      </c>
      <c r="B89" s="141" t="s">
        <v>413</v>
      </c>
      <c r="C89" s="150">
        <v>81</v>
      </c>
      <c r="D89" s="133">
        <v>0</v>
      </c>
      <c r="E89" s="133">
        <v>0</v>
      </c>
      <c r="F89" s="133">
        <f>D89+E89</f>
        <v>0</v>
      </c>
      <c r="G89" s="149" t="e">
        <f t="shared" si="3"/>
        <v>#DIV/0!</v>
      </c>
    </row>
    <row r="90" spans="1:7" x14ac:dyDescent="0.2">
      <c r="A90" s="134">
        <v>12.1</v>
      </c>
      <c r="B90" s="135" t="s">
        <v>125</v>
      </c>
      <c r="C90" s="151">
        <v>82</v>
      </c>
      <c r="D90" s="139"/>
      <c r="E90" s="139"/>
      <c r="F90" s="156"/>
      <c r="G90" s="149" t="e">
        <f t="shared" si="3"/>
        <v>#DIV/0!</v>
      </c>
    </row>
    <row r="91" spans="1:7" x14ac:dyDescent="0.2">
      <c r="A91" s="134">
        <v>12.2</v>
      </c>
      <c r="B91" s="135" t="s">
        <v>414</v>
      </c>
      <c r="C91" s="151">
        <v>83</v>
      </c>
      <c r="D91" s="139"/>
      <c r="E91" s="139"/>
      <c r="F91" s="156"/>
      <c r="G91" s="149" t="e">
        <f t="shared" si="3"/>
        <v>#DIV/0!</v>
      </c>
    </row>
    <row r="92" spans="1:7" x14ac:dyDescent="0.2">
      <c r="A92" s="134">
        <v>12.3</v>
      </c>
      <c r="B92" s="135" t="s">
        <v>139</v>
      </c>
      <c r="C92" s="151">
        <v>84</v>
      </c>
      <c r="D92" s="139"/>
      <c r="E92" s="139"/>
      <c r="F92" s="156"/>
      <c r="G92" s="149" t="e">
        <f t="shared" si="3"/>
        <v>#DIV/0!</v>
      </c>
    </row>
    <row r="93" spans="1:7" x14ac:dyDescent="0.2">
      <c r="A93" s="134">
        <v>12.4</v>
      </c>
      <c r="B93" s="135" t="s">
        <v>260</v>
      </c>
      <c r="C93" s="152">
        <v>85</v>
      </c>
      <c r="D93" s="139"/>
      <c r="E93" s="139"/>
      <c r="F93" s="156"/>
      <c r="G93" s="149" t="e">
        <f t="shared" si="3"/>
        <v>#DIV/0!</v>
      </c>
    </row>
    <row r="94" spans="1:7" x14ac:dyDescent="0.2">
      <c r="A94" s="134">
        <v>12.5</v>
      </c>
      <c r="B94" s="135" t="s">
        <v>415</v>
      </c>
      <c r="C94" s="151">
        <v>86</v>
      </c>
      <c r="D94" s="139"/>
      <c r="E94" s="132"/>
      <c r="F94" s="137">
        <f t="shared" ref="F94" si="4">D94+E94</f>
        <v>0</v>
      </c>
      <c r="G94" s="149" t="e">
        <f t="shared" si="3"/>
        <v>#DIV/0!</v>
      </c>
    </row>
    <row r="95" spans="1:7" x14ac:dyDescent="0.2">
      <c r="A95" s="128">
        <v>13</v>
      </c>
      <c r="B95" s="141" t="s">
        <v>416</v>
      </c>
      <c r="C95" s="148">
        <v>87</v>
      </c>
      <c r="D95" s="133">
        <f>D89+D86+D75+D74+D73+D72+D62+D49+D36+D23+D10+D9</f>
        <v>0</v>
      </c>
      <c r="E95" s="133">
        <f>E89+E86+E75+E74+E73+E72+E62+E49+E36+E23+E10+E9</f>
        <v>0</v>
      </c>
      <c r="F95" s="133">
        <f>D95+E95</f>
        <v>0</v>
      </c>
      <c r="G95" s="149" t="e">
        <f t="shared" si="3"/>
        <v>#DIV/0!</v>
      </c>
    </row>
    <row r="98" spans="2:5" x14ac:dyDescent="0.2">
      <c r="B98" s="2" t="s">
        <v>285</v>
      </c>
      <c r="C98" s="3"/>
      <c r="D98" s="4"/>
      <c r="E98" s="4"/>
    </row>
    <row r="99" spans="2:5" x14ac:dyDescent="0.2">
      <c r="B99" s="5"/>
      <c r="C99" s="3"/>
      <c r="D99" s="4"/>
      <c r="E99" s="4"/>
    </row>
    <row r="100" spans="2:5" x14ac:dyDescent="0.2">
      <c r="B100" s="5" t="s">
        <v>286</v>
      </c>
      <c r="C100" s="3"/>
      <c r="D100" s="4"/>
      <c r="E100" s="4"/>
    </row>
    <row r="101" spans="2:5" x14ac:dyDescent="0.2">
      <c r="B101" s="5"/>
      <c r="C101" s="3"/>
      <c r="D101" s="4"/>
      <c r="E101" s="4"/>
    </row>
    <row r="102" spans="2:5" x14ac:dyDescent="0.2">
      <c r="B102" s="6" t="s">
        <v>287</v>
      </c>
      <c r="C102" s="516" t="s">
        <v>288</v>
      </c>
      <c r="D102" s="516"/>
      <c r="E102" s="7" t="s">
        <v>289</v>
      </c>
    </row>
    <row r="103" spans="2:5" x14ac:dyDescent="0.2">
      <c r="B103" s="5"/>
      <c r="C103" s="516"/>
      <c r="D103" s="516"/>
      <c r="E103" s="4"/>
    </row>
    <row r="104" spans="2:5" x14ac:dyDescent="0.2">
      <c r="B104" s="6" t="s">
        <v>290</v>
      </c>
      <c r="C104" s="516" t="s">
        <v>291</v>
      </c>
      <c r="D104" s="516"/>
      <c r="E104" s="7" t="s">
        <v>292</v>
      </c>
    </row>
    <row r="105" spans="2:5" x14ac:dyDescent="0.2">
      <c r="B105" s="5"/>
      <c r="C105" s="516"/>
      <c r="D105" s="516"/>
      <c r="E105" s="4"/>
    </row>
    <row r="106" spans="2:5" x14ac:dyDescent="0.2">
      <c r="B106" s="8" t="s">
        <v>293</v>
      </c>
      <c r="C106" s="516" t="s">
        <v>288</v>
      </c>
      <c r="D106" s="516"/>
      <c r="E106" s="7" t="s">
        <v>292</v>
      </c>
    </row>
  </sheetData>
  <sheetProtection password="CA9F" sheet="1" objects="1" scenarios="1"/>
  <mergeCells count="8">
    <mergeCell ref="C105:D105"/>
    <mergeCell ref="C106:D106"/>
    <mergeCell ref="D1:G2"/>
    <mergeCell ref="B3:E3"/>
    <mergeCell ref="F5:G5"/>
    <mergeCell ref="C102:D102"/>
    <mergeCell ref="C103:D103"/>
    <mergeCell ref="C104:D104"/>
  </mergeCells>
  <dataValidations count="1">
    <dataValidation type="whole" allowBlank="1" showInputMessage="1" showErrorMessage="1" sqref="F6:G6" xr:uid="{AABB73D9-ECA3-4BF8-A61A-3605DAF7D6C1}">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9"/>
  <sheetViews>
    <sheetView topLeftCell="A46" zoomScaleNormal="100" zoomScalePageLayoutView="60" workbookViewId="0">
      <selection activeCell="C81" sqref="C81"/>
    </sheetView>
  </sheetViews>
  <sheetFormatPr defaultRowHeight="12.75" x14ac:dyDescent="0.2"/>
  <cols>
    <col min="1" max="1" width="11.5703125" style="287"/>
    <col min="2" max="2" width="81" style="287"/>
    <col min="3" max="3" width="12.28515625" style="287"/>
    <col min="4" max="9" width="26.85546875" style="287" customWidth="1"/>
    <col min="10" max="1025" width="11.5703125" style="287"/>
    <col min="1026" max="16384" width="9.140625" style="287"/>
  </cols>
  <sheetData>
    <row r="1" spans="1:9" x14ac:dyDescent="0.2">
      <c r="A1" s="294" t="s">
        <v>0</v>
      </c>
      <c r="B1" s="294"/>
      <c r="C1" s="294"/>
      <c r="D1" s="294"/>
      <c r="E1" s="294"/>
      <c r="F1" s="294"/>
      <c r="G1" s="294"/>
      <c r="H1" s="294"/>
      <c r="I1" s="294"/>
    </row>
    <row r="2" spans="1:9" x14ac:dyDescent="0.2">
      <c r="A2" s="294"/>
      <c r="B2" s="295"/>
      <c r="C2" s="295"/>
      <c r="D2" s="294"/>
      <c r="E2" s="294"/>
      <c r="F2" s="294"/>
      <c r="G2" s="294"/>
      <c r="H2" s="294"/>
      <c r="I2" s="294"/>
    </row>
    <row r="3" spans="1:9" x14ac:dyDescent="0.2">
      <c r="A3" s="294"/>
      <c r="B3" s="295"/>
      <c r="C3" s="295"/>
      <c r="D3" s="294"/>
      <c r="E3" s="521" t="s">
        <v>417</v>
      </c>
      <c r="F3" s="521"/>
      <c r="G3" s="521"/>
      <c r="H3" s="521"/>
      <c r="I3" s="521"/>
    </row>
    <row r="4" spans="1:9" x14ac:dyDescent="0.2">
      <c r="A4" s="294"/>
      <c r="B4" s="295"/>
      <c r="C4" s="295"/>
      <c r="D4" s="294"/>
      <c r="E4" s="521"/>
      <c r="F4" s="521"/>
      <c r="G4" s="521"/>
      <c r="H4" s="521"/>
      <c r="I4" s="521"/>
    </row>
    <row r="5" spans="1:9" x14ac:dyDescent="0.2">
      <c r="A5" s="294"/>
      <c r="B5" s="522" t="s">
        <v>418</v>
      </c>
      <c r="C5" s="522"/>
      <c r="D5" s="522"/>
      <c r="E5" s="522"/>
      <c r="F5" s="522"/>
      <c r="G5" s="522"/>
      <c r="H5" s="522"/>
      <c r="I5" s="522"/>
    </row>
    <row r="6" spans="1:9" x14ac:dyDescent="0.2">
      <c r="A6" s="294"/>
      <c r="B6" s="295"/>
      <c r="C6" s="295"/>
      <c r="D6" s="294"/>
      <c r="E6" s="294"/>
      <c r="F6" s="294"/>
      <c r="G6" s="294"/>
      <c r="H6" s="294"/>
      <c r="I6" s="294"/>
    </row>
    <row r="7" spans="1:9" x14ac:dyDescent="0.2">
      <c r="A7" s="294" t="s">
        <v>277</v>
      </c>
      <c r="B7" s="294"/>
      <c r="C7" s="294"/>
      <c r="D7" s="294"/>
      <c r="E7" s="294"/>
      <c r="F7" s="294"/>
      <c r="G7" s="294"/>
      <c r="H7" s="517" t="s">
        <v>278</v>
      </c>
      <c r="I7" s="517"/>
    </row>
    <row r="8" spans="1:9" x14ac:dyDescent="0.2">
      <c r="A8" s="294"/>
      <c r="B8" s="294"/>
      <c r="C8" s="294"/>
      <c r="D8" s="294"/>
      <c r="E8" s="294"/>
      <c r="F8" s="294"/>
      <c r="G8" s="294"/>
    </row>
    <row r="9" spans="1:9" x14ac:dyDescent="0.2">
      <c r="A9" s="507" t="s">
        <v>26</v>
      </c>
      <c r="B9" s="295"/>
      <c r="C9" s="295"/>
      <c r="D9" s="294"/>
      <c r="E9" s="294"/>
      <c r="F9" s="294"/>
      <c r="G9" s="294"/>
      <c r="H9" s="294"/>
      <c r="I9" s="294"/>
    </row>
    <row r="10" spans="1:9" x14ac:dyDescent="0.2">
      <c r="A10" s="294"/>
      <c r="B10" s="294"/>
      <c r="C10" s="294"/>
      <c r="D10" s="294"/>
      <c r="E10" s="294"/>
      <c r="F10" s="294"/>
      <c r="G10" s="294"/>
      <c r="H10" s="294"/>
      <c r="I10" s="291" t="s">
        <v>279</v>
      </c>
    </row>
    <row r="11" spans="1:9" ht="25.5" x14ac:dyDescent="0.2">
      <c r="A11" s="495" t="s">
        <v>280</v>
      </c>
      <c r="B11" s="508" t="s">
        <v>33</v>
      </c>
      <c r="C11" s="508" t="s">
        <v>295</v>
      </c>
      <c r="D11" s="508" t="s">
        <v>27</v>
      </c>
      <c r="E11" s="508" t="s">
        <v>28</v>
      </c>
      <c r="F11" s="508" t="s">
        <v>29</v>
      </c>
      <c r="G11" s="508" t="s">
        <v>30</v>
      </c>
      <c r="H11" s="508" t="s">
        <v>31</v>
      </c>
      <c r="I11" s="508" t="s">
        <v>32</v>
      </c>
    </row>
    <row r="12" spans="1:9" x14ac:dyDescent="0.2">
      <c r="A12" s="495" t="s">
        <v>282</v>
      </c>
      <c r="B12" s="508" t="s">
        <v>283</v>
      </c>
      <c r="C12" s="508" t="s">
        <v>297</v>
      </c>
      <c r="D12" s="508">
        <v>1</v>
      </c>
      <c r="E12" s="508">
        <v>2</v>
      </c>
      <c r="F12" s="508">
        <v>3</v>
      </c>
      <c r="G12" s="508">
        <v>4</v>
      </c>
      <c r="H12" s="508">
        <v>5</v>
      </c>
      <c r="I12" s="508">
        <v>6</v>
      </c>
    </row>
    <row r="13" spans="1:9" x14ac:dyDescent="0.2">
      <c r="A13" s="511">
        <v>1</v>
      </c>
      <c r="B13" s="512" t="s">
        <v>33</v>
      </c>
      <c r="C13" s="504">
        <v>1</v>
      </c>
      <c r="D13" s="286"/>
      <c r="E13" s="286"/>
      <c r="F13" s="286"/>
      <c r="G13" s="286"/>
      <c r="H13" s="286"/>
      <c r="I13" s="286"/>
    </row>
    <row r="14" spans="1:9" x14ac:dyDescent="0.2">
      <c r="A14" s="513">
        <v>1.1000000000000001</v>
      </c>
      <c r="B14" s="157" t="s">
        <v>34</v>
      </c>
      <c r="C14" s="509">
        <v>2</v>
      </c>
      <c r="D14" s="132" t="s">
        <v>0</v>
      </c>
      <c r="E14" s="132" t="s">
        <v>0</v>
      </c>
      <c r="F14" s="132" t="s">
        <v>0</v>
      </c>
      <c r="G14" s="132" t="s">
        <v>0</v>
      </c>
      <c r="H14" s="132" t="s">
        <v>0</v>
      </c>
      <c r="I14" s="498">
        <f>SUM(D14:H14)</f>
        <v>0</v>
      </c>
    </row>
    <row r="15" spans="1:9" x14ac:dyDescent="0.2">
      <c r="A15" s="513">
        <v>1.2</v>
      </c>
      <c r="B15" s="157" t="s">
        <v>35</v>
      </c>
      <c r="C15" s="509">
        <v>3</v>
      </c>
      <c r="D15" s="132" t="s">
        <v>0</v>
      </c>
      <c r="E15" s="132" t="s">
        <v>0</v>
      </c>
      <c r="F15" s="132" t="s">
        <v>0</v>
      </c>
      <c r="G15" s="132" t="s">
        <v>0</v>
      </c>
      <c r="H15" s="132" t="s">
        <v>0</v>
      </c>
      <c r="I15" s="498">
        <f t="shared" ref="I15:I18" si="0">SUM(D15:H15)</f>
        <v>0</v>
      </c>
    </row>
    <row r="16" spans="1:9" x14ac:dyDescent="0.2">
      <c r="A16" s="513">
        <v>1.3</v>
      </c>
      <c r="B16" s="157" t="s">
        <v>36</v>
      </c>
      <c r="C16" s="509">
        <v>4</v>
      </c>
      <c r="D16" s="132"/>
      <c r="E16" s="132" t="s">
        <v>0</v>
      </c>
      <c r="F16" s="132" t="s">
        <v>0</v>
      </c>
      <c r="G16" s="132" t="s">
        <v>0</v>
      </c>
      <c r="H16" s="132" t="s">
        <v>0</v>
      </c>
      <c r="I16" s="498">
        <f t="shared" si="0"/>
        <v>0</v>
      </c>
    </row>
    <row r="17" spans="1:9" x14ac:dyDescent="0.2">
      <c r="A17" s="513">
        <v>1.4</v>
      </c>
      <c r="B17" s="157" t="s">
        <v>37</v>
      </c>
      <c r="C17" s="509">
        <v>5</v>
      </c>
      <c r="D17" s="132" t="s">
        <v>0</v>
      </c>
      <c r="E17" s="132"/>
      <c r="F17" s="132" t="s">
        <v>0</v>
      </c>
      <c r="G17" s="132" t="s">
        <v>0</v>
      </c>
      <c r="H17" s="132" t="s">
        <v>0</v>
      </c>
      <c r="I17" s="498">
        <f t="shared" si="0"/>
        <v>0</v>
      </c>
    </row>
    <row r="18" spans="1:9" x14ac:dyDescent="0.2">
      <c r="A18" s="513">
        <v>1.5</v>
      </c>
      <c r="B18" s="157" t="s">
        <v>38</v>
      </c>
      <c r="C18" s="509">
        <v>6</v>
      </c>
      <c r="D18" s="132" t="s">
        <v>0</v>
      </c>
      <c r="E18" s="132" t="s">
        <v>0</v>
      </c>
      <c r="F18" s="132" t="s">
        <v>0</v>
      </c>
      <c r="G18" s="132" t="s">
        <v>0</v>
      </c>
      <c r="H18" s="132" t="s">
        <v>0</v>
      </c>
      <c r="I18" s="498">
        <f t="shared" si="0"/>
        <v>0</v>
      </c>
    </row>
    <row r="19" spans="1:9" x14ac:dyDescent="0.2">
      <c r="A19" s="511">
        <v>2</v>
      </c>
      <c r="B19" s="512" t="s">
        <v>39</v>
      </c>
      <c r="C19" s="504">
        <v>7</v>
      </c>
      <c r="D19" s="286">
        <f>SUM(D14:D18)</f>
        <v>0</v>
      </c>
      <c r="E19" s="286">
        <f t="shared" ref="E19:H19" si="1">SUM(E14:E18)</f>
        <v>0</v>
      </c>
      <c r="F19" s="286">
        <f t="shared" si="1"/>
        <v>0</v>
      </c>
      <c r="G19" s="286">
        <f t="shared" si="1"/>
        <v>0</v>
      </c>
      <c r="H19" s="286">
        <f t="shared" si="1"/>
        <v>0</v>
      </c>
      <c r="I19" s="286">
        <f>SUM(D19:H19)</f>
        <v>0</v>
      </c>
    </row>
    <row r="20" spans="1:9" x14ac:dyDescent="0.2">
      <c r="A20" s="511">
        <v>3</v>
      </c>
      <c r="B20" s="512" t="s">
        <v>40</v>
      </c>
      <c r="C20" s="504">
        <v>8</v>
      </c>
      <c r="D20" s="286">
        <f>D19*0%</f>
        <v>0</v>
      </c>
      <c r="E20" s="286">
        <f>E19*5%</f>
        <v>0</v>
      </c>
      <c r="F20" s="286">
        <f>F19*25%</f>
        <v>0</v>
      </c>
      <c r="G20" s="286">
        <f>G19*50%</f>
        <v>0</v>
      </c>
      <c r="H20" s="286">
        <f>H19*100%</f>
        <v>0</v>
      </c>
      <c r="I20" s="286">
        <f>SUM(D20:H20)</f>
        <v>0</v>
      </c>
    </row>
    <row r="21" spans="1:9" x14ac:dyDescent="0.2">
      <c r="A21" s="511">
        <v>4</v>
      </c>
      <c r="B21" s="512" t="s">
        <v>41</v>
      </c>
      <c r="C21" s="504">
        <v>9</v>
      </c>
      <c r="D21" s="286">
        <f>D19-D20</f>
        <v>0</v>
      </c>
      <c r="E21" s="286">
        <f t="shared" ref="E21:H21" si="2">E19-E20</f>
        <v>0</v>
      </c>
      <c r="F21" s="286">
        <f t="shared" si="2"/>
        <v>0</v>
      </c>
      <c r="G21" s="286">
        <f t="shared" si="2"/>
        <v>0</v>
      </c>
      <c r="H21" s="286">
        <f t="shared" si="2"/>
        <v>0</v>
      </c>
      <c r="I21" s="286">
        <f>SUM(D21:H21)</f>
        <v>0</v>
      </c>
    </row>
    <row r="22" spans="1:9" x14ac:dyDescent="0.2">
      <c r="A22" s="294"/>
      <c r="B22" s="294"/>
      <c r="C22" s="294"/>
      <c r="D22" s="294"/>
      <c r="E22" s="294"/>
      <c r="F22" s="294"/>
      <c r="G22" s="294"/>
      <c r="H22" s="294"/>
      <c r="I22" s="294"/>
    </row>
    <row r="23" spans="1:9" x14ac:dyDescent="0.2">
      <c r="A23" s="294"/>
      <c r="B23" s="294"/>
      <c r="C23" s="294"/>
      <c r="D23" s="294"/>
      <c r="E23" s="294"/>
      <c r="F23" s="294"/>
      <c r="G23" s="294"/>
      <c r="H23" s="294"/>
      <c r="I23" s="294"/>
    </row>
    <row r="24" spans="1:9" x14ac:dyDescent="0.2">
      <c r="A24" s="507" t="s">
        <v>42</v>
      </c>
      <c r="B24" s="295"/>
      <c r="C24" s="295"/>
      <c r="D24" s="294"/>
      <c r="E24" s="294"/>
      <c r="F24" s="294"/>
      <c r="G24" s="294"/>
      <c r="H24" s="294"/>
      <c r="I24" s="294"/>
    </row>
    <row r="25" spans="1:9" x14ac:dyDescent="0.2">
      <c r="A25" s="294"/>
      <c r="B25" s="294"/>
      <c r="C25" s="294"/>
      <c r="D25" s="294"/>
      <c r="E25" s="294"/>
      <c r="F25" s="294"/>
      <c r="G25" s="294"/>
      <c r="H25" s="294"/>
      <c r="I25" s="294"/>
    </row>
    <row r="26" spans="1:9" ht="25.5" x14ac:dyDescent="0.2">
      <c r="A26" s="502" t="s">
        <v>280</v>
      </c>
      <c r="B26" s="508" t="s">
        <v>43</v>
      </c>
      <c r="C26" s="508" t="s">
        <v>295</v>
      </c>
      <c r="D26" s="508" t="s">
        <v>27</v>
      </c>
      <c r="E26" s="508" t="s">
        <v>28</v>
      </c>
      <c r="F26" s="508" t="s">
        <v>29</v>
      </c>
      <c r="G26" s="508" t="s">
        <v>30</v>
      </c>
      <c r="H26" s="508" t="s">
        <v>31</v>
      </c>
      <c r="I26" s="508" t="s">
        <v>32</v>
      </c>
    </row>
    <row r="27" spans="1:9" x14ac:dyDescent="0.2">
      <c r="A27" s="502" t="s">
        <v>282</v>
      </c>
      <c r="B27" s="508" t="s">
        <v>283</v>
      </c>
      <c r="C27" s="508" t="s">
        <v>297</v>
      </c>
      <c r="D27" s="508">
        <v>1</v>
      </c>
      <c r="E27" s="508">
        <v>2</v>
      </c>
      <c r="F27" s="508">
        <v>3</v>
      </c>
      <c r="G27" s="508">
        <v>4</v>
      </c>
      <c r="H27" s="508">
        <v>5</v>
      </c>
      <c r="I27" s="508">
        <v>6</v>
      </c>
    </row>
    <row r="28" spans="1:9" x14ac:dyDescent="0.2">
      <c r="A28" s="502">
        <v>1</v>
      </c>
      <c r="B28" s="503" t="s">
        <v>43</v>
      </c>
      <c r="C28" s="504">
        <v>1</v>
      </c>
      <c r="D28" s="505"/>
      <c r="E28" s="505"/>
      <c r="F28" s="505"/>
      <c r="G28" s="505"/>
      <c r="H28" s="505"/>
      <c r="I28" s="505"/>
    </row>
    <row r="29" spans="1:9" x14ac:dyDescent="0.2">
      <c r="A29" s="500">
        <v>1.1000000000000001</v>
      </c>
      <c r="B29" s="135" t="s">
        <v>44</v>
      </c>
      <c r="C29" s="509">
        <v>2</v>
      </c>
      <c r="D29" s="132" t="s">
        <v>0</v>
      </c>
      <c r="E29" s="132" t="s">
        <v>0</v>
      </c>
      <c r="F29" s="132" t="s">
        <v>0</v>
      </c>
      <c r="G29" s="132" t="s">
        <v>0</v>
      </c>
      <c r="H29" s="132" t="s">
        <v>0</v>
      </c>
      <c r="I29" s="498">
        <f>SUM(D29:H29)</f>
        <v>0</v>
      </c>
    </row>
    <row r="30" spans="1:9" x14ac:dyDescent="0.2">
      <c r="A30" s="500">
        <v>1.2</v>
      </c>
      <c r="B30" s="135" t="s">
        <v>45</v>
      </c>
      <c r="C30" s="509">
        <v>3</v>
      </c>
      <c r="D30" s="132" t="s">
        <v>0</v>
      </c>
      <c r="E30" s="132" t="s">
        <v>0</v>
      </c>
      <c r="F30" s="132" t="s">
        <v>0</v>
      </c>
      <c r="G30" s="132" t="s">
        <v>0</v>
      </c>
      <c r="H30" s="132" t="s">
        <v>0</v>
      </c>
      <c r="I30" s="498">
        <f t="shared" ref="I30:I38" si="3">SUM(D30:H30)</f>
        <v>0</v>
      </c>
    </row>
    <row r="31" spans="1:9" x14ac:dyDescent="0.2">
      <c r="A31" s="500">
        <v>1.3</v>
      </c>
      <c r="B31" s="135" t="s">
        <v>46</v>
      </c>
      <c r="C31" s="509">
        <v>4</v>
      </c>
      <c r="D31" s="132"/>
      <c r="E31" s="132" t="s">
        <v>0</v>
      </c>
      <c r="F31" s="132" t="s">
        <v>0</v>
      </c>
      <c r="G31" s="132" t="s">
        <v>0</v>
      </c>
      <c r="H31" s="132" t="s">
        <v>0</v>
      </c>
      <c r="I31" s="498">
        <f t="shared" si="3"/>
        <v>0</v>
      </c>
    </row>
    <row r="32" spans="1:9" x14ac:dyDescent="0.2">
      <c r="A32" s="500">
        <v>1.4</v>
      </c>
      <c r="B32" s="135" t="s">
        <v>47</v>
      </c>
      <c r="C32" s="509">
        <v>5</v>
      </c>
      <c r="D32" s="132" t="s">
        <v>0</v>
      </c>
      <c r="E32" s="132" t="s">
        <v>0</v>
      </c>
      <c r="F32" s="132" t="s">
        <v>0</v>
      </c>
      <c r="G32" s="132" t="s">
        <v>0</v>
      </c>
      <c r="H32" s="132" t="s">
        <v>0</v>
      </c>
      <c r="I32" s="498">
        <f t="shared" si="3"/>
        <v>0</v>
      </c>
    </row>
    <row r="33" spans="1:9" x14ac:dyDescent="0.2">
      <c r="A33" s="500">
        <v>1.5</v>
      </c>
      <c r="B33" s="135" t="s">
        <v>48</v>
      </c>
      <c r="C33" s="509">
        <v>6</v>
      </c>
      <c r="D33" s="132" t="s">
        <v>0</v>
      </c>
      <c r="E33" s="132"/>
      <c r="F33" s="132" t="s">
        <v>0</v>
      </c>
      <c r="G33" s="132" t="s">
        <v>0</v>
      </c>
      <c r="H33" s="132" t="s">
        <v>0</v>
      </c>
      <c r="I33" s="498">
        <f t="shared" si="3"/>
        <v>0</v>
      </c>
    </row>
    <row r="34" spans="1:9" x14ac:dyDescent="0.2">
      <c r="A34" s="500">
        <v>1.6</v>
      </c>
      <c r="B34" s="135" t="s">
        <v>49</v>
      </c>
      <c r="C34" s="509">
        <v>7</v>
      </c>
      <c r="D34" s="132" t="s">
        <v>0</v>
      </c>
      <c r="E34" s="132" t="s">
        <v>0</v>
      </c>
      <c r="F34" s="132" t="s">
        <v>0</v>
      </c>
      <c r="G34" s="132" t="s">
        <v>0</v>
      </c>
      <c r="H34" s="132" t="s">
        <v>0</v>
      </c>
      <c r="I34" s="498">
        <f t="shared" si="3"/>
        <v>0</v>
      </c>
    </row>
    <row r="35" spans="1:9" x14ac:dyDescent="0.2">
      <c r="A35" s="500">
        <v>1.7</v>
      </c>
      <c r="B35" s="135" t="s">
        <v>50</v>
      </c>
      <c r="C35" s="509">
        <v>8</v>
      </c>
      <c r="D35" s="132" t="s">
        <v>0</v>
      </c>
      <c r="E35" s="132" t="s">
        <v>0</v>
      </c>
      <c r="F35" s="132" t="s">
        <v>0</v>
      </c>
      <c r="G35" s="132" t="s">
        <v>0</v>
      </c>
      <c r="H35" s="132" t="s">
        <v>0</v>
      </c>
      <c r="I35" s="498">
        <f t="shared" si="3"/>
        <v>0</v>
      </c>
    </row>
    <row r="36" spans="1:9" x14ac:dyDescent="0.2">
      <c r="A36" s="500">
        <v>1.8</v>
      </c>
      <c r="B36" s="135" t="s">
        <v>51</v>
      </c>
      <c r="C36" s="509">
        <v>9</v>
      </c>
      <c r="D36" s="132" t="s">
        <v>0</v>
      </c>
      <c r="E36" s="132" t="s">
        <v>0</v>
      </c>
      <c r="F36" s="132" t="s">
        <v>0</v>
      </c>
      <c r="G36" s="132" t="s">
        <v>0</v>
      </c>
      <c r="H36" s="132" t="s">
        <v>0</v>
      </c>
      <c r="I36" s="498">
        <f t="shared" si="3"/>
        <v>0</v>
      </c>
    </row>
    <row r="37" spans="1:9" x14ac:dyDescent="0.2">
      <c r="A37" s="500">
        <v>1.9</v>
      </c>
      <c r="B37" s="135" t="s">
        <v>52</v>
      </c>
      <c r="C37" s="509">
        <v>10</v>
      </c>
      <c r="D37" s="132" t="s">
        <v>0</v>
      </c>
      <c r="E37" s="132" t="s">
        <v>0</v>
      </c>
      <c r="F37" s="132" t="s">
        <v>0</v>
      </c>
      <c r="G37" s="132" t="s">
        <v>0</v>
      </c>
      <c r="H37" s="132" t="s">
        <v>0</v>
      </c>
      <c r="I37" s="498">
        <f t="shared" si="3"/>
        <v>0</v>
      </c>
    </row>
    <row r="38" spans="1:9" x14ac:dyDescent="0.2">
      <c r="A38" s="510">
        <v>1.1000000000000001</v>
      </c>
      <c r="B38" s="135" t="s">
        <v>53</v>
      </c>
      <c r="C38" s="509">
        <v>11</v>
      </c>
      <c r="D38" s="132" t="s">
        <v>0</v>
      </c>
      <c r="E38" s="132" t="s">
        <v>0</v>
      </c>
      <c r="F38" s="132" t="s">
        <v>0</v>
      </c>
      <c r="G38" s="132" t="s">
        <v>0</v>
      </c>
      <c r="H38" s="132" t="s">
        <v>0</v>
      </c>
      <c r="I38" s="498">
        <f t="shared" si="3"/>
        <v>0</v>
      </c>
    </row>
    <row r="39" spans="1:9" x14ac:dyDescent="0.2">
      <c r="A39" s="502">
        <v>2</v>
      </c>
      <c r="B39" s="503" t="s">
        <v>54</v>
      </c>
      <c r="C39" s="504">
        <v>12</v>
      </c>
      <c r="D39" s="505">
        <f>SUM(D29:D38)</f>
        <v>0</v>
      </c>
      <c r="E39" s="505">
        <f t="shared" ref="E39:H39" si="4">SUM(E29:E38)</f>
        <v>0</v>
      </c>
      <c r="F39" s="505">
        <f t="shared" si="4"/>
        <v>0</v>
      </c>
      <c r="G39" s="505">
        <f t="shared" si="4"/>
        <v>0</v>
      </c>
      <c r="H39" s="505">
        <f t="shared" si="4"/>
        <v>0</v>
      </c>
      <c r="I39" s="505">
        <f>SUM(D39:H39)</f>
        <v>0</v>
      </c>
    </row>
    <row r="40" spans="1:9" x14ac:dyDescent="0.2">
      <c r="A40" s="502">
        <v>3</v>
      </c>
      <c r="B40" s="503" t="s">
        <v>55</v>
      </c>
      <c r="C40" s="504">
        <v>13</v>
      </c>
      <c r="D40" s="286">
        <f>D39*0%</f>
        <v>0</v>
      </c>
      <c r="E40" s="286">
        <f>E39*5%</f>
        <v>0</v>
      </c>
      <c r="F40" s="286">
        <f>F39*25%</f>
        <v>0</v>
      </c>
      <c r="G40" s="286">
        <f>G39*50%</f>
        <v>0</v>
      </c>
      <c r="H40" s="286">
        <f>H39*100%</f>
        <v>0</v>
      </c>
      <c r="I40" s="505">
        <f>SUM(D40:H40)</f>
        <v>0</v>
      </c>
    </row>
    <row r="41" spans="1:9" x14ac:dyDescent="0.2">
      <c r="A41" s="502">
        <v>4</v>
      </c>
      <c r="B41" s="503" t="s">
        <v>56</v>
      </c>
      <c r="C41" s="506">
        <v>14</v>
      </c>
      <c r="D41" s="505">
        <f>D39-D40</f>
        <v>0</v>
      </c>
      <c r="E41" s="505">
        <f t="shared" ref="E41:H41" si="5">E39-E40</f>
        <v>0</v>
      </c>
      <c r="F41" s="505">
        <f t="shared" si="5"/>
        <v>0</v>
      </c>
      <c r="G41" s="505">
        <f t="shared" si="5"/>
        <v>0</v>
      </c>
      <c r="H41" s="505">
        <f t="shared" si="5"/>
        <v>0</v>
      </c>
      <c r="I41" s="505">
        <f>SUM(D41:H41)</f>
        <v>0</v>
      </c>
    </row>
    <row r="42" spans="1:9" x14ac:dyDescent="0.2">
      <c r="A42" s="294"/>
      <c r="B42" s="294"/>
      <c r="C42" s="294"/>
      <c r="D42" s="294"/>
      <c r="E42" s="294"/>
      <c r="F42" s="294"/>
      <c r="G42" s="294"/>
      <c r="H42" s="294"/>
      <c r="I42" s="294"/>
    </row>
    <row r="43" spans="1:9" x14ac:dyDescent="0.2">
      <c r="A43" s="294"/>
      <c r="B43" s="294"/>
      <c r="C43" s="294"/>
      <c r="D43" s="294"/>
      <c r="E43" s="294"/>
      <c r="F43" s="294"/>
      <c r="G43" s="294"/>
      <c r="H43" s="294"/>
      <c r="I43" s="294"/>
    </row>
    <row r="44" spans="1:9" x14ac:dyDescent="0.2">
      <c r="A44" s="507" t="s">
        <v>57</v>
      </c>
      <c r="B44" s="295"/>
      <c r="C44" s="295"/>
      <c r="D44" s="294"/>
      <c r="E44" s="294"/>
      <c r="F44" s="294"/>
      <c r="G44" s="294"/>
      <c r="H44" s="294"/>
      <c r="I44" s="294"/>
    </row>
    <row r="45" spans="1:9" x14ac:dyDescent="0.2">
      <c r="A45" s="294"/>
      <c r="B45" s="294"/>
      <c r="C45" s="294"/>
      <c r="D45" s="294"/>
      <c r="E45" s="294"/>
      <c r="F45" s="294"/>
      <c r="G45" s="294"/>
      <c r="H45" s="294"/>
      <c r="I45" s="294"/>
    </row>
    <row r="46" spans="1:9" ht="25.5" x14ac:dyDescent="0.2">
      <c r="A46" s="495" t="s">
        <v>280</v>
      </c>
      <c r="B46" s="508" t="s">
        <v>1</v>
      </c>
      <c r="C46" s="508" t="s">
        <v>295</v>
      </c>
      <c r="D46" s="508" t="s">
        <v>27</v>
      </c>
      <c r="E46" s="508" t="s">
        <v>28</v>
      </c>
      <c r="F46" s="508" t="s">
        <v>29</v>
      </c>
      <c r="G46" s="508" t="s">
        <v>30</v>
      </c>
      <c r="H46" s="508" t="s">
        <v>31</v>
      </c>
      <c r="I46" s="508" t="s">
        <v>32</v>
      </c>
    </row>
    <row r="47" spans="1:9" x14ac:dyDescent="0.2">
      <c r="A47" s="495" t="s">
        <v>282</v>
      </c>
      <c r="B47" s="508" t="s">
        <v>283</v>
      </c>
      <c r="C47" s="508" t="s">
        <v>297</v>
      </c>
      <c r="D47" s="508">
        <v>1</v>
      </c>
      <c r="E47" s="508">
        <v>2</v>
      </c>
      <c r="F47" s="508">
        <v>3</v>
      </c>
      <c r="G47" s="508">
        <v>4</v>
      </c>
      <c r="H47" s="508">
        <v>5</v>
      </c>
      <c r="I47" s="508">
        <v>6</v>
      </c>
    </row>
    <row r="48" spans="1:9" x14ac:dyDescent="0.2">
      <c r="A48" s="495" t="s">
        <v>419</v>
      </c>
      <c r="B48" s="496" t="s">
        <v>58</v>
      </c>
      <c r="C48" s="497">
        <v>1</v>
      </c>
      <c r="D48" s="286"/>
      <c r="E48" s="286"/>
      <c r="F48" s="286"/>
      <c r="G48" s="286"/>
      <c r="H48" s="286"/>
      <c r="I48" s="286"/>
    </row>
    <row r="49" spans="1:9" x14ac:dyDescent="0.2">
      <c r="A49" s="500">
        <v>1</v>
      </c>
      <c r="B49" s="501" t="s">
        <v>59</v>
      </c>
      <c r="C49" s="499">
        <v>2</v>
      </c>
      <c r="D49" s="132"/>
      <c r="E49" s="132" t="s">
        <v>0</v>
      </c>
      <c r="F49" s="132" t="s">
        <v>0</v>
      </c>
      <c r="G49" s="132" t="s">
        <v>0</v>
      </c>
      <c r="H49" s="132" t="s">
        <v>0</v>
      </c>
      <c r="I49" s="498">
        <f>SUM(D49:H49)</f>
        <v>0</v>
      </c>
    </row>
    <row r="50" spans="1:9" x14ac:dyDescent="0.2">
      <c r="A50" s="500">
        <v>2</v>
      </c>
      <c r="B50" s="501" t="s">
        <v>60</v>
      </c>
      <c r="C50" s="499">
        <v>3</v>
      </c>
      <c r="D50" s="132"/>
      <c r="E50" s="132"/>
      <c r="F50" s="132"/>
      <c r="G50" s="132"/>
      <c r="H50" s="132"/>
      <c r="I50" s="498">
        <f>SUM(D50:H50)</f>
        <v>0</v>
      </c>
    </row>
    <row r="51" spans="1:9" x14ac:dyDescent="0.2">
      <c r="A51" s="500">
        <v>3</v>
      </c>
      <c r="B51" s="501" t="s">
        <v>61</v>
      </c>
      <c r="C51" s="499">
        <v>4</v>
      </c>
      <c r="D51" s="132" t="s">
        <v>0</v>
      </c>
      <c r="E51" s="132" t="s">
        <v>0</v>
      </c>
      <c r="F51" s="132" t="s">
        <v>0</v>
      </c>
      <c r="G51" s="132" t="s">
        <v>0</v>
      </c>
      <c r="H51" s="132" t="s">
        <v>0</v>
      </c>
      <c r="I51" s="498">
        <f t="shared" ref="I51" si="6">SUM(D51:H51)</f>
        <v>0</v>
      </c>
    </row>
    <row r="52" spans="1:9" x14ac:dyDescent="0.2">
      <c r="A52" s="495">
        <v>4</v>
      </c>
      <c r="B52" s="496" t="s">
        <v>62</v>
      </c>
      <c r="C52" s="497">
        <v>5</v>
      </c>
      <c r="D52" s="286">
        <f>SUM(D49:D51)</f>
        <v>0</v>
      </c>
      <c r="E52" s="286">
        <f>SUM(E49:E51)</f>
        <v>0</v>
      </c>
      <c r="F52" s="286">
        <f>SUM(F49:F51)</f>
        <v>0</v>
      </c>
      <c r="G52" s="286">
        <f>SUM(G49:G51)</f>
        <v>0</v>
      </c>
      <c r="H52" s="286">
        <f>SUM(H49:H51)</f>
        <v>0</v>
      </c>
      <c r="I52" s="286">
        <f>SUM(D52:H52)</f>
        <v>0</v>
      </c>
    </row>
    <row r="53" spans="1:9" x14ac:dyDescent="0.2">
      <c r="A53" s="495">
        <v>5</v>
      </c>
      <c r="B53" s="496" t="s">
        <v>63</v>
      </c>
      <c r="C53" s="497">
        <v>6</v>
      </c>
      <c r="D53" s="286">
        <f>D52*0%</f>
        <v>0</v>
      </c>
      <c r="E53" s="286">
        <f>E52*5%</f>
        <v>0</v>
      </c>
      <c r="F53" s="286">
        <f>F52*25%</f>
        <v>0</v>
      </c>
      <c r="G53" s="286">
        <f>G52*50%</f>
        <v>0</v>
      </c>
      <c r="H53" s="286">
        <f>H52*100%</f>
        <v>0</v>
      </c>
      <c r="I53" s="286">
        <f>SUM(D53:H53)</f>
        <v>0</v>
      </c>
    </row>
    <row r="54" spans="1:9" x14ac:dyDescent="0.2">
      <c r="A54" s="495">
        <v>6</v>
      </c>
      <c r="B54" s="496" t="s">
        <v>64</v>
      </c>
      <c r="C54" s="497">
        <v>7</v>
      </c>
      <c r="D54" s="286">
        <f>D52-D53</f>
        <v>0</v>
      </c>
      <c r="E54" s="286">
        <f t="shared" ref="E54:H54" si="7">E52-E53</f>
        <v>0</v>
      </c>
      <c r="F54" s="286">
        <f t="shared" si="7"/>
        <v>0</v>
      </c>
      <c r="G54" s="286">
        <f t="shared" si="7"/>
        <v>0</v>
      </c>
      <c r="H54" s="286">
        <f t="shared" si="7"/>
        <v>0</v>
      </c>
      <c r="I54" s="286">
        <f>SUM(D54:H54)</f>
        <v>0</v>
      </c>
    </row>
    <row r="55" spans="1:9" x14ac:dyDescent="0.2">
      <c r="A55" s="495" t="s">
        <v>420</v>
      </c>
      <c r="B55" s="496" t="s">
        <v>65</v>
      </c>
      <c r="C55" s="497">
        <v>8</v>
      </c>
      <c r="D55" s="286"/>
      <c r="E55" s="286"/>
      <c r="F55" s="286"/>
      <c r="G55" s="286"/>
      <c r="H55" s="286"/>
      <c r="I55" s="286"/>
    </row>
    <row r="56" spans="1:9" x14ac:dyDescent="0.2">
      <c r="A56" s="500">
        <v>1</v>
      </c>
      <c r="B56" s="135" t="s">
        <v>66</v>
      </c>
      <c r="C56" s="499">
        <v>9</v>
      </c>
      <c r="D56" s="132"/>
      <c r="E56" s="132" t="s">
        <v>0</v>
      </c>
      <c r="F56" s="132" t="s">
        <v>0</v>
      </c>
      <c r="G56" s="132" t="s">
        <v>0</v>
      </c>
      <c r="H56" s="132" t="s">
        <v>0</v>
      </c>
      <c r="I56" s="498">
        <f>SUM(D56:H56)</f>
        <v>0</v>
      </c>
    </row>
    <row r="57" spans="1:9" x14ac:dyDescent="0.2">
      <c r="A57" s="500">
        <v>2</v>
      </c>
      <c r="B57" s="135" t="s">
        <v>67</v>
      </c>
      <c r="C57" s="499">
        <v>10</v>
      </c>
      <c r="D57" s="132"/>
      <c r="E57" s="132" t="s">
        <v>0</v>
      </c>
      <c r="F57" s="132" t="s">
        <v>0</v>
      </c>
      <c r="G57" s="132" t="s">
        <v>0</v>
      </c>
      <c r="H57" s="132" t="s">
        <v>0</v>
      </c>
      <c r="I57" s="498">
        <f t="shared" ref="I57:I65" si="8">SUM(D57:H57)</f>
        <v>0</v>
      </c>
    </row>
    <row r="58" spans="1:9" x14ac:dyDescent="0.2">
      <c r="A58" s="500">
        <v>3</v>
      </c>
      <c r="B58" s="135" t="s">
        <v>68</v>
      </c>
      <c r="C58" s="499">
        <v>11</v>
      </c>
      <c r="D58" s="132" t="s">
        <v>0</v>
      </c>
      <c r="E58" s="132" t="s">
        <v>0</v>
      </c>
      <c r="F58" s="132" t="s">
        <v>0</v>
      </c>
      <c r="G58" s="132" t="s">
        <v>0</v>
      </c>
      <c r="H58" s="132" t="s">
        <v>0</v>
      </c>
      <c r="I58" s="498">
        <f t="shared" si="8"/>
        <v>0</v>
      </c>
    </row>
    <row r="59" spans="1:9" x14ac:dyDescent="0.2">
      <c r="A59" s="500">
        <v>4</v>
      </c>
      <c r="B59" s="135" t="s">
        <v>69</v>
      </c>
      <c r="C59" s="499">
        <v>12</v>
      </c>
      <c r="D59" s="132" t="s">
        <v>0</v>
      </c>
      <c r="E59" s="132"/>
      <c r="F59" s="132" t="s">
        <v>0</v>
      </c>
      <c r="G59" s="132" t="s">
        <v>0</v>
      </c>
      <c r="H59" s="132" t="s">
        <v>0</v>
      </c>
      <c r="I59" s="498">
        <f t="shared" si="8"/>
        <v>0</v>
      </c>
    </row>
    <row r="60" spans="1:9" x14ac:dyDescent="0.2">
      <c r="A60" s="500">
        <v>5</v>
      </c>
      <c r="B60" s="135" t="s">
        <v>70</v>
      </c>
      <c r="C60" s="499">
        <v>13</v>
      </c>
      <c r="D60" s="132" t="s">
        <v>0</v>
      </c>
      <c r="E60" s="132" t="s">
        <v>0</v>
      </c>
      <c r="F60" s="132" t="s">
        <v>0</v>
      </c>
      <c r="G60" s="132" t="s">
        <v>0</v>
      </c>
      <c r="H60" s="132" t="s">
        <v>0</v>
      </c>
      <c r="I60" s="498">
        <f t="shared" si="8"/>
        <v>0</v>
      </c>
    </row>
    <row r="61" spans="1:9" x14ac:dyDescent="0.2">
      <c r="A61" s="500">
        <v>6</v>
      </c>
      <c r="B61" s="135" t="s">
        <v>71</v>
      </c>
      <c r="C61" s="499">
        <v>14</v>
      </c>
      <c r="D61" s="132" t="s">
        <v>0</v>
      </c>
      <c r="E61" s="132" t="s">
        <v>0</v>
      </c>
      <c r="F61" s="132" t="s">
        <v>0</v>
      </c>
      <c r="G61" s="132" t="s">
        <v>0</v>
      </c>
      <c r="H61" s="132" t="s">
        <v>0</v>
      </c>
      <c r="I61" s="498">
        <f t="shared" si="8"/>
        <v>0</v>
      </c>
    </row>
    <row r="62" spans="1:9" x14ac:dyDescent="0.2">
      <c r="A62" s="500">
        <v>7</v>
      </c>
      <c r="B62" s="135" t="s">
        <v>72</v>
      </c>
      <c r="C62" s="499">
        <v>15</v>
      </c>
      <c r="D62" s="132" t="s">
        <v>0</v>
      </c>
      <c r="E62" s="132" t="s">
        <v>0</v>
      </c>
      <c r="F62" s="132" t="s">
        <v>0</v>
      </c>
      <c r="G62" s="132" t="s">
        <v>0</v>
      </c>
      <c r="H62" s="132" t="s">
        <v>0</v>
      </c>
      <c r="I62" s="498">
        <f t="shared" si="8"/>
        <v>0</v>
      </c>
    </row>
    <row r="63" spans="1:9" x14ac:dyDescent="0.2">
      <c r="A63" s="500">
        <v>8</v>
      </c>
      <c r="B63" s="135" t="s">
        <v>73</v>
      </c>
      <c r="C63" s="499">
        <v>16</v>
      </c>
      <c r="D63" s="132" t="s">
        <v>0</v>
      </c>
      <c r="E63" s="132" t="s">
        <v>0</v>
      </c>
      <c r="F63" s="132" t="s">
        <v>0</v>
      </c>
      <c r="G63" s="132" t="s">
        <v>0</v>
      </c>
      <c r="H63" s="132" t="s">
        <v>0</v>
      </c>
      <c r="I63" s="498">
        <f t="shared" si="8"/>
        <v>0</v>
      </c>
    </row>
    <row r="64" spans="1:9" x14ac:dyDescent="0.2">
      <c r="A64" s="500">
        <v>9</v>
      </c>
      <c r="B64" s="135" t="s">
        <v>74</v>
      </c>
      <c r="C64" s="499">
        <v>17</v>
      </c>
      <c r="D64" s="132" t="s">
        <v>0</v>
      </c>
      <c r="E64" s="132" t="s">
        <v>0</v>
      </c>
      <c r="F64" s="132" t="s">
        <v>0</v>
      </c>
      <c r="G64" s="132" t="s">
        <v>0</v>
      </c>
      <c r="H64" s="132" t="s">
        <v>0</v>
      </c>
      <c r="I64" s="498">
        <f t="shared" si="8"/>
        <v>0</v>
      </c>
    </row>
    <row r="65" spans="1:9" x14ac:dyDescent="0.2">
      <c r="A65" s="500">
        <v>10</v>
      </c>
      <c r="B65" s="135" t="s">
        <v>75</v>
      </c>
      <c r="C65" s="499">
        <v>18</v>
      </c>
      <c r="D65" s="132" t="s">
        <v>0</v>
      </c>
      <c r="E65" s="132" t="s">
        <v>0</v>
      </c>
      <c r="F65" s="132" t="s">
        <v>0</v>
      </c>
      <c r="G65" s="132" t="s">
        <v>0</v>
      </c>
      <c r="H65" s="132" t="s">
        <v>0</v>
      </c>
      <c r="I65" s="498">
        <f t="shared" si="8"/>
        <v>0</v>
      </c>
    </row>
    <row r="66" spans="1:9" x14ac:dyDescent="0.2">
      <c r="A66" s="495">
        <v>3</v>
      </c>
      <c r="B66" s="496" t="s">
        <v>76</v>
      </c>
      <c r="C66" s="497">
        <v>19</v>
      </c>
      <c r="D66" s="286">
        <f>SUM(D56:D65)</f>
        <v>0</v>
      </c>
      <c r="E66" s="286">
        <f t="shared" ref="E66:H66" si="9">SUM(E56:E65)</f>
        <v>0</v>
      </c>
      <c r="F66" s="286">
        <f t="shared" si="9"/>
        <v>0</v>
      </c>
      <c r="G66" s="286">
        <f t="shared" si="9"/>
        <v>0</v>
      </c>
      <c r="H66" s="286">
        <f t="shared" si="9"/>
        <v>0</v>
      </c>
      <c r="I66" s="286">
        <f>SUM(D66:H66)</f>
        <v>0</v>
      </c>
    </row>
    <row r="67" spans="1:9" x14ac:dyDescent="0.2">
      <c r="A67" s="495">
        <v>4</v>
      </c>
      <c r="B67" s="496" t="s">
        <v>77</v>
      </c>
      <c r="C67" s="497">
        <v>20</v>
      </c>
      <c r="D67" s="286">
        <f>D66*0%</f>
        <v>0</v>
      </c>
      <c r="E67" s="286">
        <f>E66*5%</f>
        <v>0</v>
      </c>
      <c r="F67" s="286">
        <f>F66*25%</f>
        <v>0</v>
      </c>
      <c r="G67" s="286">
        <f>G66*50%</f>
        <v>0</v>
      </c>
      <c r="H67" s="286">
        <f>H66*100%</f>
        <v>0</v>
      </c>
      <c r="I67" s="286">
        <f>SUM(D67:H67)</f>
        <v>0</v>
      </c>
    </row>
    <row r="68" spans="1:9" x14ac:dyDescent="0.2">
      <c r="A68" s="495">
        <v>5</v>
      </c>
      <c r="B68" s="496" t="s">
        <v>78</v>
      </c>
      <c r="C68" s="497">
        <v>21</v>
      </c>
      <c r="D68" s="286">
        <f>D66-D67</f>
        <v>0</v>
      </c>
      <c r="E68" s="286">
        <f t="shared" ref="E68:H68" si="10">E66-E67</f>
        <v>0</v>
      </c>
      <c r="F68" s="286">
        <f t="shared" si="10"/>
        <v>0</v>
      </c>
      <c r="G68" s="286">
        <f t="shared" si="10"/>
        <v>0</v>
      </c>
      <c r="H68" s="286">
        <f t="shared" si="10"/>
        <v>0</v>
      </c>
      <c r="I68" s="286">
        <f>SUM(D68:H68)</f>
        <v>0</v>
      </c>
    </row>
    <row r="71" spans="1:9" x14ac:dyDescent="0.2">
      <c r="B71" s="2" t="s">
        <v>285</v>
      </c>
      <c r="C71" s="444"/>
      <c r="D71" s="4"/>
      <c r="E71" s="4"/>
    </row>
    <row r="72" spans="1:9" x14ac:dyDescent="0.2">
      <c r="B72" s="5"/>
      <c r="C72" s="444"/>
      <c r="D72" s="4"/>
      <c r="E72" s="4"/>
    </row>
    <row r="73" spans="1:9" x14ac:dyDescent="0.2">
      <c r="B73" s="5" t="s">
        <v>286</v>
      </c>
      <c r="C73" s="444"/>
      <c r="D73" s="4"/>
      <c r="E73" s="4"/>
    </row>
    <row r="74" spans="1:9" x14ac:dyDescent="0.2">
      <c r="B74" s="5"/>
      <c r="C74" s="444"/>
      <c r="D74" s="4"/>
      <c r="E74" s="4"/>
    </row>
    <row r="75" spans="1:9" x14ac:dyDescent="0.2">
      <c r="B75" s="6" t="s">
        <v>287</v>
      </c>
      <c r="C75" s="520" t="s">
        <v>288</v>
      </c>
      <c r="D75" s="520"/>
      <c r="E75" s="4" t="s">
        <v>289</v>
      </c>
    </row>
    <row r="76" spans="1:9" x14ac:dyDescent="0.2">
      <c r="B76" s="5"/>
      <c r="C76" s="520"/>
      <c r="D76" s="520"/>
      <c r="E76" s="4"/>
    </row>
    <row r="77" spans="1:9" x14ac:dyDescent="0.2">
      <c r="B77" s="6" t="s">
        <v>290</v>
      </c>
      <c r="C77" s="520" t="s">
        <v>291</v>
      </c>
      <c r="D77" s="520"/>
      <c r="E77" s="4" t="s">
        <v>292</v>
      </c>
    </row>
    <row r="78" spans="1:9" x14ac:dyDescent="0.2">
      <c r="B78" s="5"/>
      <c r="C78" s="520"/>
      <c r="D78" s="520"/>
      <c r="E78" s="4"/>
    </row>
    <row r="79" spans="1:9" x14ac:dyDescent="0.2">
      <c r="B79" s="6" t="s">
        <v>293</v>
      </c>
      <c r="C79" s="520" t="s">
        <v>288</v>
      </c>
      <c r="D79" s="520"/>
      <c r="E79" s="4" t="s">
        <v>292</v>
      </c>
    </row>
  </sheetData>
  <sheetProtection password="CA9F" sheet="1" objects="1" scenarios="1"/>
  <mergeCells count="8">
    <mergeCell ref="C78:D78"/>
    <mergeCell ref="C79:D79"/>
    <mergeCell ref="E3:I4"/>
    <mergeCell ref="B5:I5"/>
    <mergeCell ref="H7:I7"/>
    <mergeCell ref="C75:D75"/>
    <mergeCell ref="C76:D76"/>
    <mergeCell ref="C77:D77"/>
  </mergeCells>
  <dataValidations count="1">
    <dataValidation type="whole" allowBlank="1" showInputMessage="1" showErrorMessage="1" sqref="I10" xr:uid="{624BE14D-B67A-4640-9A9E-9CE9CE710ECB}">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2"/>
  <sheetViews>
    <sheetView zoomScaleNormal="100" zoomScalePageLayoutView="60" workbookViewId="0">
      <selection activeCell="G32" sqref="G32"/>
    </sheetView>
  </sheetViews>
  <sheetFormatPr defaultRowHeight="12.75" x14ac:dyDescent="0.2"/>
  <cols>
    <col min="1" max="1" width="11.5703125" style="287"/>
    <col min="2" max="2" width="21.7109375" style="287" customWidth="1"/>
    <col min="3" max="3" width="12.7109375" style="287"/>
    <col min="4" max="19" width="19.5703125" style="287" customWidth="1"/>
    <col min="20" max="1025" width="11.5703125" style="287"/>
    <col min="1026" max="16384" width="9.140625" style="287"/>
  </cols>
  <sheetData>
    <row r="1" spans="1:19" x14ac:dyDescent="0.2">
      <c r="A1" s="10"/>
      <c r="B1" s="11"/>
      <c r="C1" s="10"/>
      <c r="D1" s="11"/>
      <c r="E1" s="11"/>
      <c r="F1" s="11"/>
      <c r="G1" s="11"/>
      <c r="H1" s="11"/>
      <c r="I1" s="11"/>
      <c r="J1" s="11"/>
      <c r="K1" s="11"/>
      <c r="L1" s="525" t="s">
        <v>421</v>
      </c>
      <c r="M1" s="525"/>
      <c r="N1" s="525"/>
      <c r="O1" s="525"/>
      <c r="P1" s="525"/>
      <c r="Q1" s="525"/>
      <c r="R1" s="525"/>
      <c r="S1" s="525"/>
    </row>
    <row r="2" spans="1:19" x14ac:dyDescent="0.2">
      <c r="A2" s="10"/>
      <c r="B2" s="11"/>
      <c r="C2" s="10"/>
      <c r="D2" s="11"/>
      <c r="E2" s="11"/>
      <c r="F2" s="11"/>
      <c r="G2" s="11"/>
      <c r="H2" s="11"/>
      <c r="I2" s="11"/>
      <c r="J2" s="11"/>
      <c r="K2" s="11"/>
      <c r="L2" s="525"/>
      <c r="M2" s="525"/>
      <c r="N2" s="525"/>
      <c r="O2" s="525"/>
      <c r="P2" s="525"/>
      <c r="Q2" s="525"/>
      <c r="R2" s="525"/>
      <c r="S2" s="525"/>
    </row>
    <row r="3" spans="1:19" x14ac:dyDescent="0.2">
      <c r="A3" s="526" t="s">
        <v>422</v>
      </c>
      <c r="B3" s="527"/>
      <c r="C3" s="527"/>
      <c r="D3" s="527"/>
      <c r="E3" s="527"/>
      <c r="F3" s="527"/>
      <c r="G3" s="527"/>
      <c r="H3" s="527"/>
      <c r="I3" s="527"/>
      <c r="J3" s="527"/>
      <c r="K3" s="527"/>
      <c r="L3" s="527"/>
      <c r="M3" s="527"/>
      <c r="N3" s="527"/>
      <c r="O3" s="527"/>
      <c r="P3" s="527"/>
      <c r="Q3" s="527"/>
      <c r="R3" s="527"/>
      <c r="S3" s="11"/>
    </row>
    <row r="4" spans="1:19" x14ac:dyDescent="0.2">
      <c r="A4" s="10"/>
      <c r="B4" s="11"/>
      <c r="C4" s="10"/>
      <c r="D4" s="11"/>
      <c r="E4" s="11"/>
      <c r="F4" s="11"/>
      <c r="G4" s="11"/>
      <c r="H4" s="11"/>
      <c r="I4" s="11"/>
      <c r="J4" s="11"/>
      <c r="K4" s="11"/>
      <c r="L4" s="11"/>
      <c r="M4" s="11"/>
      <c r="N4" s="11"/>
      <c r="O4" s="11"/>
      <c r="P4" s="11"/>
      <c r="Q4" s="11"/>
      <c r="R4" s="11"/>
      <c r="S4" s="11"/>
    </row>
    <row r="5" spans="1:19" x14ac:dyDescent="0.2">
      <c r="A5" s="528" t="s">
        <v>277</v>
      </c>
      <c r="B5" s="529"/>
      <c r="C5" s="529"/>
      <c r="D5" s="529"/>
      <c r="E5" s="270"/>
      <c r="F5" s="270"/>
      <c r="G5" s="12"/>
      <c r="H5" s="530"/>
      <c r="I5" s="529"/>
      <c r="J5" s="529"/>
      <c r="K5" s="529"/>
      <c r="L5" s="11"/>
      <c r="M5" s="11"/>
      <c r="N5" s="11"/>
      <c r="O5" s="13"/>
      <c r="P5" s="13"/>
      <c r="Q5" s="13"/>
      <c r="R5" s="517" t="s">
        <v>278</v>
      </c>
      <c r="S5" s="517"/>
    </row>
    <row r="6" spans="1:19" x14ac:dyDescent="0.2">
      <c r="A6" s="14"/>
      <c r="B6" s="11"/>
      <c r="C6" s="10"/>
      <c r="D6" s="11"/>
      <c r="E6" s="11"/>
      <c r="F6" s="11"/>
      <c r="G6" s="11"/>
      <c r="H6" s="11"/>
      <c r="I6" s="11"/>
      <c r="J6" s="11"/>
      <c r="K6" s="11"/>
      <c r="L6" s="11"/>
      <c r="M6" s="11"/>
      <c r="N6" s="11"/>
      <c r="O6" s="11"/>
      <c r="P6" s="11"/>
      <c r="Q6" s="15"/>
      <c r="R6" s="271"/>
      <c r="S6" s="291" t="s">
        <v>279</v>
      </c>
    </row>
    <row r="7" spans="1:19" x14ac:dyDescent="0.2">
      <c r="A7" s="523" t="s">
        <v>280</v>
      </c>
      <c r="B7" s="523" t="s">
        <v>423</v>
      </c>
      <c r="C7" s="523" t="s">
        <v>295</v>
      </c>
      <c r="D7" s="523" t="s">
        <v>79</v>
      </c>
      <c r="E7" s="523" t="s">
        <v>424</v>
      </c>
      <c r="F7" s="523"/>
      <c r="G7" s="523"/>
      <c r="H7" s="523" t="s">
        <v>80</v>
      </c>
      <c r="I7" s="523" t="s">
        <v>81</v>
      </c>
      <c r="J7" s="523" t="s">
        <v>82</v>
      </c>
      <c r="K7" s="523" t="s">
        <v>83</v>
      </c>
      <c r="L7" s="523" t="s">
        <v>14</v>
      </c>
      <c r="M7" s="523" t="s">
        <v>84</v>
      </c>
      <c r="N7" s="523" t="s">
        <v>425</v>
      </c>
      <c r="O7" s="524"/>
      <c r="P7" s="524"/>
      <c r="Q7" s="523" t="s">
        <v>426</v>
      </c>
      <c r="R7" s="524"/>
      <c r="S7" s="524"/>
    </row>
    <row r="8" spans="1:19" ht="25.5" x14ac:dyDescent="0.2">
      <c r="A8" s="523"/>
      <c r="B8" s="523"/>
      <c r="C8" s="523"/>
      <c r="D8" s="523"/>
      <c r="E8" s="269" t="s">
        <v>427</v>
      </c>
      <c r="F8" s="269" t="s">
        <v>21</v>
      </c>
      <c r="G8" s="269" t="s">
        <v>428</v>
      </c>
      <c r="H8" s="523"/>
      <c r="I8" s="523"/>
      <c r="J8" s="523"/>
      <c r="K8" s="523"/>
      <c r="L8" s="523"/>
      <c r="M8" s="523"/>
      <c r="N8" s="269" t="s">
        <v>429</v>
      </c>
      <c r="O8" s="269" t="s">
        <v>430</v>
      </c>
      <c r="P8" s="16" t="s">
        <v>431</v>
      </c>
      <c r="Q8" s="269" t="s">
        <v>429</v>
      </c>
      <c r="R8" s="269" t="s">
        <v>430</v>
      </c>
      <c r="S8" s="269" t="s">
        <v>432</v>
      </c>
    </row>
    <row r="9" spans="1:19" x14ac:dyDescent="0.2">
      <c r="A9" s="269" t="s">
        <v>282</v>
      </c>
      <c r="B9" s="269" t="s">
        <v>283</v>
      </c>
      <c r="C9" s="269" t="s">
        <v>297</v>
      </c>
      <c r="D9" s="269">
        <v>1</v>
      </c>
      <c r="E9" s="269">
        <f>+D9+1</f>
        <v>2</v>
      </c>
      <c r="F9" s="269">
        <f t="shared" ref="F9:S9" si="0">+E9+1</f>
        <v>3</v>
      </c>
      <c r="G9" s="269">
        <f t="shared" si="0"/>
        <v>4</v>
      </c>
      <c r="H9" s="269">
        <f t="shared" si="0"/>
        <v>5</v>
      </c>
      <c r="I9" s="269">
        <f t="shared" si="0"/>
        <v>6</v>
      </c>
      <c r="J9" s="269">
        <f t="shared" si="0"/>
        <v>7</v>
      </c>
      <c r="K9" s="269">
        <f t="shared" si="0"/>
        <v>8</v>
      </c>
      <c r="L9" s="269">
        <f t="shared" si="0"/>
        <v>9</v>
      </c>
      <c r="M9" s="269">
        <f t="shared" si="0"/>
        <v>10</v>
      </c>
      <c r="N9" s="269">
        <f t="shared" si="0"/>
        <v>11</v>
      </c>
      <c r="O9" s="269">
        <f t="shared" si="0"/>
        <v>12</v>
      </c>
      <c r="P9" s="269">
        <f t="shared" si="0"/>
        <v>13</v>
      </c>
      <c r="Q9" s="269">
        <f t="shared" si="0"/>
        <v>14</v>
      </c>
      <c r="R9" s="269">
        <f t="shared" si="0"/>
        <v>15</v>
      </c>
      <c r="S9" s="269">
        <f t="shared" si="0"/>
        <v>16</v>
      </c>
    </row>
    <row r="10" spans="1:19" x14ac:dyDescent="0.2">
      <c r="A10" s="17">
        <v>1</v>
      </c>
      <c r="B10" s="18" t="s">
        <v>85</v>
      </c>
      <c r="C10" s="290">
        <v>1</v>
      </c>
      <c r="D10" s="283"/>
      <c r="E10" s="283"/>
      <c r="F10" s="283"/>
      <c r="G10" s="283"/>
      <c r="H10" s="283"/>
      <c r="I10" s="283"/>
      <c r="J10" s="283"/>
      <c r="K10" s="283"/>
      <c r="L10" s="283"/>
      <c r="M10" s="283"/>
      <c r="N10" s="283"/>
      <c r="O10" s="283"/>
      <c r="P10" s="283"/>
      <c r="Q10" s="283"/>
      <c r="R10" s="283"/>
      <c r="S10" s="132"/>
    </row>
    <row r="11" spans="1:19" x14ac:dyDescent="0.2">
      <c r="A11" s="17">
        <f t="shared" ref="A11:A40" si="1">+A10+1</f>
        <v>2</v>
      </c>
      <c r="B11" s="18" t="s">
        <v>86</v>
      </c>
      <c r="C11" s="290">
        <v>2</v>
      </c>
      <c r="D11" s="284"/>
      <c r="E11" s="284"/>
      <c r="F11" s="284"/>
      <c r="G11" s="284"/>
      <c r="H11" s="284"/>
      <c r="I11" s="284"/>
      <c r="J11" s="284"/>
      <c r="K11" s="284"/>
      <c r="L11" s="284"/>
      <c r="M11" s="284"/>
      <c r="N11" s="284"/>
      <c r="O11" s="284"/>
      <c r="P11" s="284"/>
      <c r="Q11" s="284"/>
      <c r="R11" s="284"/>
      <c r="S11" s="132"/>
    </row>
    <row r="12" spans="1:19" x14ac:dyDescent="0.2">
      <c r="A12" s="17">
        <f t="shared" si="1"/>
        <v>3</v>
      </c>
      <c r="B12" s="18" t="s">
        <v>87</v>
      </c>
      <c r="C12" s="290">
        <v>3</v>
      </c>
      <c r="D12" s="132"/>
      <c r="E12" s="132"/>
      <c r="F12" s="132"/>
      <c r="G12" s="132"/>
      <c r="H12" s="132"/>
      <c r="I12" s="132"/>
      <c r="J12" s="132"/>
      <c r="K12" s="132"/>
      <c r="L12" s="132"/>
      <c r="M12" s="132"/>
      <c r="N12" s="132"/>
      <c r="O12" s="132"/>
      <c r="P12" s="132"/>
      <c r="Q12" s="132"/>
      <c r="R12" s="132"/>
      <c r="S12" s="132"/>
    </row>
    <row r="13" spans="1:19" x14ac:dyDescent="0.2">
      <c r="A13" s="17">
        <f t="shared" si="1"/>
        <v>4</v>
      </c>
      <c r="B13" s="18" t="s">
        <v>433</v>
      </c>
      <c r="C13" s="290">
        <v>4</v>
      </c>
      <c r="D13" s="132"/>
      <c r="E13" s="132"/>
      <c r="F13" s="132"/>
      <c r="G13" s="132"/>
      <c r="H13" s="132"/>
      <c r="I13" s="132"/>
      <c r="J13" s="132"/>
      <c r="K13" s="132"/>
      <c r="L13" s="132"/>
      <c r="M13" s="132"/>
      <c r="N13" s="132"/>
      <c r="O13" s="132"/>
      <c r="P13" s="132"/>
      <c r="Q13" s="132"/>
      <c r="R13" s="132"/>
      <c r="S13" s="132"/>
    </row>
    <row r="14" spans="1:19" x14ac:dyDescent="0.2">
      <c r="A14" s="17">
        <f t="shared" si="1"/>
        <v>5</v>
      </c>
      <c r="B14" s="18" t="s">
        <v>88</v>
      </c>
      <c r="C14" s="290">
        <v>5</v>
      </c>
      <c r="D14" s="132" t="s">
        <v>0</v>
      </c>
      <c r="E14" s="132" t="s">
        <v>0</v>
      </c>
      <c r="F14" s="132" t="s">
        <v>0</v>
      </c>
      <c r="G14" s="132" t="s">
        <v>0</v>
      </c>
      <c r="H14" s="132" t="s">
        <v>0</v>
      </c>
      <c r="I14" s="132" t="s">
        <v>0</v>
      </c>
      <c r="J14" s="132" t="s">
        <v>0</v>
      </c>
      <c r="K14" s="132" t="s">
        <v>0</v>
      </c>
      <c r="L14" s="132" t="s">
        <v>0</v>
      </c>
      <c r="M14" s="132" t="s">
        <v>0</v>
      </c>
      <c r="N14" s="132" t="s">
        <v>0</v>
      </c>
      <c r="O14" s="132" t="s">
        <v>0</v>
      </c>
      <c r="P14" s="132" t="s">
        <v>0</v>
      </c>
      <c r="Q14" s="132" t="s">
        <v>0</v>
      </c>
      <c r="R14" s="132" t="s">
        <v>0</v>
      </c>
      <c r="S14" s="132"/>
    </row>
    <row r="15" spans="1:19" x14ac:dyDescent="0.2">
      <c r="A15" s="17">
        <f t="shared" si="1"/>
        <v>6</v>
      </c>
      <c r="B15" s="18" t="s">
        <v>89</v>
      </c>
      <c r="C15" s="290">
        <v>6</v>
      </c>
      <c r="D15" s="132" t="s">
        <v>0</v>
      </c>
      <c r="E15" s="132" t="s">
        <v>0</v>
      </c>
      <c r="F15" s="132" t="s">
        <v>0</v>
      </c>
      <c r="G15" s="132" t="s">
        <v>0</v>
      </c>
      <c r="H15" s="132" t="s">
        <v>0</v>
      </c>
      <c r="I15" s="132" t="s">
        <v>0</v>
      </c>
      <c r="J15" s="132" t="s">
        <v>0</v>
      </c>
      <c r="K15" s="132" t="s">
        <v>0</v>
      </c>
      <c r="L15" s="132" t="s">
        <v>0</v>
      </c>
      <c r="M15" s="132" t="s">
        <v>0</v>
      </c>
      <c r="N15" s="132" t="s">
        <v>0</v>
      </c>
      <c r="O15" s="132" t="s">
        <v>0</v>
      </c>
      <c r="P15" s="132" t="s">
        <v>0</v>
      </c>
      <c r="Q15" s="132" t="s">
        <v>0</v>
      </c>
      <c r="R15" s="132" t="s">
        <v>0</v>
      </c>
      <c r="S15" s="132"/>
    </row>
    <row r="16" spans="1:19" x14ac:dyDescent="0.2">
      <c r="A16" s="17">
        <f t="shared" si="1"/>
        <v>7</v>
      </c>
      <c r="B16" s="18" t="s">
        <v>90</v>
      </c>
      <c r="C16" s="290">
        <v>7</v>
      </c>
      <c r="D16" s="132" t="s">
        <v>0</v>
      </c>
      <c r="E16" s="132" t="s">
        <v>0</v>
      </c>
      <c r="F16" s="132" t="s">
        <v>0</v>
      </c>
      <c r="G16" s="132" t="s">
        <v>0</v>
      </c>
      <c r="H16" s="132" t="s">
        <v>0</v>
      </c>
      <c r="I16" s="132" t="s">
        <v>0</v>
      </c>
      <c r="J16" s="132" t="s">
        <v>0</v>
      </c>
      <c r="K16" s="132" t="s">
        <v>0</v>
      </c>
      <c r="L16" s="132" t="s">
        <v>0</v>
      </c>
      <c r="M16" s="132" t="s">
        <v>0</v>
      </c>
      <c r="N16" s="132" t="s">
        <v>0</v>
      </c>
      <c r="O16" s="132" t="s">
        <v>0</v>
      </c>
      <c r="P16" s="132" t="s">
        <v>0</v>
      </c>
      <c r="Q16" s="132" t="s">
        <v>0</v>
      </c>
      <c r="R16" s="132" t="s">
        <v>0</v>
      </c>
      <c r="S16" s="132"/>
    </row>
    <row r="17" spans="1:19" x14ac:dyDescent="0.2">
      <c r="A17" s="17">
        <f t="shared" si="1"/>
        <v>8</v>
      </c>
      <c r="B17" s="18" t="s">
        <v>91</v>
      </c>
      <c r="C17" s="290">
        <v>8</v>
      </c>
      <c r="D17" s="132" t="s">
        <v>0</v>
      </c>
      <c r="E17" s="132" t="s">
        <v>0</v>
      </c>
      <c r="F17" s="132" t="s">
        <v>0</v>
      </c>
      <c r="G17" s="132" t="s">
        <v>0</v>
      </c>
      <c r="H17" s="132" t="s">
        <v>0</v>
      </c>
      <c r="I17" s="132" t="s">
        <v>0</v>
      </c>
      <c r="J17" s="132" t="s">
        <v>0</v>
      </c>
      <c r="K17" s="132" t="s">
        <v>0</v>
      </c>
      <c r="L17" s="132" t="s">
        <v>0</v>
      </c>
      <c r="M17" s="132" t="s">
        <v>0</v>
      </c>
      <c r="N17" s="132" t="s">
        <v>0</v>
      </c>
      <c r="O17" s="132" t="s">
        <v>0</v>
      </c>
      <c r="P17" s="132" t="s">
        <v>0</v>
      </c>
      <c r="Q17" s="132" t="s">
        <v>0</v>
      </c>
      <c r="R17" s="132" t="s">
        <v>0</v>
      </c>
      <c r="S17" s="132"/>
    </row>
    <row r="18" spans="1:19" x14ac:dyDescent="0.2">
      <c r="A18" s="17">
        <f t="shared" si="1"/>
        <v>9</v>
      </c>
      <c r="B18" s="18" t="s">
        <v>92</v>
      </c>
      <c r="C18" s="290">
        <v>9</v>
      </c>
      <c r="D18" s="132" t="s">
        <v>0</v>
      </c>
      <c r="E18" s="132" t="s">
        <v>0</v>
      </c>
      <c r="F18" s="132" t="s">
        <v>0</v>
      </c>
      <c r="G18" s="132" t="s">
        <v>0</v>
      </c>
      <c r="H18" s="132" t="s">
        <v>0</v>
      </c>
      <c r="I18" s="132" t="s">
        <v>0</v>
      </c>
      <c r="J18" s="132" t="s">
        <v>0</v>
      </c>
      <c r="K18" s="132" t="s">
        <v>0</v>
      </c>
      <c r="L18" s="132" t="s">
        <v>0</v>
      </c>
      <c r="M18" s="132" t="s">
        <v>0</v>
      </c>
      <c r="N18" s="132" t="s">
        <v>0</v>
      </c>
      <c r="O18" s="132" t="s">
        <v>0</v>
      </c>
      <c r="P18" s="132" t="s">
        <v>0</v>
      </c>
      <c r="Q18" s="132" t="s">
        <v>0</v>
      </c>
      <c r="R18" s="132" t="s">
        <v>0</v>
      </c>
      <c r="S18" s="132"/>
    </row>
    <row r="19" spans="1:19" x14ac:dyDescent="0.2">
      <c r="A19" s="17">
        <f t="shared" si="1"/>
        <v>10</v>
      </c>
      <c r="B19" s="18" t="s">
        <v>93</v>
      </c>
      <c r="C19" s="290">
        <v>10</v>
      </c>
      <c r="D19" s="132"/>
      <c r="E19" s="132" t="s">
        <v>0</v>
      </c>
      <c r="F19" s="132" t="s">
        <v>0</v>
      </c>
      <c r="G19" s="132" t="s">
        <v>0</v>
      </c>
      <c r="H19" s="132" t="s">
        <v>0</v>
      </c>
      <c r="I19" s="132" t="s">
        <v>0</v>
      </c>
      <c r="J19" s="132" t="s">
        <v>0</v>
      </c>
      <c r="K19" s="132" t="s">
        <v>0</v>
      </c>
      <c r="L19" s="132" t="s">
        <v>0</v>
      </c>
      <c r="M19" s="132" t="s">
        <v>0</v>
      </c>
      <c r="N19" s="132" t="s">
        <v>0</v>
      </c>
      <c r="O19" s="132" t="s">
        <v>0</v>
      </c>
      <c r="P19" s="132" t="s">
        <v>0</v>
      </c>
      <c r="Q19" s="132" t="s">
        <v>0</v>
      </c>
      <c r="R19" s="132" t="s">
        <v>0</v>
      </c>
      <c r="S19" s="132"/>
    </row>
    <row r="20" spans="1:19" x14ac:dyDescent="0.2">
      <c r="A20" s="17">
        <f t="shared" si="1"/>
        <v>11</v>
      </c>
      <c r="B20" s="18" t="s">
        <v>94</v>
      </c>
      <c r="C20" s="290">
        <v>11</v>
      </c>
      <c r="D20" s="132"/>
      <c r="E20" s="132" t="s">
        <v>0</v>
      </c>
      <c r="F20" s="132" t="s">
        <v>0</v>
      </c>
      <c r="G20" s="132" t="s">
        <v>0</v>
      </c>
      <c r="H20" s="132" t="s">
        <v>0</v>
      </c>
      <c r="I20" s="132" t="s">
        <v>0</v>
      </c>
      <c r="J20" s="132" t="s">
        <v>0</v>
      </c>
      <c r="K20" s="132" t="s">
        <v>0</v>
      </c>
      <c r="L20" s="132" t="s">
        <v>0</v>
      </c>
      <c r="M20" s="132" t="s">
        <v>0</v>
      </c>
      <c r="N20" s="132" t="s">
        <v>0</v>
      </c>
      <c r="O20" s="132" t="s">
        <v>0</v>
      </c>
      <c r="P20" s="132" t="s">
        <v>0</v>
      </c>
      <c r="Q20" s="132" t="s">
        <v>0</v>
      </c>
      <c r="R20" s="132" t="s">
        <v>0</v>
      </c>
      <c r="S20" s="132"/>
    </row>
    <row r="21" spans="1:19" x14ac:dyDescent="0.2">
      <c r="A21" s="17">
        <f t="shared" si="1"/>
        <v>12</v>
      </c>
      <c r="B21" s="18" t="s">
        <v>95</v>
      </c>
      <c r="C21" s="290">
        <v>12</v>
      </c>
      <c r="D21" s="132"/>
      <c r="E21" s="132" t="s">
        <v>0</v>
      </c>
      <c r="F21" s="132" t="s">
        <v>0</v>
      </c>
      <c r="G21" s="132" t="s">
        <v>0</v>
      </c>
      <c r="H21" s="132" t="s">
        <v>0</v>
      </c>
      <c r="I21" s="132" t="s">
        <v>0</v>
      </c>
      <c r="J21" s="132" t="s">
        <v>0</v>
      </c>
      <c r="K21" s="132" t="s">
        <v>0</v>
      </c>
      <c r="L21" s="132" t="s">
        <v>0</v>
      </c>
      <c r="M21" s="132" t="s">
        <v>0</v>
      </c>
      <c r="N21" s="132" t="s">
        <v>0</v>
      </c>
      <c r="O21" s="132" t="s">
        <v>0</v>
      </c>
      <c r="P21" s="132" t="s">
        <v>0</v>
      </c>
      <c r="Q21" s="132" t="s">
        <v>0</v>
      </c>
      <c r="R21" s="132" t="s">
        <v>0</v>
      </c>
      <c r="S21" s="132"/>
    </row>
    <row r="22" spans="1:19" x14ac:dyDescent="0.2">
      <c r="A22" s="17">
        <f t="shared" si="1"/>
        <v>13</v>
      </c>
      <c r="B22" s="18" t="s">
        <v>96</v>
      </c>
      <c r="C22" s="290">
        <v>13</v>
      </c>
      <c r="D22" s="132"/>
      <c r="E22" s="132" t="s">
        <v>0</v>
      </c>
      <c r="F22" s="132" t="s">
        <v>0</v>
      </c>
      <c r="G22" s="132" t="s">
        <v>0</v>
      </c>
      <c r="H22" s="132" t="s">
        <v>0</v>
      </c>
      <c r="I22" s="132" t="s">
        <v>0</v>
      </c>
      <c r="J22" s="132" t="s">
        <v>0</v>
      </c>
      <c r="K22" s="132" t="s">
        <v>0</v>
      </c>
      <c r="L22" s="132" t="s">
        <v>0</v>
      </c>
      <c r="M22" s="132" t="s">
        <v>0</v>
      </c>
      <c r="N22" s="132" t="s">
        <v>0</v>
      </c>
      <c r="O22" s="132" t="s">
        <v>0</v>
      </c>
      <c r="P22" s="132" t="s">
        <v>0</v>
      </c>
      <c r="Q22" s="132" t="s">
        <v>0</v>
      </c>
      <c r="R22" s="132" t="s">
        <v>0</v>
      </c>
      <c r="S22" s="132"/>
    </row>
    <row r="23" spans="1:19" x14ac:dyDescent="0.2">
      <c r="A23" s="17">
        <f t="shared" si="1"/>
        <v>14</v>
      </c>
      <c r="B23" s="18" t="s">
        <v>97</v>
      </c>
      <c r="C23" s="290">
        <v>14</v>
      </c>
      <c r="D23" s="132"/>
      <c r="E23" s="132" t="s">
        <v>0</v>
      </c>
      <c r="F23" s="132" t="s">
        <v>0</v>
      </c>
      <c r="G23" s="132" t="s">
        <v>0</v>
      </c>
      <c r="H23" s="132" t="s">
        <v>0</v>
      </c>
      <c r="I23" s="132" t="s">
        <v>0</v>
      </c>
      <c r="J23" s="132" t="s">
        <v>0</v>
      </c>
      <c r="K23" s="132" t="s">
        <v>0</v>
      </c>
      <c r="L23" s="132" t="s">
        <v>0</v>
      </c>
      <c r="M23" s="132" t="s">
        <v>0</v>
      </c>
      <c r="N23" s="132" t="s">
        <v>0</v>
      </c>
      <c r="O23" s="132" t="s">
        <v>0</v>
      </c>
      <c r="P23" s="132" t="s">
        <v>0</v>
      </c>
      <c r="Q23" s="132" t="s">
        <v>0</v>
      </c>
      <c r="R23" s="132" t="s">
        <v>0</v>
      </c>
      <c r="S23" s="132"/>
    </row>
    <row r="24" spans="1:19" x14ac:dyDescent="0.2">
      <c r="A24" s="17">
        <f t="shared" si="1"/>
        <v>15</v>
      </c>
      <c r="B24" s="18" t="s">
        <v>98</v>
      </c>
      <c r="C24" s="290">
        <v>15</v>
      </c>
      <c r="D24" s="132"/>
      <c r="E24" s="132" t="s">
        <v>0</v>
      </c>
      <c r="F24" s="132" t="s">
        <v>0</v>
      </c>
      <c r="G24" s="132" t="s">
        <v>0</v>
      </c>
      <c r="H24" s="132" t="s">
        <v>0</v>
      </c>
      <c r="I24" s="132" t="s">
        <v>0</v>
      </c>
      <c r="J24" s="132" t="s">
        <v>0</v>
      </c>
      <c r="K24" s="132" t="s">
        <v>0</v>
      </c>
      <c r="L24" s="132" t="s">
        <v>0</v>
      </c>
      <c r="M24" s="132" t="s">
        <v>0</v>
      </c>
      <c r="N24" s="132" t="s">
        <v>0</v>
      </c>
      <c r="O24" s="132" t="s">
        <v>0</v>
      </c>
      <c r="P24" s="132" t="s">
        <v>0</v>
      </c>
      <c r="Q24" s="132"/>
      <c r="R24" s="132" t="s">
        <v>0</v>
      </c>
      <c r="S24" s="132"/>
    </row>
    <row r="25" spans="1:19" x14ac:dyDescent="0.2">
      <c r="A25" s="17">
        <f t="shared" si="1"/>
        <v>16</v>
      </c>
      <c r="B25" s="18" t="s">
        <v>99</v>
      </c>
      <c r="C25" s="290">
        <v>16</v>
      </c>
      <c r="D25" s="132" t="s">
        <v>0</v>
      </c>
      <c r="E25" s="132" t="s">
        <v>0</v>
      </c>
      <c r="F25" s="132" t="s">
        <v>0</v>
      </c>
      <c r="G25" s="132" t="s">
        <v>0</v>
      </c>
      <c r="H25" s="132" t="s">
        <v>0</v>
      </c>
      <c r="I25" s="132" t="s">
        <v>0</v>
      </c>
      <c r="J25" s="132" t="s">
        <v>0</v>
      </c>
      <c r="K25" s="132" t="s">
        <v>0</v>
      </c>
      <c r="L25" s="132" t="s">
        <v>0</v>
      </c>
      <c r="M25" s="132" t="s">
        <v>0</v>
      </c>
      <c r="N25" s="132" t="s">
        <v>0</v>
      </c>
      <c r="O25" s="132" t="s">
        <v>0</v>
      </c>
      <c r="P25" s="132" t="s">
        <v>0</v>
      </c>
      <c r="Q25" s="132" t="s">
        <v>0</v>
      </c>
      <c r="R25" s="132" t="s">
        <v>0</v>
      </c>
      <c r="S25" s="132"/>
    </row>
    <row r="26" spans="1:19" x14ac:dyDescent="0.2">
      <c r="A26" s="17">
        <f t="shared" si="1"/>
        <v>17</v>
      </c>
      <c r="B26" s="18" t="s">
        <v>100</v>
      </c>
      <c r="C26" s="290">
        <v>17</v>
      </c>
      <c r="D26" s="132" t="s">
        <v>0</v>
      </c>
      <c r="E26" s="132" t="s">
        <v>0</v>
      </c>
      <c r="F26" s="132" t="s">
        <v>0</v>
      </c>
      <c r="G26" s="132" t="s">
        <v>0</v>
      </c>
      <c r="H26" s="132" t="s">
        <v>0</v>
      </c>
      <c r="I26" s="132" t="s">
        <v>0</v>
      </c>
      <c r="J26" s="132" t="s">
        <v>0</v>
      </c>
      <c r="K26" s="132" t="s">
        <v>0</v>
      </c>
      <c r="L26" s="132" t="s">
        <v>0</v>
      </c>
      <c r="M26" s="132" t="s">
        <v>0</v>
      </c>
      <c r="N26" s="132" t="s">
        <v>0</v>
      </c>
      <c r="O26" s="132" t="s">
        <v>0</v>
      </c>
      <c r="P26" s="132" t="s">
        <v>0</v>
      </c>
      <c r="Q26" s="132" t="s">
        <v>0</v>
      </c>
      <c r="R26" s="132" t="s">
        <v>0</v>
      </c>
      <c r="S26" s="132"/>
    </row>
    <row r="27" spans="1:19" x14ac:dyDescent="0.2">
      <c r="A27" s="17">
        <f t="shared" si="1"/>
        <v>18</v>
      </c>
      <c r="B27" s="18" t="s">
        <v>101</v>
      </c>
      <c r="C27" s="290">
        <v>18</v>
      </c>
      <c r="D27" s="132" t="s">
        <v>0</v>
      </c>
      <c r="E27" s="132" t="s">
        <v>0</v>
      </c>
      <c r="F27" s="132" t="s">
        <v>0</v>
      </c>
      <c r="G27" s="132" t="s">
        <v>0</v>
      </c>
      <c r="H27" s="132" t="s">
        <v>0</v>
      </c>
      <c r="I27" s="132" t="s">
        <v>0</v>
      </c>
      <c r="J27" s="132" t="s">
        <v>0</v>
      </c>
      <c r="K27" s="132" t="s">
        <v>0</v>
      </c>
      <c r="L27" s="132" t="s">
        <v>0</v>
      </c>
      <c r="M27" s="132" t="s">
        <v>0</v>
      </c>
      <c r="N27" s="132" t="s">
        <v>0</v>
      </c>
      <c r="O27" s="132" t="s">
        <v>0</v>
      </c>
      <c r="P27" s="132" t="s">
        <v>0</v>
      </c>
      <c r="Q27" s="132" t="s">
        <v>0</v>
      </c>
      <c r="R27" s="132" t="s">
        <v>0</v>
      </c>
      <c r="S27" s="132"/>
    </row>
    <row r="28" spans="1:19" x14ac:dyDescent="0.2">
      <c r="A28" s="17">
        <f t="shared" si="1"/>
        <v>19</v>
      </c>
      <c r="B28" s="18" t="s">
        <v>102</v>
      </c>
      <c r="C28" s="290">
        <v>19</v>
      </c>
      <c r="D28" s="132" t="s">
        <v>0</v>
      </c>
      <c r="E28" s="132" t="s">
        <v>0</v>
      </c>
      <c r="F28" s="132" t="s">
        <v>0</v>
      </c>
      <c r="G28" s="132" t="s">
        <v>0</v>
      </c>
      <c r="H28" s="132" t="s">
        <v>0</v>
      </c>
      <c r="I28" s="132" t="s">
        <v>0</v>
      </c>
      <c r="J28" s="132" t="s">
        <v>0</v>
      </c>
      <c r="K28" s="132" t="s">
        <v>0</v>
      </c>
      <c r="L28" s="132" t="s">
        <v>0</v>
      </c>
      <c r="M28" s="132" t="s">
        <v>0</v>
      </c>
      <c r="N28" s="132" t="s">
        <v>0</v>
      </c>
      <c r="O28" s="132" t="s">
        <v>0</v>
      </c>
      <c r="P28" s="132" t="s">
        <v>0</v>
      </c>
      <c r="Q28" s="132" t="s">
        <v>0</v>
      </c>
      <c r="R28" s="132" t="s">
        <v>0</v>
      </c>
      <c r="S28" s="132"/>
    </row>
    <row r="29" spans="1:19" x14ac:dyDescent="0.2">
      <c r="A29" s="17">
        <f t="shared" si="1"/>
        <v>20</v>
      </c>
      <c r="B29" s="18" t="s">
        <v>434</v>
      </c>
      <c r="C29" s="290">
        <v>20</v>
      </c>
      <c r="D29" s="132" t="s">
        <v>0</v>
      </c>
      <c r="E29" s="132" t="s">
        <v>0</v>
      </c>
      <c r="F29" s="132" t="s">
        <v>0</v>
      </c>
      <c r="G29" s="132" t="s">
        <v>0</v>
      </c>
      <c r="H29" s="132" t="s">
        <v>0</v>
      </c>
      <c r="I29" s="132" t="s">
        <v>0</v>
      </c>
      <c r="J29" s="132" t="s">
        <v>0</v>
      </c>
      <c r="K29" s="132" t="s">
        <v>0</v>
      </c>
      <c r="L29" s="132" t="s">
        <v>0</v>
      </c>
      <c r="M29" s="132" t="s">
        <v>0</v>
      </c>
      <c r="N29" s="132" t="s">
        <v>0</v>
      </c>
      <c r="O29" s="132" t="s">
        <v>0</v>
      </c>
      <c r="P29" s="132" t="s">
        <v>0</v>
      </c>
      <c r="Q29" s="132" t="s">
        <v>0</v>
      </c>
      <c r="R29" s="132" t="s">
        <v>0</v>
      </c>
      <c r="S29" s="132"/>
    </row>
    <row r="30" spans="1:19" x14ac:dyDescent="0.2">
      <c r="A30" s="17">
        <f t="shared" si="1"/>
        <v>21</v>
      </c>
      <c r="B30" s="18" t="s">
        <v>103</v>
      </c>
      <c r="C30" s="290">
        <v>21</v>
      </c>
      <c r="D30" s="132" t="s">
        <v>0</v>
      </c>
      <c r="E30" s="132" t="s">
        <v>0</v>
      </c>
      <c r="F30" s="132" t="s">
        <v>0</v>
      </c>
      <c r="G30" s="132" t="s">
        <v>0</v>
      </c>
      <c r="H30" s="132" t="s">
        <v>0</v>
      </c>
      <c r="I30" s="132" t="s">
        <v>0</v>
      </c>
      <c r="J30" s="132" t="s">
        <v>0</v>
      </c>
      <c r="K30" s="132" t="s">
        <v>0</v>
      </c>
      <c r="L30" s="132" t="s">
        <v>0</v>
      </c>
      <c r="M30" s="132" t="s">
        <v>0</v>
      </c>
      <c r="N30" s="132" t="s">
        <v>0</v>
      </c>
      <c r="O30" s="132" t="s">
        <v>0</v>
      </c>
      <c r="P30" s="132" t="s">
        <v>0</v>
      </c>
      <c r="Q30" s="132" t="s">
        <v>0</v>
      </c>
      <c r="R30" s="132" t="s">
        <v>0</v>
      </c>
      <c r="S30" s="132"/>
    </row>
    <row r="31" spans="1:19" x14ac:dyDescent="0.2">
      <c r="A31" s="17">
        <f t="shared" si="1"/>
        <v>22</v>
      </c>
      <c r="B31" s="18" t="s">
        <v>104</v>
      </c>
      <c r="C31" s="290">
        <v>22</v>
      </c>
      <c r="D31" s="132" t="s">
        <v>0</v>
      </c>
      <c r="E31" s="132" t="s">
        <v>0</v>
      </c>
      <c r="F31" s="132" t="s">
        <v>0</v>
      </c>
      <c r="G31" s="132" t="s">
        <v>0</v>
      </c>
      <c r="H31" s="132" t="s">
        <v>0</v>
      </c>
      <c r="I31" s="132" t="s">
        <v>0</v>
      </c>
      <c r="J31" s="132" t="s">
        <v>0</v>
      </c>
      <c r="K31" s="132" t="s">
        <v>0</v>
      </c>
      <c r="L31" s="132" t="s">
        <v>0</v>
      </c>
      <c r="M31" s="132" t="s">
        <v>0</v>
      </c>
      <c r="N31" s="132" t="s">
        <v>0</v>
      </c>
      <c r="O31" s="132" t="s">
        <v>0</v>
      </c>
      <c r="P31" s="132" t="s">
        <v>0</v>
      </c>
      <c r="Q31" s="132" t="s">
        <v>0</v>
      </c>
      <c r="R31" s="132" t="s">
        <v>0</v>
      </c>
      <c r="S31" s="132"/>
    </row>
    <row r="32" spans="1:19" x14ac:dyDescent="0.2">
      <c r="A32" s="17">
        <f t="shared" si="1"/>
        <v>23</v>
      </c>
      <c r="B32" s="18" t="s">
        <v>105</v>
      </c>
      <c r="C32" s="290">
        <v>23</v>
      </c>
      <c r="D32" s="132" t="s">
        <v>0</v>
      </c>
      <c r="E32" s="132" t="s">
        <v>0</v>
      </c>
      <c r="F32" s="132" t="s">
        <v>0</v>
      </c>
      <c r="G32" s="132" t="s">
        <v>0</v>
      </c>
      <c r="H32" s="132" t="s">
        <v>0</v>
      </c>
      <c r="I32" s="132" t="s">
        <v>0</v>
      </c>
      <c r="J32" s="132" t="s">
        <v>0</v>
      </c>
      <c r="K32" s="132" t="s">
        <v>0</v>
      </c>
      <c r="L32" s="132" t="s">
        <v>0</v>
      </c>
      <c r="M32" s="132" t="s">
        <v>0</v>
      </c>
      <c r="N32" s="132" t="s">
        <v>0</v>
      </c>
      <c r="O32" s="132" t="s">
        <v>0</v>
      </c>
      <c r="P32" s="132" t="s">
        <v>0</v>
      </c>
      <c r="Q32" s="132" t="s">
        <v>0</v>
      </c>
      <c r="R32" s="132" t="s">
        <v>0</v>
      </c>
      <c r="S32" s="132"/>
    </row>
    <row r="33" spans="1:19" x14ac:dyDescent="0.2">
      <c r="A33" s="17">
        <f t="shared" si="1"/>
        <v>24</v>
      </c>
      <c r="B33" s="18" t="s">
        <v>435</v>
      </c>
      <c r="C33" s="290">
        <v>24</v>
      </c>
      <c r="D33" s="132" t="s">
        <v>0</v>
      </c>
      <c r="E33" s="132" t="s">
        <v>0</v>
      </c>
      <c r="F33" s="132" t="s">
        <v>0</v>
      </c>
      <c r="G33" s="132" t="s">
        <v>0</v>
      </c>
      <c r="H33" s="132" t="s">
        <v>0</v>
      </c>
      <c r="I33" s="132" t="s">
        <v>0</v>
      </c>
      <c r="J33" s="132" t="s">
        <v>0</v>
      </c>
      <c r="K33" s="132" t="s">
        <v>0</v>
      </c>
      <c r="L33" s="132" t="s">
        <v>0</v>
      </c>
      <c r="M33" s="132"/>
      <c r="N33" s="132" t="s">
        <v>0</v>
      </c>
      <c r="O33" s="132" t="s">
        <v>0</v>
      </c>
      <c r="P33" s="132" t="s">
        <v>0</v>
      </c>
      <c r="Q33" s="132" t="s">
        <v>0</v>
      </c>
      <c r="R33" s="132" t="s">
        <v>0</v>
      </c>
      <c r="S33" s="132"/>
    </row>
    <row r="34" spans="1:19" x14ac:dyDescent="0.2">
      <c r="A34" s="17">
        <f t="shared" si="1"/>
        <v>25</v>
      </c>
      <c r="B34" s="18" t="s">
        <v>106</v>
      </c>
      <c r="C34" s="290">
        <v>25</v>
      </c>
      <c r="D34" s="132" t="s">
        <v>0</v>
      </c>
      <c r="E34" s="132" t="s">
        <v>0</v>
      </c>
      <c r="F34" s="132" t="s">
        <v>0</v>
      </c>
      <c r="G34" s="132" t="s">
        <v>0</v>
      </c>
      <c r="H34" s="132" t="s">
        <v>0</v>
      </c>
      <c r="I34" s="132" t="s">
        <v>0</v>
      </c>
      <c r="J34" s="132" t="s">
        <v>0</v>
      </c>
      <c r="K34" s="132" t="s">
        <v>0</v>
      </c>
      <c r="L34" s="132" t="s">
        <v>0</v>
      </c>
      <c r="M34" s="132" t="s">
        <v>0</v>
      </c>
      <c r="N34" s="132" t="s">
        <v>0</v>
      </c>
      <c r="O34" s="132" t="s">
        <v>0</v>
      </c>
      <c r="P34" s="132" t="s">
        <v>0</v>
      </c>
      <c r="Q34" s="132" t="s">
        <v>0</v>
      </c>
      <c r="R34" s="132" t="s">
        <v>0</v>
      </c>
      <c r="S34" s="132"/>
    </row>
    <row r="35" spans="1:19" x14ac:dyDescent="0.2">
      <c r="A35" s="17">
        <f t="shared" si="1"/>
        <v>26</v>
      </c>
      <c r="B35" s="18" t="s">
        <v>107</v>
      </c>
      <c r="C35" s="290">
        <v>26</v>
      </c>
      <c r="D35" s="132" t="s">
        <v>0</v>
      </c>
      <c r="E35" s="132" t="s">
        <v>0</v>
      </c>
      <c r="F35" s="132" t="s">
        <v>0</v>
      </c>
      <c r="G35" s="132" t="s">
        <v>0</v>
      </c>
      <c r="H35" s="132" t="s">
        <v>0</v>
      </c>
      <c r="I35" s="132" t="s">
        <v>0</v>
      </c>
      <c r="J35" s="132" t="s">
        <v>0</v>
      </c>
      <c r="K35" s="132" t="s">
        <v>0</v>
      </c>
      <c r="L35" s="132" t="s">
        <v>0</v>
      </c>
      <c r="M35" s="132" t="s">
        <v>0</v>
      </c>
      <c r="N35" s="132" t="s">
        <v>0</v>
      </c>
      <c r="O35" s="132" t="s">
        <v>0</v>
      </c>
      <c r="P35" s="132" t="s">
        <v>0</v>
      </c>
      <c r="Q35" s="132" t="s">
        <v>0</v>
      </c>
      <c r="R35" s="132" t="s">
        <v>0</v>
      </c>
      <c r="S35" s="132"/>
    </row>
    <row r="36" spans="1:19" x14ac:dyDescent="0.2">
      <c r="A36" s="17">
        <f t="shared" si="1"/>
        <v>27</v>
      </c>
      <c r="B36" s="18" t="s">
        <v>108</v>
      </c>
      <c r="C36" s="290">
        <v>27</v>
      </c>
      <c r="D36" s="132" t="s">
        <v>0</v>
      </c>
      <c r="E36" s="132" t="s">
        <v>0</v>
      </c>
      <c r="F36" s="132" t="s">
        <v>0</v>
      </c>
      <c r="G36" s="132" t="s">
        <v>0</v>
      </c>
      <c r="H36" s="132" t="s">
        <v>0</v>
      </c>
      <c r="I36" s="132" t="s">
        <v>0</v>
      </c>
      <c r="J36" s="132" t="s">
        <v>0</v>
      </c>
      <c r="K36" s="132" t="s">
        <v>0</v>
      </c>
      <c r="L36" s="132" t="s">
        <v>0</v>
      </c>
      <c r="M36" s="132" t="s">
        <v>0</v>
      </c>
      <c r="N36" s="132" t="s">
        <v>0</v>
      </c>
      <c r="O36" s="132" t="s">
        <v>0</v>
      </c>
      <c r="P36" s="132" t="s">
        <v>0</v>
      </c>
      <c r="Q36" s="132" t="s">
        <v>0</v>
      </c>
      <c r="R36" s="132" t="s">
        <v>0</v>
      </c>
      <c r="S36" s="132"/>
    </row>
    <row r="37" spans="1:19" x14ac:dyDescent="0.2">
      <c r="A37" s="17">
        <f t="shared" si="1"/>
        <v>28</v>
      </c>
      <c r="B37" s="18" t="s">
        <v>109</v>
      </c>
      <c r="C37" s="290">
        <v>28</v>
      </c>
      <c r="D37" s="132" t="s">
        <v>0</v>
      </c>
      <c r="E37" s="132" t="s">
        <v>0</v>
      </c>
      <c r="F37" s="132" t="s">
        <v>0</v>
      </c>
      <c r="G37" s="132" t="s">
        <v>0</v>
      </c>
      <c r="H37" s="132" t="s">
        <v>0</v>
      </c>
      <c r="I37" s="132" t="s">
        <v>0</v>
      </c>
      <c r="J37" s="132" t="s">
        <v>0</v>
      </c>
      <c r="K37" s="132" t="s">
        <v>0</v>
      </c>
      <c r="L37" s="132" t="s">
        <v>0</v>
      </c>
      <c r="M37" s="132" t="s">
        <v>0</v>
      </c>
      <c r="N37" s="132" t="s">
        <v>0</v>
      </c>
      <c r="O37" s="132" t="s">
        <v>0</v>
      </c>
      <c r="P37" s="132" t="s">
        <v>0</v>
      </c>
      <c r="Q37" s="132" t="s">
        <v>0</v>
      </c>
      <c r="R37" s="132" t="s">
        <v>0</v>
      </c>
      <c r="S37" s="132"/>
    </row>
    <row r="38" spans="1:19" x14ac:dyDescent="0.2">
      <c r="A38" s="17">
        <f t="shared" si="1"/>
        <v>29</v>
      </c>
      <c r="B38" s="18" t="s">
        <v>110</v>
      </c>
      <c r="C38" s="290">
        <v>29</v>
      </c>
      <c r="D38" s="132" t="s">
        <v>0</v>
      </c>
      <c r="E38" s="132" t="s">
        <v>0</v>
      </c>
      <c r="F38" s="132" t="s">
        <v>0</v>
      </c>
      <c r="G38" s="132" t="s">
        <v>0</v>
      </c>
      <c r="H38" s="132" t="s">
        <v>0</v>
      </c>
      <c r="I38" s="132" t="s">
        <v>0</v>
      </c>
      <c r="J38" s="132" t="s">
        <v>0</v>
      </c>
      <c r="K38" s="132" t="s">
        <v>0</v>
      </c>
      <c r="L38" s="132" t="s">
        <v>0</v>
      </c>
      <c r="M38" s="132" t="s">
        <v>0</v>
      </c>
      <c r="N38" s="132" t="s">
        <v>0</v>
      </c>
      <c r="O38" s="132" t="s">
        <v>0</v>
      </c>
      <c r="P38" s="132" t="s">
        <v>0</v>
      </c>
      <c r="Q38" s="132" t="s">
        <v>0</v>
      </c>
      <c r="R38" s="132" t="s">
        <v>0</v>
      </c>
      <c r="S38" s="132"/>
    </row>
    <row r="39" spans="1:19" x14ac:dyDescent="0.2">
      <c r="A39" s="17">
        <f t="shared" si="1"/>
        <v>30</v>
      </c>
      <c r="B39" s="18" t="s">
        <v>111</v>
      </c>
      <c r="C39" s="290">
        <v>30</v>
      </c>
      <c r="D39" s="132" t="s">
        <v>0</v>
      </c>
      <c r="E39" s="132" t="s">
        <v>0</v>
      </c>
      <c r="F39" s="132" t="s">
        <v>0</v>
      </c>
      <c r="G39" s="132" t="s">
        <v>0</v>
      </c>
      <c r="H39" s="132" t="s">
        <v>0</v>
      </c>
      <c r="I39" s="132" t="s">
        <v>0</v>
      </c>
      <c r="J39" s="132" t="s">
        <v>0</v>
      </c>
      <c r="K39" s="132" t="s">
        <v>0</v>
      </c>
      <c r="L39" s="132" t="s">
        <v>0</v>
      </c>
      <c r="M39" s="132" t="s">
        <v>0</v>
      </c>
      <c r="N39" s="132" t="s">
        <v>0</v>
      </c>
      <c r="O39" s="132" t="s">
        <v>0</v>
      </c>
      <c r="P39" s="132" t="s">
        <v>0</v>
      </c>
      <c r="Q39" s="132" t="s">
        <v>0</v>
      </c>
      <c r="R39" s="132" t="s">
        <v>0</v>
      </c>
      <c r="S39" s="132"/>
    </row>
    <row r="40" spans="1:19" x14ac:dyDescent="0.2">
      <c r="A40" s="17">
        <f t="shared" si="1"/>
        <v>31</v>
      </c>
      <c r="B40" s="18" t="s">
        <v>112</v>
      </c>
      <c r="C40" s="290">
        <v>31</v>
      </c>
      <c r="D40" s="132"/>
      <c r="E40" s="132"/>
      <c r="F40" s="132"/>
      <c r="G40" s="132"/>
      <c r="H40" s="132"/>
      <c r="I40" s="132"/>
      <c r="J40" s="132"/>
      <c r="K40" s="132"/>
      <c r="L40" s="132"/>
      <c r="M40" s="132"/>
      <c r="N40" s="132"/>
      <c r="O40" s="132"/>
      <c r="P40" s="132"/>
      <c r="Q40" s="132"/>
      <c r="R40" s="132"/>
      <c r="S40" s="132"/>
    </row>
    <row r="41" spans="1:19" x14ac:dyDescent="0.2">
      <c r="A41" s="19"/>
      <c r="B41" s="20" t="s">
        <v>32</v>
      </c>
      <c r="C41" s="285">
        <v>41</v>
      </c>
      <c r="D41" s="286">
        <f>SUM(D10:D40)</f>
        <v>0</v>
      </c>
      <c r="E41" s="286">
        <f>SUM(E10:E40)</f>
        <v>0</v>
      </c>
      <c r="F41" s="286">
        <f t="shared" ref="F41:S41" si="2">SUM(F10:F40)</f>
        <v>0</v>
      </c>
      <c r="G41" s="286">
        <f>SUM(G10:G40)</f>
        <v>0</v>
      </c>
      <c r="H41" s="286">
        <f t="shared" si="2"/>
        <v>0</v>
      </c>
      <c r="I41" s="286">
        <f t="shared" si="2"/>
        <v>0</v>
      </c>
      <c r="J41" s="286">
        <f t="shared" si="2"/>
        <v>0</v>
      </c>
      <c r="K41" s="286">
        <f>SUM(K10:K40)</f>
        <v>0</v>
      </c>
      <c r="L41" s="286">
        <f>SUM(L10:L40)</f>
        <v>0</v>
      </c>
      <c r="M41" s="286">
        <f t="shared" si="2"/>
        <v>0</v>
      </c>
      <c r="N41" s="286">
        <f t="shared" si="2"/>
        <v>0</v>
      </c>
      <c r="O41" s="286">
        <f t="shared" si="2"/>
        <v>0</v>
      </c>
      <c r="P41" s="286">
        <f t="shared" si="2"/>
        <v>0</v>
      </c>
      <c r="Q41" s="286">
        <f>SUM(Q10:Q40)</f>
        <v>0</v>
      </c>
      <c r="R41" s="286">
        <f t="shared" si="2"/>
        <v>0</v>
      </c>
      <c r="S41" s="286">
        <f t="shared" si="2"/>
        <v>0</v>
      </c>
    </row>
    <row r="43" spans="1:19" x14ac:dyDescent="0.2">
      <c r="D43" s="288">
        <f>D41-i.04130!E46</f>
        <v>0</v>
      </c>
      <c r="E43" s="288">
        <f>E41-i.04130!E16</f>
        <v>0</v>
      </c>
      <c r="F43" s="288">
        <f>F41-i.04130!E37</f>
        <v>0</v>
      </c>
      <c r="G43" s="288">
        <f>G41-i.04130!E43</f>
        <v>0</v>
      </c>
      <c r="H43" s="288">
        <f>H41-i.04131!E10</f>
        <v>0</v>
      </c>
      <c r="I43" s="289"/>
      <c r="J43" s="288">
        <f>J41-i.04131!E17</f>
        <v>0</v>
      </c>
      <c r="K43" s="289"/>
      <c r="L43" s="288">
        <f>L41-i.04131!E64</f>
        <v>0</v>
      </c>
      <c r="M43" s="289"/>
      <c r="N43" s="289"/>
      <c r="O43" s="289"/>
      <c r="P43" s="289"/>
      <c r="Q43" s="289"/>
      <c r="R43" s="289"/>
      <c r="S43" s="289"/>
    </row>
    <row r="44" spans="1:19" x14ac:dyDescent="0.2">
      <c r="B44" s="2" t="s">
        <v>285</v>
      </c>
      <c r="C44" s="272"/>
      <c r="D44" s="4"/>
      <c r="E44" s="4"/>
    </row>
    <row r="45" spans="1:19" x14ac:dyDescent="0.2">
      <c r="B45" s="5"/>
      <c r="C45" s="272"/>
      <c r="D45" s="4"/>
      <c r="E45" s="4"/>
    </row>
    <row r="46" spans="1:19" x14ac:dyDescent="0.2">
      <c r="B46" s="5" t="s">
        <v>286</v>
      </c>
      <c r="C46" s="272"/>
      <c r="D46" s="4"/>
      <c r="E46" s="4"/>
    </row>
    <row r="47" spans="1:19" x14ac:dyDescent="0.2">
      <c r="B47" s="5"/>
      <c r="C47" s="272"/>
      <c r="D47" s="4"/>
      <c r="E47" s="4"/>
    </row>
    <row r="48" spans="1:19" x14ac:dyDescent="0.2">
      <c r="B48" s="6" t="s">
        <v>287</v>
      </c>
      <c r="C48" s="520" t="s">
        <v>288</v>
      </c>
      <c r="D48" s="520"/>
      <c r="E48" s="4" t="s">
        <v>289</v>
      </c>
    </row>
    <row r="49" spans="2:5" x14ac:dyDescent="0.2">
      <c r="B49" s="5"/>
      <c r="C49" s="520"/>
      <c r="D49" s="520"/>
      <c r="E49" s="4"/>
    </row>
    <row r="50" spans="2:5" x14ac:dyDescent="0.2">
      <c r="B50" s="6" t="s">
        <v>290</v>
      </c>
      <c r="C50" s="520" t="s">
        <v>291</v>
      </c>
      <c r="D50" s="520"/>
      <c r="E50" s="4" t="s">
        <v>292</v>
      </c>
    </row>
    <row r="51" spans="2:5" x14ac:dyDescent="0.2">
      <c r="B51" s="5"/>
      <c r="C51" s="520"/>
      <c r="D51" s="520"/>
      <c r="E51" s="4"/>
    </row>
    <row r="52" spans="2:5" ht="25.5" x14ac:dyDescent="0.2">
      <c r="B52" s="6" t="s">
        <v>293</v>
      </c>
      <c r="C52" s="520" t="s">
        <v>288</v>
      </c>
      <c r="D52" s="520"/>
      <c r="E52" s="4" t="s">
        <v>292</v>
      </c>
    </row>
  </sheetData>
  <sheetProtection password="CA9F" sheet="1" objects="1" scenarios="1"/>
  <mergeCells count="23">
    <mergeCell ref="A7:A8"/>
    <mergeCell ref="B7:B8"/>
    <mergeCell ref="C7:C8"/>
    <mergeCell ref="D7:D8"/>
    <mergeCell ref="E7:G7"/>
    <mergeCell ref="L1:S2"/>
    <mergeCell ref="A3:R3"/>
    <mergeCell ref="A5:D5"/>
    <mergeCell ref="H5:K5"/>
    <mergeCell ref="R5:S5"/>
    <mergeCell ref="C52:D52"/>
    <mergeCell ref="N7:P7"/>
    <mergeCell ref="Q7:S7"/>
    <mergeCell ref="C48:D48"/>
    <mergeCell ref="C49:D49"/>
    <mergeCell ref="C50:D50"/>
    <mergeCell ref="C51:D51"/>
    <mergeCell ref="H7:H8"/>
    <mergeCell ref="I7:I8"/>
    <mergeCell ref="J7:J8"/>
    <mergeCell ref="K7:K8"/>
    <mergeCell ref="L7:L8"/>
    <mergeCell ref="M7:M8"/>
  </mergeCells>
  <dataValidations count="1">
    <dataValidation type="whole" allowBlank="1" showInputMessage="1" showErrorMessage="1" sqref="R6:S6" xr:uid="{82DAB50D-53A4-45DB-B303-A752C0858738}">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71"/>
  <sheetViews>
    <sheetView zoomScaleNormal="100" zoomScalePageLayoutView="60" workbookViewId="0">
      <selection activeCell="A5" sqref="A5:D5"/>
    </sheetView>
  </sheetViews>
  <sheetFormatPr defaultRowHeight="12.75" x14ac:dyDescent="0.2"/>
  <cols>
    <col min="1" max="1" width="11.5703125" style="287"/>
    <col min="2" max="2" width="62.140625" style="287"/>
    <col min="3" max="3" width="19.85546875" style="287"/>
    <col min="4" max="7" width="28.7109375" style="287" customWidth="1"/>
    <col min="8" max="8" width="6.5703125" style="287" customWidth="1"/>
    <col min="9" max="1025" width="11.5703125" style="287"/>
    <col min="1026" max="16384" width="9.140625" style="287"/>
  </cols>
  <sheetData>
    <row r="1" spans="1:8" x14ac:dyDescent="0.2">
      <c r="A1" s="4"/>
      <c r="B1" s="271"/>
      <c r="C1" s="21"/>
      <c r="D1" s="531" t="s">
        <v>436</v>
      </c>
      <c r="E1" s="531"/>
      <c r="F1" s="531"/>
      <c r="G1" s="531"/>
      <c r="H1" s="294"/>
    </row>
    <row r="2" spans="1:8" x14ac:dyDescent="0.2">
      <c r="A2" s="4"/>
      <c r="B2" s="21"/>
      <c r="C2" s="21"/>
      <c r="D2" s="531"/>
      <c r="E2" s="531"/>
      <c r="F2" s="531"/>
      <c r="G2" s="531"/>
      <c r="H2" s="294"/>
    </row>
    <row r="3" spans="1:8" x14ac:dyDescent="0.2">
      <c r="A3" s="532" t="s">
        <v>437</v>
      </c>
      <c r="B3" s="532"/>
      <c r="C3" s="532"/>
      <c r="D3" s="532"/>
      <c r="E3" s="532"/>
      <c r="F3" s="532"/>
      <c r="G3" s="532"/>
      <c r="H3" s="294"/>
    </row>
    <row r="4" spans="1:8" x14ac:dyDescent="0.2">
      <c r="A4" s="294"/>
      <c r="B4" s="295"/>
      <c r="C4" s="294"/>
      <c r="D4" s="294"/>
      <c r="E4" s="294"/>
      <c r="F4" s="294"/>
      <c r="G4" s="294"/>
      <c r="H4" s="294"/>
    </row>
    <row r="5" spans="1:8" x14ac:dyDescent="0.2">
      <c r="A5" s="528" t="s">
        <v>277</v>
      </c>
      <c r="B5" s="529"/>
      <c r="C5" s="529"/>
      <c r="D5" s="529"/>
      <c r="E5" s="294"/>
      <c r="F5" s="517" t="s">
        <v>278</v>
      </c>
      <c r="G5" s="517"/>
      <c r="H5" s="294"/>
    </row>
    <row r="6" spans="1:8" x14ac:dyDescent="0.2">
      <c r="A6" s="294"/>
      <c r="B6" s="295"/>
      <c r="C6" s="294"/>
      <c r="D6" s="294"/>
      <c r="E6" s="294"/>
      <c r="F6" s="271"/>
      <c r="G6" s="291" t="s">
        <v>279</v>
      </c>
      <c r="H6" s="294"/>
    </row>
    <row r="7" spans="1:8" x14ac:dyDescent="0.2">
      <c r="A7" s="22" t="s">
        <v>280</v>
      </c>
      <c r="B7" s="22" t="s">
        <v>113</v>
      </c>
      <c r="C7" s="22" t="s">
        <v>295</v>
      </c>
      <c r="D7" s="22" t="s">
        <v>114</v>
      </c>
      <c r="E7" s="22" t="s">
        <v>115</v>
      </c>
      <c r="F7" s="23" t="s">
        <v>116</v>
      </c>
      <c r="G7" s="23" t="s">
        <v>117</v>
      </c>
      <c r="H7" s="294"/>
    </row>
    <row r="8" spans="1:8" x14ac:dyDescent="0.2">
      <c r="A8" s="24" t="s">
        <v>282</v>
      </c>
      <c r="B8" s="24" t="s">
        <v>283</v>
      </c>
      <c r="C8" s="24" t="s">
        <v>297</v>
      </c>
      <c r="D8" s="24">
        <v>1</v>
      </c>
      <c r="E8" s="24">
        <v>2</v>
      </c>
      <c r="F8" s="25">
        <v>3</v>
      </c>
      <c r="G8" s="25">
        <v>4</v>
      </c>
      <c r="H8" s="294"/>
    </row>
    <row r="9" spans="1:8" x14ac:dyDescent="0.2">
      <c r="A9" s="26"/>
      <c r="B9" s="27" t="s">
        <v>22</v>
      </c>
      <c r="C9" s="26">
        <v>1</v>
      </c>
      <c r="D9" s="28">
        <f>SUM(D10:D29)</f>
        <v>0</v>
      </c>
      <c r="E9" s="28">
        <f t="shared" ref="E9:G9" si="0">SUM(E10:E29)</f>
        <v>0</v>
      </c>
      <c r="F9" s="28">
        <f t="shared" si="0"/>
        <v>0</v>
      </c>
      <c r="G9" s="28">
        <f t="shared" si="0"/>
        <v>0</v>
      </c>
      <c r="H9" s="294"/>
    </row>
    <row r="10" spans="1:8" x14ac:dyDescent="0.2">
      <c r="A10" s="293">
        <v>1</v>
      </c>
      <c r="B10" s="29" t="s">
        <v>438</v>
      </c>
      <c r="C10" s="293">
        <v>2</v>
      </c>
      <c r="D10" s="30"/>
      <c r="E10" s="30"/>
      <c r="F10" s="30"/>
      <c r="G10" s="30"/>
      <c r="H10" s="294"/>
    </row>
    <row r="11" spans="1:8" x14ac:dyDescent="0.2">
      <c r="A11" s="293">
        <f>+A10+1</f>
        <v>2</v>
      </c>
      <c r="B11" s="29" t="s">
        <v>438</v>
      </c>
      <c r="C11" s="293">
        <v>3</v>
      </c>
      <c r="D11" s="30"/>
      <c r="E11" s="30"/>
      <c r="F11" s="30"/>
      <c r="G11" s="30"/>
      <c r="H11" s="294"/>
    </row>
    <row r="12" spans="1:8" x14ac:dyDescent="0.2">
      <c r="A12" s="293">
        <f t="shared" ref="A12:A60" si="1">+A11+1</f>
        <v>3</v>
      </c>
      <c r="B12" s="29" t="s">
        <v>438</v>
      </c>
      <c r="C12" s="293">
        <v>4</v>
      </c>
      <c r="D12" s="30"/>
      <c r="E12" s="30"/>
      <c r="F12" s="30"/>
      <c r="G12" s="30"/>
      <c r="H12" s="294" t="s">
        <v>0</v>
      </c>
    </row>
    <row r="13" spans="1:8" x14ac:dyDescent="0.2">
      <c r="A13" s="293">
        <f t="shared" si="1"/>
        <v>4</v>
      </c>
      <c r="B13" s="29" t="s">
        <v>438</v>
      </c>
      <c r="C13" s="293">
        <v>5</v>
      </c>
      <c r="D13" s="30"/>
      <c r="E13" s="30"/>
      <c r="F13" s="30"/>
      <c r="G13" s="30"/>
      <c r="H13" s="294"/>
    </row>
    <row r="14" spans="1:8" x14ac:dyDescent="0.2">
      <c r="A14" s="293">
        <f t="shared" si="1"/>
        <v>5</v>
      </c>
      <c r="B14" s="29" t="s">
        <v>438</v>
      </c>
      <c r="C14" s="293">
        <v>6</v>
      </c>
      <c r="D14" s="30"/>
      <c r="E14" s="30"/>
      <c r="F14" s="30"/>
      <c r="G14" s="30"/>
      <c r="H14" s="294"/>
    </row>
    <row r="15" spans="1:8" x14ac:dyDescent="0.2">
      <c r="A15" s="293">
        <f t="shared" si="1"/>
        <v>6</v>
      </c>
      <c r="B15" s="29" t="s">
        <v>438</v>
      </c>
      <c r="C15" s="293">
        <v>7</v>
      </c>
      <c r="D15" s="30"/>
      <c r="E15" s="30"/>
      <c r="F15" s="30"/>
      <c r="G15" s="30"/>
    </row>
    <row r="16" spans="1:8" x14ac:dyDescent="0.2">
      <c r="A16" s="293">
        <f t="shared" si="1"/>
        <v>7</v>
      </c>
      <c r="B16" s="29" t="s">
        <v>438</v>
      </c>
      <c r="C16" s="293">
        <v>8</v>
      </c>
      <c r="D16" s="30"/>
      <c r="E16" s="30"/>
      <c r="F16" s="30"/>
      <c r="G16" s="30"/>
    </row>
    <row r="17" spans="1:7" x14ac:dyDescent="0.2">
      <c r="A17" s="293">
        <f t="shared" si="1"/>
        <v>8</v>
      </c>
      <c r="B17" s="29" t="s">
        <v>438</v>
      </c>
      <c r="C17" s="293">
        <v>9</v>
      </c>
      <c r="D17" s="30"/>
      <c r="E17" s="30"/>
      <c r="F17" s="30"/>
      <c r="G17" s="30"/>
    </row>
    <row r="18" spans="1:7" x14ac:dyDescent="0.2">
      <c r="A18" s="293">
        <f>+A17+1</f>
        <v>9</v>
      </c>
      <c r="B18" s="29" t="s">
        <v>438</v>
      </c>
      <c r="C18" s="293">
        <v>10</v>
      </c>
      <c r="D18" s="30"/>
      <c r="E18" s="30"/>
      <c r="F18" s="30"/>
      <c r="G18" s="30"/>
    </row>
    <row r="19" spans="1:7" x14ac:dyDescent="0.2">
      <c r="A19" s="293">
        <f t="shared" si="1"/>
        <v>10</v>
      </c>
      <c r="B19" s="29" t="s">
        <v>438</v>
      </c>
      <c r="C19" s="293">
        <v>11</v>
      </c>
      <c r="D19" s="30"/>
      <c r="E19" s="30"/>
      <c r="F19" s="30"/>
      <c r="G19" s="30"/>
    </row>
    <row r="20" spans="1:7" x14ac:dyDescent="0.2">
      <c r="A20" s="293">
        <f t="shared" si="1"/>
        <v>11</v>
      </c>
      <c r="B20" s="29" t="s">
        <v>438</v>
      </c>
      <c r="C20" s="293">
        <v>12</v>
      </c>
      <c r="D20" s="30"/>
      <c r="E20" s="30"/>
      <c r="F20" s="30"/>
      <c r="G20" s="30"/>
    </row>
    <row r="21" spans="1:7" x14ac:dyDescent="0.2">
      <c r="A21" s="293">
        <f t="shared" si="1"/>
        <v>12</v>
      </c>
      <c r="B21" s="29" t="s">
        <v>438</v>
      </c>
      <c r="C21" s="293">
        <v>13</v>
      </c>
      <c r="D21" s="30"/>
      <c r="E21" s="30"/>
      <c r="F21" s="30"/>
      <c r="G21" s="30"/>
    </row>
    <row r="22" spans="1:7" x14ac:dyDescent="0.2">
      <c r="A22" s="293">
        <f t="shared" si="1"/>
        <v>13</v>
      </c>
      <c r="B22" s="29" t="s">
        <v>438</v>
      </c>
      <c r="C22" s="293">
        <v>14</v>
      </c>
      <c r="D22" s="30"/>
      <c r="E22" s="30"/>
      <c r="F22" s="30"/>
      <c r="G22" s="30"/>
    </row>
    <row r="23" spans="1:7" x14ac:dyDescent="0.2">
      <c r="A23" s="293">
        <f t="shared" si="1"/>
        <v>14</v>
      </c>
      <c r="B23" s="29" t="s">
        <v>438</v>
      </c>
      <c r="C23" s="293">
        <v>15</v>
      </c>
      <c r="D23" s="30"/>
      <c r="E23" s="30"/>
      <c r="F23" s="30"/>
      <c r="G23" s="30"/>
    </row>
    <row r="24" spans="1:7" x14ac:dyDescent="0.2">
      <c r="A24" s="293">
        <f t="shared" si="1"/>
        <v>15</v>
      </c>
      <c r="B24" s="29" t="s">
        <v>438</v>
      </c>
      <c r="C24" s="293">
        <v>16</v>
      </c>
      <c r="D24" s="30"/>
      <c r="E24" s="30"/>
      <c r="F24" s="30"/>
      <c r="G24" s="30"/>
    </row>
    <row r="25" spans="1:7" x14ac:dyDescent="0.2">
      <c r="A25" s="293">
        <f t="shared" si="1"/>
        <v>16</v>
      </c>
      <c r="B25" s="29" t="s">
        <v>438</v>
      </c>
      <c r="C25" s="293">
        <v>17</v>
      </c>
      <c r="D25" s="30"/>
      <c r="E25" s="30"/>
      <c r="F25" s="30"/>
      <c r="G25" s="30"/>
    </row>
    <row r="26" spans="1:7" x14ac:dyDescent="0.2">
      <c r="A26" s="293">
        <f t="shared" si="1"/>
        <v>17</v>
      </c>
      <c r="B26" s="29" t="s">
        <v>438</v>
      </c>
      <c r="C26" s="293">
        <v>18</v>
      </c>
      <c r="D26" s="30"/>
      <c r="E26" s="30"/>
      <c r="F26" s="30"/>
      <c r="G26" s="30"/>
    </row>
    <row r="27" spans="1:7" x14ac:dyDescent="0.2">
      <c r="A27" s="293">
        <f t="shared" si="1"/>
        <v>18</v>
      </c>
      <c r="B27" s="29" t="s">
        <v>438</v>
      </c>
      <c r="C27" s="293">
        <v>19</v>
      </c>
      <c r="D27" s="30"/>
      <c r="E27" s="30"/>
      <c r="F27" s="30"/>
      <c r="G27" s="30"/>
    </row>
    <row r="28" spans="1:7" x14ac:dyDescent="0.2">
      <c r="A28" s="293">
        <f t="shared" si="1"/>
        <v>19</v>
      </c>
      <c r="B28" s="29" t="s">
        <v>438</v>
      </c>
      <c r="C28" s="293">
        <v>20</v>
      </c>
      <c r="D28" s="30"/>
      <c r="E28" s="30"/>
      <c r="F28" s="30"/>
      <c r="G28" s="30"/>
    </row>
    <row r="29" spans="1:7" x14ac:dyDescent="0.2">
      <c r="A29" s="292">
        <f t="shared" si="1"/>
        <v>20</v>
      </c>
      <c r="B29" s="31" t="s">
        <v>438</v>
      </c>
      <c r="C29" s="292">
        <v>21</v>
      </c>
      <c r="D29" s="32"/>
      <c r="E29" s="32"/>
      <c r="F29" s="32"/>
      <c r="G29" s="32"/>
    </row>
    <row r="30" spans="1:7" x14ac:dyDescent="0.2">
      <c r="A30" s="292">
        <f t="shared" si="1"/>
        <v>21</v>
      </c>
      <c r="B30" s="34"/>
      <c r="C30" s="293">
        <v>22</v>
      </c>
      <c r="D30" s="35"/>
      <c r="E30" s="35"/>
      <c r="F30" s="35"/>
      <c r="G30" s="35"/>
    </row>
    <row r="31" spans="1:7" x14ac:dyDescent="0.2">
      <c r="A31" s="292">
        <f t="shared" si="1"/>
        <v>22</v>
      </c>
      <c r="B31" s="33"/>
      <c r="C31" s="293">
        <v>23</v>
      </c>
      <c r="D31" s="36"/>
      <c r="E31" s="36"/>
      <c r="F31" s="36"/>
      <c r="G31" s="36"/>
    </row>
    <row r="32" spans="1:7" x14ac:dyDescent="0.2">
      <c r="A32" s="292">
        <f t="shared" si="1"/>
        <v>23</v>
      </c>
      <c r="B32" s="37"/>
      <c r="C32" s="292">
        <v>24</v>
      </c>
      <c r="D32" s="38"/>
      <c r="E32" s="38"/>
      <c r="F32" s="39"/>
      <c r="G32" s="39"/>
    </row>
    <row r="33" spans="1:7" x14ac:dyDescent="0.2">
      <c r="A33" s="292">
        <f t="shared" si="1"/>
        <v>24</v>
      </c>
      <c r="B33" s="158"/>
      <c r="C33" s="293">
        <v>25</v>
      </c>
      <c r="D33" s="159"/>
      <c r="E33" s="159"/>
      <c r="F33" s="39"/>
      <c r="G33" s="39"/>
    </row>
    <row r="34" spans="1:7" x14ac:dyDescent="0.2">
      <c r="A34" s="292">
        <f t="shared" si="1"/>
        <v>25</v>
      </c>
      <c r="B34" s="158"/>
      <c r="C34" s="293">
        <v>26</v>
      </c>
      <c r="D34" s="159"/>
      <c r="E34" s="159"/>
      <c r="F34" s="40"/>
      <c r="G34" s="40"/>
    </row>
    <row r="35" spans="1:7" x14ac:dyDescent="0.2">
      <c r="A35" s="292">
        <f t="shared" si="1"/>
        <v>26</v>
      </c>
      <c r="B35" s="158"/>
      <c r="C35" s="292">
        <v>27</v>
      </c>
      <c r="D35" s="159"/>
      <c r="E35" s="159"/>
      <c r="F35" s="39"/>
      <c r="G35" s="39"/>
    </row>
    <row r="36" spans="1:7" x14ac:dyDescent="0.2">
      <c r="A36" s="292">
        <f t="shared" si="1"/>
        <v>27</v>
      </c>
      <c r="B36" s="158"/>
      <c r="C36" s="293">
        <v>28</v>
      </c>
      <c r="D36" s="159"/>
      <c r="E36" s="159"/>
      <c r="F36" s="39"/>
      <c r="G36" s="39"/>
    </row>
    <row r="37" spans="1:7" x14ac:dyDescent="0.2">
      <c r="A37" s="292">
        <f t="shared" si="1"/>
        <v>28</v>
      </c>
      <c r="B37" s="158"/>
      <c r="C37" s="293">
        <v>29</v>
      </c>
      <c r="D37" s="159"/>
      <c r="E37" s="159"/>
      <c r="F37" s="36"/>
      <c r="G37" s="36"/>
    </row>
    <row r="38" spans="1:7" x14ac:dyDescent="0.2">
      <c r="A38" s="292">
        <f t="shared" si="1"/>
        <v>29</v>
      </c>
      <c r="B38" s="158"/>
      <c r="C38" s="292">
        <v>30</v>
      </c>
      <c r="D38" s="159"/>
      <c r="E38" s="159"/>
      <c r="F38" s="36"/>
      <c r="G38" s="36"/>
    </row>
    <row r="39" spans="1:7" x14ac:dyDescent="0.2">
      <c r="A39" s="292">
        <f t="shared" si="1"/>
        <v>30</v>
      </c>
      <c r="B39" s="158"/>
      <c r="C39" s="293">
        <v>31</v>
      </c>
      <c r="D39" s="159"/>
      <c r="E39" s="159"/>
      <c r="F39" s="36"/>
      <c r="G39" s="36"/>
    </row>
    <row r="40" spans="1:7" x14ac:dyDescent="0.2">
      <c r="A40" s="292">
        <f t="shared" si="1"/>
        <v>31</v>
      </c>
      <c r="B40" s="158"/>
      <c r="C40" s="293">
        <v>32</v>
      </c>
      <c r="D40" s="159"/>
      <c r="E40" s="159"/>
      <c r="F40" s="36"/>
      <c r="G40" s="36"/>
    </row>
    <row r="41" spans="1:7" x14ac:dyDescent="0.2">
      <c r="A41" s="292">
        <f t="shared" si="1"/>
        <v>32</v>
      </c>
      <c r="B41" s="158"/>
      <c r="C41" s="292">
        <v>33</v>
      </c>
      <c r="D41" s="159"/>
      <c r="E41" s="159"/>
      <c r="F41" s="159"/>
      <c r="G41" s="159"/>
    </row>
    <row r="42" spans="1:7" x14ac:dyDescent="0.2">
      <c r="A42" s="292">
        <f t="shared" si="1"/>
        <v>33</v>
      </c>
      <c r="B42" s="34"/>
      <c r="C42" s="293">
        <v>34</v>
      </c>
      <c r="D42" s="36"/>
      <c r="E42" s="36"/>
      <c r="F42" s="36"/>
      <c r="G42" s="36"/>
    </row>
    <row r="43" spans="1:7" x14ac:dyDescent="0.2">
      <c r="A43" s="292">
        <f t="shared" si="1"/>
        <v>34</v>
      </c>
      <c r="B43" s="34"/>
      <c r="C43" s="293">
        <v>35</v>
      </c>
      <c r="D43" s="36"/>
      <c r="E43" s="36"/>
      <c r="F43" s="36"/>
      <c r="G43" s="36"/>
    </row>
    <row r="44" spans="1:7" x14ac:dyDescent="0.2">
      <c r="A44" s="292">
        <f t="shared" si="1"/>
        <v>35</v>
      </c>
      <c r="B44" s="34"/>
      <c r="C44" s="292">
        <v>36</v>
      </c>
      <c r="D44" s="36"/>
      <c r="E44" s="36"/>
      <c r="F44" s="36"/>
      <c r="G44" s="36"/>
    </row>
    <row r="45" spans="1:7" x14ac:dyDescent="0.2">
      <c r="A45" s="292">
        <f t="shared" si="1"/>
        <v>36</v>
      </c>
      <c r="B45" s="34"/>
      <c r="C45" s="293">
        <v>37</v>
      </c>
      <c r="D45" s="36"/>
      <c r="E45" s="36"/>
      <c r="F45" s="36"/>
      <c r="G45" s="36"/>
    </row>
    <row r="46" spans="1:7" x14ac:dyDescent="0.2">
      <c r="A46" s="292">
        <f t="shared" si="1"/>
        <v>37</v>
      </c>
      <c r="B46" s="34"/>
      <c r="C46" s="293">
        <v>38</v>
      </c>
      <c r="D46" s="36"/>
      <c r="E46" s="36"/>
      <c r="F46" s="36"/>
      <c r="G46" s="36"/>
    </row>
    <row r="47" spans="1:7" x14ac:dyDescent="0.2">
      <c r="A47" s="292">
        <f t="shared" si="1"/>
        <v>38</v>
      </c>
      <c r="B47" s="34"/>
      <c r="C47" s="292">
        <v>39</v>
      </c>
      <c r="D47" s="36"/>
      <c r="E47" s="36"/>
      <c r="F47" s="36"/>
      <c r="G47" s="36"/>
    </row>
    <row r="48" spans="1:7" x14ac:dyDescent="0.2">
      <c r="A48" s="292">
        <f t="shared" si="1"/>
        <v>39</v>
      </c>
      <c r="B48" s="34"/>
      <c r="C48" s="293">
        <v>40</v>
      </c>
      <c r="D48" s="36"/>
      <c r="E48" s="36"/>
      <c r="F48" s="36"/>
      <c r="G48" s="36"/>
    </row>
    <row r="49" spans="1:7" x14ac:dyDescent="0.2">
      <c r="A49" s="292">
        <f t="shared" si="1"/>
        <v>40</v>
      </c>
      <c r="B49" s="34"/>
      <c r="C49" s="293">
        <v>41</v>
      </c>
      <c r="D49" s="36"/>
      <c r="E49" s="36"/>
      <c r="F49" s="36"/>
      <c r="G49" s="36"/>
    </row>
    <row r="50" spans="1:7" x14ac:dyDescent="0.2">
      <c r="A50" s="292">
        <f t="shared" si="1"/>
        <v>41</v>
      </c>
      <c r="B50" s="34"/>
      <c r="C50" s="292">
        <v>42</v>
      </c>
      <c r="D50" s="36"/>
      <c r="E50" s="36"/>
      <c r="F50" s="36"/>
      <c r="G50" s="36"/>
    </row>
    <row r="51" spans="1:7" x14ac:dyDescent="0.2">
      <c r="A51" s="292">
        <f t="shared" si="1"/>
        <v>42</v>
      </c>
      <c r="B51" s="34"/>
      <c r="C51" s="293">
        <v>43</v>
      </c>
      <c r="D51" s="36"/>
      <c r="E51" s="36"/>
      <c r="F51" s="36"/>
      <c r="G51" s="36"/>
    </row>
    <row r="52" spans="1:7" x14ac:dyDescent="0.2">
      <c r="A52" s="292">
        <f t="shared" si="1"/>
        <v>43</v>
      </c>
      <c r="B52" s="158"/>
      <c r="C52" s="293">
        <v>44</v>
      </c>
      <c r="D52" s="159"/>
      <c r="E52" s="159"/>
      <c r="F52" s="36"/>
      <c r="G52" s="36"/>
    </row>
    <row r="53" spans="1:7" x14ac:dyDescent="0.2">
      <c r="A53" s="292">
        <f t="shared" si="1"/>
        <v>44</v>
      </c>
      <c r="B53" s="158"/>
      <c r="C53" s="292">
        <v>45</v>
      </c>
      <c r="D53" s="159"/>
      <c r="E53" s="159"/>
      <c r="F53" s="36"/>
      <c r="G53" s="36"/>
    </row>
    <row r="54" spans="1:7" x14ac:dyDescent="0.2">
      <c r="A54" s="292">
        <f t="shared" si="1"/>
        <v>45</v>
      </c>
      <c r="B54" s="158"/>
      <c r="C54" s="293">
        <v>46</v>
      </c>
      <c r="D54" s="159"/>
      <c r="E54" s="159"/>
      <c r="F54" s="36"/>
      <c r="G54" s="36"/>
    </row>
    <row r="55" spans="1:7" x14ac:dyDescent="0.2">
      <c r="A55" s="292">
        <f t="shared" si="1"/>
        <v>46</v>
      </c>
      <c r="B55" s="158"/>
      <c r="C55" s="293">
        <v>47</v>
      </c>
      <c r="D55" s="159"/>
      <c r="E55" s="159"/>
      <c r="F55" s="36"/>
      <c r="G55" s="36"/>
    </row>
    <row r="56" spans="1:7" x14ac:dyDescent="0.2">
      <c r="A56" s="292">
        <f t="shared" si="1"/>
        <v>47</v>
      </c>
      <c r="B56" s="158"/>
      <c r="C56" s="292">
        <v>48</v>
      </c>
      <c r="D56" s="159"/>
      <c r="E56" s="159"/>
      <c r="F56" s="36"/>
      <c r="G56" s="36"/>
    </row>
    <row r="57" spans="1:7" x14ac:dyDescent="0.2">
      <c r="A57" s="292">
        <f t="shared" si="1"/>
        <v>48</v>
      </c>
      <c r="B57" s="158"/>
      <c r="C57" s="293">
        <v>49</v>
      </c>
      <c r="D57" s="159"/>
      <c r="E57" s="159"/>
      <c r="F57" s="36"/>
      <c r="G57" s="36"/>
    </row>
    <row r="58" spans="1:7" x14ac:dyDescent="0.2">
      <c r="A58" s="292">
        <f t="shared" si="1"/>
        <v>49</v>
      </c>
      <c r="B58" s="158"/>
      <c r="C58" s="293">
        <v>50</v>
      </c>
      <c r="D58" s="159"/>
      <c r="E58" s="159"/>
      <c r="F58" s="36"/>
      <c r="G58" s="36"/>
    </row>
    <row r="59" spans="1:7" x14ac:dyDescent="0.2">
      <c r="A59" s="292">
        <f t="shared" si="1"/>
        <v>50</v>
      </c>
      <c r="B59" s="158"/>
      <c r="C59" s="292">
        <v>51</v>
      </c>
      <c r="D59" s="159"/>
      <c r="E59" s="159"/>
      <c r="F59" s="36"/>
      <c r="G59" s="36"/>
    </row>
    <row r="60" spans="1:7" x14ac:dyDescent="0.2">
      <c r="A60" s="292">
        <f t="shared" si="1"/>
        <v>51</v>
      </c>
      <c r="B60" s="158"/>
      <c r="C60" s="293">
        <v>52</v>
      </c>
      <c r="D60" s="159"/>
      <c r="E60" s="159"/>
      <c r="F60" s="36"/>
      <c r="G60" s="36"/>
    </row>
    <row r="63" spans="1:7" x14ac:dyDescent="0.2">
      <c r="B63" s="2" t="s">
        <v>285</v>
      </c>
      <c r="C63" s="272"/>
      <c r="D63" s="4"/>
      <c r="E63" s="4"/>
    </row>
    <row r="64" spans="1:7" x14ac:dyDescent="0.2">
      <c r="B64" s="5"/>
      <c r="C64" s="272"/>
      <c r="D64" s="4"/>
      <c r="E64" s="4"/>
    </row>
    <row r="65" spans="2:5" x14ac:dyDescent="0.2">
      <c r="B65" s="5" t="s">
        <v>286</v>
      </c>
      <c r="C65" s="272"/>
      <c r="D65" s="4"/>
      <c r="E65" s="4"/>
    </row>
    <row r="66" spans="2:5" x14ac:dyDescent="0.2">
      <c r="B66" s="5"/>
      <c r="C66" s="272"/>
      <c r="D66" s="4"/>
      <c r="E66" s="4"/>
    </row>
    <row r="67" spans="2:5" x14ac:dyDescent="0.2">
      <c r="B67" s="6" t="s">
        <v>287</v>
      </c>
      <c r="C67" s="520" t="s">
        <v>288</v>
      </c>
      <c r="D67" s="520"/>
      <c r="E67" s="4" t="s">
        <v>289</v>
      </c>
    </row>
    <row r="68" spans="2:5" x14ac:dyDescent="0.2">
      <c r="B68" s="5"/>
      <c r="C68" s="520"/>
      <c r="D68" s="520"/>
      <c r="E68" s="4"/>
    </row>
    <row r="69" spans="2:5" x14ac:dyDescent="0.2">
      <c r="B69" s="6" t="s">
        <v>290</v>
      </c>
      <c r="C69" s="520" t="s">
        <v>291</v>
      </c>
      <c r="D69" s="520"/>
      <c r="E69" s="4" t="s">
        <v>292</v>
      </c>
    </row>
    <row r="70" spans="2:5" x14ac:dyDescent="0.2">
      <c r="B70" s="5"/>
      <c r="C70" s="520"/>
      <c r="D70" s="520"/>
      <c r="E70" s="4"/>
    </row>
    <row r="71" spans="2:5" x14ac:dyDescent="0.2">
      <c r="B71" s="6" t="s">
        <v>293</v>
      </c>
      <c r="C71" s="520" t="s">
        <v>288</v>
      </c>
      <c r="D71" s="520"/>
      <c r="E71" s="4" t="s">
        <v>292</v>
      </c>
    </row>
  </sheetData>
  <sheetProtection password="CA9F" sheet="1" objects="1" scenarios="1"/>
  <mergeCells count="9">
    <mergeCell ref="C69:D69"/>
    <mergeCell ref="C70:D70"/>
    <mergeCell ref="C71:D71"/>
    <mergeCell ref="D1:G2"/>
    <mergeCell ref="A3:G3"/>
    <mergeCell ref="A5:D5"/>
    <mergeCell ref="F5:G5"/>
    <mergeCell ref="C67:D67"/>
    <mergeCell ref="C68:D68"/>
  </mergeCells>
  <dataValidations count="2">
    <dataValidation type="decimal" allowBlank="1" showInputMessage="1" showErrorMessage="1" sqref="E10:G30" xr:uid="{9464C092-674A-4D7C-9690-7547F3A0901C}">
      <formula1>0</formula1>
      <formula2>1E+38</formula2>
    </dataValidation>
    <dataValidation type="whole" allowBlank="1" showInputMessage="1" showErrorMessage="1" sqref="F6:G6" xr:uid="{35F9B54A-4ED5-4B9F-96AE-EAAD11B0AF36}">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73"/>
  <sheetViews>
    <sheetView topLeftCell="B40" zoomScaleNormal="100" zoomScalePageLayoutView="60" workbookViewId="0">
      <selection activeCell="F73" sqref="F73"/>
    </sheetView>
  </sheetViews>
  <sheetFormatPr defaultRowHeight="12.75" x14ac:dyDescent="0.2"/>
  <cols>
    <col min="1" max="1" width="11.5703125" style="287"/>
    <col min="2" max="2" width="25.7109375" style="287" customWidth="1"/>
    <col min="3" max="11" width="25.5703125" style="287" customWidth="1"/>
    <col min="12" max="1025" width="11.5703125" style="287"/>
    <col min="1026" max="16384" width="9.140625" style="287"/>
  </cols>
  <sheetData>
    <row r="1" spans="1:11" x14ac:dyDescent="0.2">
      <c r="A1" s="41"/>
      <c r="B1" s="5"/>
      <c r="C1" s="4"/>
      <c r="D1" s="4"/>
      <c r="E1" s="4"/>
      <c r="F1" s="539" t="s">
        <v>439</v>
      </c>
      <c r="G1" s="540"/>
      <c r="H1" s="540"/>
      <c r="I1" s="540"/>
      <c r="J1" s="540"/>
      <c r="K1" s="540"/>
    </row>
    <row r="2" spans="1:11" x14ac:dyDescent="0.2">
      <c r="A2" s="41"/>
      <c r="B2" s="5"/>
      <c r="C2" s="4"/>
      <c r="D2" s="4"/>
      <c r="E2" s="4"/>
      <c r="F2" s="540"/>
      <c r="G2" s="540"/>
      <c r="H2" s="540"/>
      <c r="I2" s="540"/>
      <c r="J2" s="540"/>
      <c r="K2" s="540"/>
    </row>
    <row r="3" spans="1:11" x14ac:dyDescent="0.2">
      <c r="A3" s="41"/>
      <c r="B3" s="5"/>
      <c r="C3" s="4"/>
      <c r="D3" s="4"/>
      <c r="E3" s="4"/>
      <c r="F3" s="540"/>
      <c r="G3" s="540"/>
      <c r="H3" s="540"/>
      <c r="I3" s="540"/>
      <c r="J3" s="540"/>
      <c r="K3" s="540"/>
    </row>
    <row r="4" spans="1:11" x14ac:dyDescent="0.2">
      <c r="A4" s="541" t="s">
        <v>440</v>
      </c>
      <c r="B4" s="540"/>
      <c r="C4" s="540"/>
      <c r="D4" s="540"/>
      <c r="E4" s="540"/>
      <c r="F4" s="540"/>
      <c r="G4" s="540"/>
      <c r="H4" s="540"/>
      <c r="I4" s="540"/>
      <c r="J4" s="540"/>
      <c r="K4" s="540"/>
    </row>
    <row r="5" spans="1:11" x14ac:dyDescent="0.2">
      <c r="A5" s="294"/>
      <c r="B5" s="294"/>
      <c r="C5" s="294"/>
      <c r="D5" s="294"/>
      <c r="E5" s="294"/>
      <c r="F5" s="294"/>
      <c r="G5" s="294"/>
      <c r="H5" s="294"/>
      <c r="I5" s="294"/>
      <c r="J5" s="294"/>
      <c r="K5" s="294"/>
    </row>
    <row r="6" spans="1:11" x14ac:dyDescent="0.2">
      <c r="A6" s="528" t="s">
        <v>277</v>
      </c>
      <c r="B6" s="529"/>
      <c r="C6" s="529"/>
      <c r="D6" s="529"/>
      <c r="E6" s="294"/>
      <c r="F6" s="294"/>
      <c r="G6" s="294"/>
      <c r="H6" s="294"/>
      <c r="I6" s="294"/>
      <c r="J6" s="517" t="s">
        <v>278</v>
      </c>
      <c r="K6" s="517"/>
    </row>
    <row r="7" spans="1:11" x14ac:dyDescent="0.2">
      <c r="A7" s="294"/>
      <c r="B7" s="294"/>
      <c r="C7" s="294"/>
      <c r="D7" s="294"/>
      <c r="E7" s="294"/>
      <c r="F7" s="294"/>
      <c r="G7" s="294"/>
      <c r="H7" s="294"/>
      <c r="I7" s="294"/>
      <c r="J7" s="397"/>
      <c r="K7" s="291" t="s">
        <v>279</v>
      </c>
    </row>
    <row r="8" spans="1:11" x14ac:dyDescent="0.2">
      <c r="A8" s="542" t="s">
        <v>280</v>
      </c>
      <c r="B8" s="545" t="s">
        <v>441</v>
      </c>
      <c r="C8" s="545" t="s">
        <v>442</v>
      </c>
      <c r="D8" s="547" t="s">
        <v>301</v>
      </c>
      <c r="E8" s="535"/>
      <c r="F8" s="535"/>
      <c r="G8" s="535"/>
      <c r="H8" s="535"/>
      <c r="I8" s="535"/>
      <c r="J8" s="536"/>
      <c r="K8" s="545" t="s">
        <v>119</v>
      </c>
    </row>
    <row r="9" spans="1:11" x14ac:dyDescent="0.2">
      <c r="A9" s="543"/>
      <c r="B9" s="546"/>
      <c r="C9" s="546"/>
      <c r="D9" s="537" t="s">
        <v>443</v>
      </c>
      <c r="E9" s="533" t="s">
        <v>444</v>
      </c>
      <c r="F9" s="534"/>
      <c r="G9" s="535"/>
      <c r="H9" s="535"/>
      <c r="I9" s="536"/>
      <c r="J9" s="537" t="s">
        <v>445</v>
      </c>
      <c r="K9" s="546"/>
    </row>
    <row r="10" spans="1:11" ht="25.5" x14ac:dyDescent="0.2">
      <c r="A10" s="544"/>
      <c r="B10" s="538"/>
      <c r="C10" s="538"/>
      <c r="D10" s="538"/>
      <c r="E10" s="42" t="s">
        <v>446</v>
      </c>
      <c r="F10" s="56" t="s">
        <v>118</v>
      </c>
      <c r="G10" s="44" t="s">
        <v>447</v>
      </c>
      <c r="H10" s="45" t="s">
        <v>448</v>
      </c>
      <c r="I10" s="24" t="s">
        <v>216</v>
      </c>
      <c r="J10" s="538"/>
      <c r="K10" s="538"/>
    </row>
    <row r="11" spans="1:11" x14ac:dyDescent="0.2">
      <c r="A11" s="46" t="s">
        <v>282</v>
      </c>
      <c r="B11" s="47" t="s">
        <v>283</v>
      </c>
      <c r="C11" s="48">
        <v>1</v>
      </c>
      <c r="D11" s="47">
        <v>2</v>
      </c>
      <c r="E11" s="49">
        <v>3</v>
      </c>
      <c r="F11" s="50">
        <v>4</v>
      </c>
      <c r="G11" s="51">
        <v>5</v>
      </c>
      <c r="H11" s="24">
        <v>6</v>
      </c>
      <c r="I11" s="24">
        <v>7</v>
      </c>
      <c r="J11" s="47">
        <v>8</v>
      </c>
      <c r="K11" s="47">
        <v>9</v>
      </c>
    </row>
    <row r="12" spans="1:11" ht="27" customHeight="1" x14ac:dyDescent="0.2">
      <c r="A12" s="52" t="s">
        <v>235</v>
      </c>
      <c r="B12" s="53" t="s">
        <v>449</v>
      </c>
      <c r="C12" s="28">
        <f>SUM(C13:INDEX(C:C,ROWS(C:C)))</f>
        <v>0</v>
      </c>
      <c r="D12" s="28">
        <f>SUM(D13:INDEX(D:D,ROWS(D:D)))</f>
        <v>0</v>
      </c>
      <c r="E12" s="28">
        <f>SUM(E13:INDEX(E:E,ROWS(E:E)))</f>
        <v>0</v>
      </c>
      <c r="F12" s="28">
        <f>SUM(F13:INDEX(F:F,ROWS(F:F)))</f>
        <v>0</v>
      </c>
      <c r="G12" s="28">
        <f>SUM(G13:INDEX(G:G,ROWS(G:G)))</f>
        <v>0</v>
      </c>
      <c r="H12" s="28">
        <f>SUM(H13:INDEX(H:H,ROWS(H:H)))</f>
        <v>0</v>
      </c>
      <c r="I12" s="28">
        <f>SUM(I13:INDEX(I:I,ROWS(I:I)))</f>
        <v>0</v>
      </c>
      <c r="J12" s="28">
        <f>SUM(J13:INDEX(J:J,ROWS(J:J)))</f>
        <v>0</v>
      </c>
      <c r="K12" s="28">
        <f>SUM(K13:INDEX(K:K,ROWS(K:K)))</f>
        <v>0</v>
      </c>
    </row>
    <row r="13" spans="1:11" x14ac:dyDescent="0.2">
      <c r="A13" s="297" t="s">
        <v>236</v>
      </c>
      <c r="B13" s="29" t="s">
        <v>450</v>
      </c>
      <c r="C13" s="54"/>
      <c r="D13" s="55"/>
      <c r="E13" s="30"/>
      <c r="F13" s="30"/>
      <c r="G13" s="30"/>
      <c r="H13" s="30"/>
      <c r="I13" s="30"/>
      <c r="J13" s="296">
        <f>SUM(D13,E13,G13:I13)</f>
        <v>0</v>
      </c>
      <c r="K13" s="30"/>
    </row>
    <row r="14" spans="1:11" x14ac:dyDescent="0.2">
      <c r="A14" s="297" t="s">
        <v>237</v>
      </c>
      <c r="B14" s="29" t="s">
        <v>451</v>
      </c>
      <c r="C14" s="54"/>
      <c r="D14" s="55"/>
      <c r="E14" s="30"/>
      <c r="F14" s="30"/>
      <c r="G14" s="30"/>
      <c r="H14" s="30"/>
      <c r="I14" s="30"/>
      <c r="J14" s="296">
        <f>SUM(D14,E14,G14:I14)</f>
        <v>0</v>
      </c>
      <c r="K14" s="30"/>
    </row>
    <row r="15" spans="1:11" x14ac:dyDescent="0.2">
      <c r="A15" s="297" t="s">
        <v>238</v>
      </c>
      <c r="B15" s="29" t="s">
        <v>450</v>
      </c>
      <c r="C15" s="54"/>
      <c r="D15" s="55"/>
      <c r="E15" s="30"/>
      <c r="F15" s="30"/>
      <c r="G15" s="30"/>
      <c r="H15" s="30"/>
      <c r="I15" s="30"/>
      <c r="J15" s="296">
        <f t="shared" ref="J15:J62" si="0">SUM(D15,E15,G15:I15)</f>
        <v>0</v>
      </c>
      <c r="K15" s="30"/>
    </row>
    <row r="16" spans="1:11" x14ac:dyDescent="0.2">
      <c r="A16" s="297" t="s">
        <v>239</v>
      </c>
      <c r="B16" s="29" t="s">
        <v>451</v>
      </c>
      <c r="C16" s="54"/>
      <c r="D16" s="55"/>
      <c r="E16" s="30"/>
      <c r="F16" s="30"/>
      <c r="G16" s="30"/>
      <c r="H16" s="30"/>
      <c r="I16" s="30"/>
      <c r="J16" s="296">
        <f t="shared" si="0"/>
        <v>0</v>
      </c>
      <c r="K16" s="30"/>
    </row>
    <row r="17" spans="1:11" x14ac:dyDescent="0.2">
      <c r="A17" s="297" t="s">
        <v>241</v>
      </c>
      <c r="B17" s="29" t="s">
        <v>450</v>
      </c>
      <c r="C17" s="54"/>
      <c r="D17" s="55"/>
      <c r="E17" s="30"/>
      <c r="F17" s="30"/>
      <c r="G17" s="30"/>
      <c r="H17" s="30"/>
      <c r="I17" s="30"/>
      <c r="J17" s="296">
        <f t="shared" si="0"/>
        <v>0</v>
      </c>
      <c r="K17" s="30"/>
    </row>
    <row r="18" spans="1:11" x14ac:dyDescent="0.2">
      <c r="A18" s="297" t="s">
        <v>242</v>
      </c>
      <c r="B18" s="29" t="s">
        <v>451</v>
      </c>
      <c r="C18" s="54"/>
      <c r="D18" s="55"/>
      <c r="E18" s="30"/>
      <c r="F18" s="30"/>
      <c r="G18" s="30"/>
      <c r="H18" s="30"/>
      <c r="I18" s="30"/>
      <c r="J18" s="296">
        <f t="shared" si="0"/>
        <v>0</v>
      </c>
      <c r="K18" s="30"/>
    </row>
    <row r="19" spans="1:11" x14ac:dyDescent="0.2">
      <c r="A19" s="297" t="s">
        <v>243</v>
      </c>
      <c r="B19" s="29" t="s">
        <v>450</v>
      </c>
      <c r="C19" s="54"/>
      <c r="D19" s="55"/>
      <c r="E19" s="30"/>
      <c r="F19" s="30"/>
      <c r="G19" s="30"/>
      <c r="H19" s="30"/>
      <c r="I19" s="30"/>
      <c r="J19" s="296">
        <f t="shared" si="0"/>
        <v>0</v>
      </c>
      <c r="K19" s="30"/>
    </row>
    <row r="20" spans="1:11" x14ac:dyDescent="0.2">
      <c r="A20" s="297" t="s">
        <v>245</v>
      </c>
      <c r="B20" s="29" t="s">
        <v>451</v>
      </c>
      <c r="C20" s="54"/>
      <c r="D20" s="55"/>
      <c r="E20" s="30"/>
      <c r="F20" s="30"/>
      <c r="G20" s="30"/>
      <c r="H20" s="30"/>
      <c r="I20" s="30"/>
      <c r="J20" s="296">
        <f t="shared" si="0"/>
        <v>0</v>
      </c>
      <c r="K20" s="30"/>
    </row>
    <row r="21" spans="1:11" x14ac:dyDescent="0.2">
      <c r="A21" s="297" t="s">
        <v>247</v>
      </c>
      <c r="B21" s="29" t="s">
        <v>450</v>
      </c>
      <c r="C21" s="54"/>
      <c r="D21" s="55"/>
      <c r="E21" s="30"/>
      <c r="F21" s="30"/>
      <c r="G21" s="30"/>
      <c r="H21" s="30"/>
      <c r="I21" s="30"/>
      <c r="J21" s="296">
        <f t="shared" si="0"/>
        <v>0</v>
      </c>
      <c r="K21" s="30"/>
    </row>
    <row r="22" spans="1:11" x14ac:dyDescent="0.2">
      <c r="A22" s="297" t="s">
        <v>248</v>
      </c>
      <c r="B22" s="29" t="s">
        <v>451</v>
      </c>
      <c r="C22" s="54"/>
      <c r="D22" s="55"/>
      <c r="E22" s="30"/>
      <c r="F22" s="30"/>
      <c r="G22" s="30"/>
      <c r="H22" s="30"/>
      <c r="I22" s="30"/>
      <c r="J22" s="296">
        <f t="shared" si="0"/>
        <v>0</v>
      </c>
      <c r="K22" s="30"/>
    </row>
    <row r="23" spans="1:11" x14ac:dyDescent="0.2">
      <c r="A23" s="297" t="s">
        <v>249</v>
      </c>
      <c r="B23" s="29" t="s">
        <v>450</v>
      </c>
      <c r="C23" s="54"/>
      <c r="D23" s="55"/>
      <c r="E23" s="30"/>
      <c r="F23" s="30"/>
      <c r="G23" s="30"/>
      <c r="H23" s="30"/>
      <c r="I23" s="30"/>
      <c r="J23" s="296">
        <f t="shared" si="0"/>
        <v>0</v>
      </c>
      <c r="K23" s="30"/>
    </row>
    <row r="24" spans="1:11" x14ac:dyDescent="0.2">
      <c r="A24" s="297" t="s">
        <v>250</v>
      </c>
      <c r="B24" s="29" t="s">
        <v>451</v>
      </c>
      <c r="C24" s="54"/>
      <c r="D24" s="55"/>
      <c r="E24" s="30"/>
      <c r="F24" s="30"/>
      <c r="G24" s="30"/>
      <c r="H24" s="30"/>
      <c r="I24" s="30"/>
      <c r="J24" s="296">
        <f t="shared" si="0"/>
        <v>0</v>
      </c>
      <c r="K24" s="30"/>
    </row>
    <row r="25" spans="1:11" x14ac:dyDescent="0.2">
      <c r="A25" s="297" t="s">
        <v>251</v>
      </c>
      <c r="B25" s="29" t="s">
        <v>450</v>
      </c>
      <c r="C25" s="54"/>
      <c r="D25" s="55"/>
      <c r="E25" s="30"/>
      <c r="F25" s="30"/>
      <c r="G25" s="30"/>
      <c r="H25" s="30"/>
      <c r="I25" s="30"/>
      <c r="J25" s="296">
        <f t="shared" si="0"/>
        <v>0</v>
      </c>
      <c r="K25" s="30"/>
    </row>
    <row r="26" spans="1:11" x14ac:dyDescent="0.2">
      <c r="A26" s="297" t="s">
        <v>252</v>
      </c>
      <c r="B26" s="29" t="s">
        <v>451</v>
      </c>
      <c r="C26" s="54"/>
      <c r="D26" s="55"/>
      <c r="E26" s="30"/>
      <c r="F26" s="30"/>
      <c r="G26" s="30"/>
      <c r="H26" s="30"/>
      <c r="I26" s="30"/>
      <c r="J26" s="296">
        <f t="shared" si="0"/>
        <v>0</v>
      </c>
      <c r="K26" s="30"/>
    </row>
    <row r="27" spans="1:11" x14ac:dyDescent="0.2">
      <c r="A27" s="297" t="s">
        <v>253</v>
      </c>
      <c r="B27" s="29" t="s">
        <v>450</v>
      </c>
      <c r="C27" s="54"/>
      <c r="D27" s="55"/>
      <c r="E27" s="30"/>
      <c r="F27" s="30"/>
      <c r="G27" s="30"/>
      <c r="H27" s="30"/>
      <c r="I27" s="30"/>
      <c r="J27" s="296">
        <f t="shared" si="0"/>
        <v>0</v>
      </c>
      <c r="K27" s="30"/>
    </row>
    <row r="28" spans="1:11" x14ac:dyDescent="0.2">
      <c r="A28" s="297" t="s">
        <v>255</v>
      </c>
      <c r="B28" s="29" t="s">
        <v>450</v>
      </c>
      <c r="C28" s="54"/>
      <c r="D28" s="55"/>
      <c r="E28" s="30"/>
      <c r="F28" s="30"/>
      <c r="G28" s="30"/>
      <c r="H28" s="30"/>
      <c r="I28" s="30"/>
      <c r="J28" s="296">
        <f t="shared" si="0"/>
        <v>0</v>
      </c>
      <c r="K28" s="30"/>
    </row>
    <row r="29" spans="1:11" x14ac:dyDescent="0.2">
      <c r="A29" s="297" t="s">
        <v>256</v>
      </c>
      <c r="B29" s="29" t="s">
        <v>450</v>
      </c>
      <c r="C29" s="54"/>
      <c r="D29" s="55"/>
      <c r="E29" s="30"/>
      <c r="F29" s="30"/>
      <c r="G29" s="30"/>
      <c r="H29" s="30"/>
      <c r="I29" s="30"/>
      <c r="J29" s="296">
        <f t="shared" si="0"/>
        <v>0</v>
      </c>
      <c r="K29" s="30"/>
    </row>
    <row r="30" spans="1:11" x14ac:dyDescent="0.2">
      <c r="A30" s="297" t="s">
        <v>257</v>
      </c>
      <c r="B30" s="29" t="s">
        <v>450</v>
      </c>
      <c r="C30" s="54"/>
      <c r="D30" s="55"/>
      <c r="E30" s="30"/>
      <c r="F30" s="30"/>
      <c r="G30" s="30"/>
      <c r="H30" s="30"/>
      <c r="I30" s="30"/>
      <c r="J30" s="296">
        <f t="shared" si="0"/>
        <v>0</v>
      </c>
      <c r="K30" s="30"/>
    </row>
    <row r="31" spans="1:11" x14ac:dyDescent="0.2">
      <c r="A31" s="297" t="s">
        <v>259</v>
      </c>
      <c r="B31" s="29" t="s">
        <v>451</v>
      </c>
      <c r="C31" s="54"/>
      <c r="D31" s="55"/>
      <c r="E31" s="30"/>
      <c r="F31" s="30"/>
      <c r="G31" s="30"/>
      <c r="H31" s="30"/>
      <c r="I31" s="30"/>
      <c r="J31" s="296">
        <f t="shared" si="0"/>
        <v>0</v>
      </c>
      <c r="K31" s="30"/>
    </row>
    <row r="32" spans="1:11" x14ac:dyDescent="0.2">
      <c r="A32" s="297" t="s">
        <v>261</v>
      </c>
      <c r="B32" s="29" t="s">
        <v>450</v>
      </c>
      <c r="C32" s="54"/>
      <c r="D32" s="55"/>
      <c r="E32" s="30"/>
      <c r="F32" s="30"/>
      <c r="G32" s="30"/>
      <c r="H32" s="30"/>
      <c r="I32" s="30"/>
      <c r="J32" s="296">
        <f t="shared" si="0"/>
        <v>0</v>
      </c>
      <c r="K32" s="30"/>
    </row>
    <row r="33" spans="1:11" x14ac:dyDescent="0.2">
      <c r="A33" s="297" t="s">
        <v>262</v>
      </c>
      <c r="B33" s="29" t="s">
        <v>451</v>
      </c>
      <c r="C33" s="54"/>
      <c r="D33" s="55"/>
      <c r="E33" s="30"/>
      <c r="F33" s="30"/>
      <c r="G33" s="30"/>
      <c r="H33" s="30"/>
      <c r="I33" s="30"/>
      <c r="J33" s="296">
        <f t="shared" si="0"/>
        <v>0</v>
      </c>
      <c r="K33" s="30"/>
    </row>
    <row r="34" spans="1:11" x14ac:dyDescent="0.2">
      <c r="A34" s="297" t="s">
        <v>263</v>
      </c>
      <c r="B34" s="29" t="s">
        <v>450</v>
      </c>
      <c r="C34" s="54"/>
      <c r="D34" s="55"/>
      <c r="E34" s="30"/>
      <c r="F34" s="30"/>
      <c r="G34" s="30"/>
      <c r="H34" s="30"/>
      <c r="I34" s="30"/>
      <c r="J34" s="296">
        <f t="shared" si="0"/>
        <v>0</v>
      </c>
      <c r="K34" s="30"/>
    </row>
    <row r="35" spans="1:11" x14ac:dyDescent="0.2">
      <c r="A35" s="297" t="s">
        <v>452</v>
      </c>
      <c r="B35" s="29" t="s">
        <v>451</v>
      </c>
      <c r="C35" s="54"/>
      <c r="D35" s="55"/>
      <c r="E35" s="30"/>
      <c r="F35" s="30"/>
      <c r="G35" s="30"/>
      <c r="H35" s="30"/>
      <c r="I35" s="30"/>
      <c r="J35" s="296">
        <f t="shared" si="0"/>
        <v>0</v>
      </c>
      <c r="K35" s="30"/>
    </row>
    <row r="36" spans="1:11" x14ac:dyDescent="0.2">
      <c r="A36" s="297" t="s">
        <v>453</v>
      </c>
      <c r="B36" s="29" t="s">
        <v>450</v>
      </c>
      <c r="C36" s="54"/>
      <c r="D36" s="55"/>
      <c r="E36" s="30"/>
      <c r="F36" s="30"/>
      <c r="G36" s="30"/>
      <c r="H36" s="30"/>
      <c r="I36" s="30"/>
      <c r="J36" s="296">
        <f t="shared" si="0"/>
        <v>0</v>
      </c>
      <c r="K36" s="30"/>
    </row>
    <row r="37" spans="1:11" x14ac:dyDescent="0.2">
      <c r="A37" s="297" t="s">
        <v>454</v>
      </c>
      <c r="B37" s="29" t="s">
        <v>451</v>
      </c>
      <c r="C37" s="54"/>
      <c r="D37" s="55"/>
      <c r="E37" s="30"/>
      <c r="F37" s="30"/>
      <c r="G37" s="30"/>
      <c r="H37" s="30"/>
      <c r="I37" s="30"/>
      <c r="J37" s="296">
        <f t="shared" si="0"/>
        <v>0</v>
      </c>
      <c r="K37" s="30"/>
    </row>
    <row r="38" spans="1:11" x14ac:dyDescent="0.2">
      <c r="A38" s="297" t="s">
        <v>455</v>
      </c>
      <c r="B38" s="29" t="s">
        <v>450</v>
      </c>
      <c r="C38" s="54"/>
      <c r="D38" s="55"/>
      <c r="E38" s="30"/>
      <c r="F38" s="30"/>
      <c r="G38" s="30"/>
      <c r="H38" s="30"/>
      <c r="I38" s="30"/>
      <c r="J38" s="296">
        <f t="shared" si="0"/>
        <v>0</v>
      </c>
      <c r="K38" s="30"/>
    </row>
    <row r="39" spans="1:11" x14ac:dyDescent="0.2">
      <c r="A39" s="297" t="s">
        <v>456</v>
      </c>
      <c r="B39" s="29" t="s">
        <v>451</v>
      </c>
      <c r="C39" s="54"/>
      <c r="D39" s="55"/>
      <c r="E39" s="30"/>
      <c r="F39" s="30"/>
      <c r="G39" s="30"/>
      <c r="H39" s="30"/>
      <c r="I39" s="30"/>
      <c r="J39" s="296">
        <f t="shared" si="0"/>
        <v>0</v>
      </c>
      <c r="K39" s="30"/>
    </row>
    <row r="40" spans="1:11" x14ac:dyDescent="0.2">
      <c r="A40" s="297" t="s">
        <v>457</v>
      </c>
      <c r="B40" s="29" t="s">
        <v>450</v>
      </c>
      <c r="C40" s="54"/>
      <c r="D40" s="55"/>
      <c r="E40" s="30"/>
      <c r="F40" s="30"/>
      <c r="G40" s="30"/>
      <c r="H40" s="30"/>
      <c r="I40" s="30"/>
      <c r="J40" s="296">
        <f t="shared" si="0"/>
        <v>0</v>
      </c>
      <c r="K40" s="30"/>
    </row>
    <row r="41" spans="1:11" x14ac:dyDescent="0.2">
      <c r="A41" s="297" t="s">
        <v>458</v>
      </c>
      <c r="B41" s="29" t="s">
        <v>451</v>
      </c>
      <c r="C41" s="54"/>
      <c r="D41" s="55"/>
      <c r="E41" s="30"/>
      <c r="F41" s="30"/>
      <c r="G41" s="30"/>
      <c r="H41" s="30"/>
      <c r="I41" s="30"/>
      <c r="J41" s="296">
        <f t="shared" si="0"/>
        <v>0</v>
      </c>
      <c r="K41" s="30"/>
    </row>
    <row r="42" spans="1:11" x14ac:dyDescent="0.2">
      <c r="A42" s="297" t="s">
        <v>459</v>
      </c>
      <c r="B42" s="29" t="s">
        <v>451</v>
      </c>
      <c r="C42" s="54"/>
      <c r="D42" s="55"/>
      <c r="E42" s="30"/>
      <c r="F42" s="30"/>
      <c r="G42" s="30"/>
      <c r="H42" s="30"/>
      <c r="I42" s="30"/>
      <c r="J42" s="296">
        <f t="shared" si="0"/>
        <v>0</v>
      </c>
      <c r="K42" s="30"/>
    </row>
    <row r="43" spans="1:11" x14ac:dyDescent="0.2">
      <c r="A43" s="297" t="s">
        <v>976</v>
      </c>
      <c r="B43" s="29" t="s">
        <v>451</v>
      </c>
      <c r="C43" s="30"/>
      <c r="D43" s="30"/>
      <c r="E43" s="30"/>
      <c r="F43" s="30"/>
      <c r="G43" s="30"/>
      <c r="H43" s="30"/>
      <c r="I43" s="30"/>
      <c r="J43" s="296">
        <f t="shared" si="0"/>
        <v>0</v>
      </c>
      <c r="K43" s="30"/>
    </row>
    <row r="44" spans="1:11" x14ac:dyDescent="0.2">
      <c r="A44" s="297" t="s">
        <v>977</v>
      </c>
      <c r="B44" s="29" t="s">
        <v>451</v>
      </c>
      <c r="C44" s="30"/>
      <c r="D44" s="30"/>
      <c r="E44" s="30"/>
      <c r="F44" s="30"/>
      <c r="G44" s="30"/>
      <c r="H44" s="30"/>
      <c r="I44" s="30"/>
      <c r="J44" s="296">
        <f t="shared" si="0"/>
        <v>0</v>
      </c>
      <c r="K44" s="30"/>
    </row>
    <row r="45" spans="1:11" x14ac:dyDescent="0.2">
      <c r="A45" s="297" t="s">
        <v>978</v>
      </c>
      <c r="B45" s="29" t="s">
        <v>451</v>
      </c>
      <c r="C45" s="30"/>
      <c r="D45" s="30"/>
      <c r="E45" s="30"/>
      <c r="F45" s="30"/>
      <c r="G45" s="30"/>
      <c r="H45" s="30"/>
      <c r="I45" s="30"/>
      <c r="J45" s="296">
        <f t="shared" si="0"/>
        <v>0</v>
      </c>
      <c r="K45" s="30"/>
    </row>
    <row r="46" spans="1:11" x14ac:dyDescent="0.2">
      <c r="A46" s="297" t="s">
        <v>979</v>
      </c>
      <c r="B46" s="29" t="s">
        <v>451</v>
      </c>
      <c r="C46" s="30"/>
      <c r="D46" s="30"/>
      <c r="E46" s="30"/>
      <c r="F46" s="30"/>
      <c r="G46" s="30"/>
      <c r="H46" s="30"/>
      <c r="I46" s="30"/>
      <c r="J46" s="296">
        <f t="shared" si="0"/>
        <v>0</v>
      </c>
      <c r="K46" s="30"/>
    </row>
    <row r="47" spans="1:11" x14ac:dyDescent="0.2">
      <c r="A47" s="297" t="s">
        <v>980</v>
      </c>
      <c r="B47" s="29" t="s">
        <v>451</v>
      </c>
      <c r="C47" s="30"/>
      <c r="D47" s="30"/>
      <c r="E47" s="30"/>
      <c r="F47" s="30"/>
      <c r="G47" s="30"/>
      <c r="H47" s="30"/>
      <c r="I47" s="30"/>
      <c r="J47" s="296">
        <f t="shared" si="0"/>
        <v>0</v>
      </c>
      <c r="K47" s="30"/>
    </row>
    <row r="48" spans="1:11" x14ac:dyDescent="0.2">
      <c r="A48" s="297" t="s">
        <v>981</v>
      </c>
      <c r="B48" s="29" t="s">
        <v>451</v>
      </c>
      <c r="C48" s="30"/>
      <c r="D48" s="30"/>
      <c r="E48" s="30"/>
      <c r="F48" s="30"/>
      <c r="G48" s="30"/>
      <c r="H48" s="30"/>
      <c r="I48" s="30"/>
      <c r="J48" s="296">
        <f t="shared" si="0"/>
        <v>0</v>
      </c>
      <c r="K48" s="30"/>
    </row>
    <row r="49" spans="1:11" x14ac:dyDescent="0.2">
      <c r="A49" s="297" t="s">
        <v>982</v>
      </c>
      <c r="B49" s="29" t="s">
        <v>451</v>
      </c>
      <c r="C49" s="30"/>
      <c r="D49" s="30"/>
      <c r="E49" s="30"/>
      <c r="F49" s="30"/>
      <c r="G49" s="30"/>
      <c r="H49" s="30"/>
      <c r="I49" s="30"/>
      <c r="J49" s="296">
        <f t="shared" si="0"/>
        <v>0</v>
      </c>
      <c r="K49" s="30"/>
    </row>
    <row r="50" spans="1:11" x14ac:dyDescent="0.2">
      <c r="A50" s="297" t="s">
        <v>983</v>
      </c>
      <c r="B50" s="29" t="s">
        <v>451</v>
      </c>
      <c r="C50" s="30"/>
      <c r="D50" s="30"/>
      <c r="E50" s="30"/>
      <c r="F50" s="30"/>
      <c r="G50" s="30"/>
      <c r="H50" s="30"/>
      <c r="I50" s="30"/>
      <c r="J50" s="296">
        <f t="shared" si="0"/>
        <v>0</v>
      </c>
      <c r="K50" s="30"/>
    </row>
    <row r="51" spans="1:11" x14ac:dyDescent="0.2">
      <c r="A51" s="297" t="s">
        <v>984</v>
      </c>
      <c r="B51" s="29" t="s">
        <v>451</v>
      </c>
      <c r="C51" s="30"/>
      <c r="D51" s="30"/>
      <c r="E51" s="30"/>
      <c r="F51" s="30"/>
      <c r="G51" s="30"/>
      <c r="H51" s="30"/>
      <c r="I51" s="30"/>
      <c r="J51" s="296">
        <f>SUM(D51,E51,G51:I51)</f>
        <v>0</v>
      </c>
      <c r="K51" s="30"/>
    </row>
    <row r="52" spans="1:11" x14ac:dyDescent="0.2">
      <c r="A52" s="297" t="s">
        <v>985</v>
      </c>
      <c r="B52" s="29" t="s">
        <v>451</v>
      </c>
      <c r="C52" s="30"/>
      <c r="D52" s="30"/>
      <c r="E52" s="30"/>
      <c r="F52" s="30"/>
      <c r="G52" s="30"/>
      <c r="H52" s="30"/>
      <c r="I52" s="30"/>
      <c r="J52" s="296">
        <f t="shared" si="0"/>
        <v>0</v>
      </c>
      <c r="K52" s="30"/>
    </row>
    <row r="53" spans="1:11" x14ac:dyDescent="0.2">
      <c r="A53" s="297" t="s">
        <v>986</v>
      </c>
      <c r="B53" s="29" t="s">
        <v>451</v>
      </c>
      <c r="C53" s="30"/>
      <c r="D53" s="30"/>
      <c r="E53" s="30"/>
      <c r="F53" s="30"/>
      <c r="G53" s="30"/>
      <c r="H53" s="30"/>
      <c r="I53" s="30"/>
      <c r="J53" s="296">
        <f t="shared" si="0"/>
        <v>0</v>
      </c>
      <c r="K53" s="30"/>
    </row>
    <row r="54" spans="1:11" x14ac:dyDescent="0.2">
      <c r="A54" s="297" t="s">
        <v>987</v>
      </c>
      <c r="B54" s="29" t="s">
        <v>451</v>
      </c>
      <c r="C54" s="30"/>
      <c r="D54" s="30"/>
      <c r="E54" s="30"/>
      <c r="F54" s="30"/>
      <c r="G54" s="30"/>
      <c r="H54" s="30"/>
      <c r="I54" s="30"/>
      <c r="J54" s="296">
        <f t="shared" si="0"/>
        <v>0</v>
      </c>
      <c r="K54" s="30"/>
    </row>
    <row r="55" spans="1:11" x14ac:dyDescent="0.2">
      <c r="A55" s="297" t="s">
        <v>988</v>
      </c>
      <c r="B55" s="29" t="s">
        <v>451</v>
      </c>
      <c r="C55" s="30"/>
      <c r="D55" s="30"/>
      <c r="E55" s="30"/>
      <c r="F55" s="30"/>
      <c r="G55" s="30"/>
      <c r="H55" s="30"/>
      <c r="I55" s="30"/>
      <c r="J55" s="296">
        <f t="shared" si="0"/>
        <v>0</v>
      </c>
      <c r="K55" s="30"/>
    </row>
    <row r="56" spans="1:11" x14ac:dyDescent="0.2">
      <c r="A56" s="297" t="s">
        <v>989</v>
      </c>
      <c r="B56" s="29" t="s">
        <v>451</v>
      </c>
      <c r="C56" s="30"/>
      <c r="D56" s="30"/>
      <c r="E56" s="30"/>
      <c r="F56" s="30"/>
      <c r="G56" s="30"/>
      <c r="H56" s="30"/>
      <c r="I56" s="30"/>
      <c r="J56" s="296">
        <f t="shared" si="0"/>
        <v>0</v>
      </c>
      <c r="K56" s="30"/>
    </row>
    <row r="57" spans="1:11" x14ac:dyDescent="0.2">
      <c r="A57" s="297" t="s">
        <v>990</v>
      </c>
      <c r="B57" s="29" t="s">
        <v>451</v>
      </c>
      <c r="C57" s="30"/>
      <c r="D57" s="30"/>
      <c r="E57" s="30"/>
      <c r="F57" s="30"/>
      <c r="G57" s="30"/>
      <c r="H57" s="30"/>
      <c r="I57" s="30"/>
      <c r="J57" s="296">
        <f t="shared" si="0"/>
        <v>0</v>
      </c>
      <c r="K57" s="30"/>
    </row>
    <row r="58" spans="1:11" x14ac:dyDescent="0.2">
      <c r="A58" s="297" t="s">
        <v>991</v>
      </c>
      <c r="B58" s="29" t="s">
        <v>451</v>
      </c>
      <c r="C58" s="30"/>
      <c r="D58" s="30"/>
      <c r="E58" s="30"/>
      <c r="F58" s="30"/>
      <c r="G58" s="30"/>
      <c r="H58" s="30"/>
      <c r="I58" s="30"/>
      <c r="J58" s="296">
        <f t="shared" si="0"/>
        <v>0</v>
      </c>
      <c r="K58" s="30"/>
    </row>
    <row r="59" spans="1:11" x14ac:dyDescent="0.2">
      <c r="A59" s="297" t="s">
        <v>992</v>
      </c>
      <c r="B59" s="29" t="s">
        <v>451</v>
      </c>
      <c r="C59" s="30"/>
      <c r="D59" s="30"/>
      <c r="E59" s="30"/>
      <c r="F59" s="30"/>
      <c r="G59" s="30"/>
      <c r="H59" s="30"/>
      <c r="I59" s="30"/>
      <c r="J59" s="296">
        <f t="shared" si="0"/>
        <v>0</v>
      </c>
      <c r="K59" s="30"/>
    </row>
    <row r="60" spans="1:11" x14ac:dyDescent="0.2">
      <c r="A60" s="297" t="s">
        <v>993</v>
      </c>
      <c r="B60" s="29" t="s">
        <v>451</v>
      </c>
      <c r="C60" s="30"/>
      <c r="D60" s="30"/>
      <c r="E60" s="30"/>
      <c r="F60" s="30"/>
      <c r="G60" s="30"/>
      <c r="H60" s="30"/>
      <c r="I60" s="30"/>
      <c r="J60" s="296">
        <f t="shared" si="0"/>
        <v>0</v>
      </c>
      <c r="K60" s="30"/>
    </row>
    <row r="61" spans="1:11" x14ac:dyDescent="0.2">
      <c r="A61" s="297" t="s">
        <v>994</v>
      </c>
      <c r="B61" s="29" t="s">
        <v>451</v>
      </c>
      <c r="C61" s="30"/>
      <c r="D61" s="30"/>
      <c r="E61" s="30"/>
      <c r="F61" s="30"/>
      <c r="G61" s="30"/>
      <c r="H61" s="30"/>
      <c r="I61" s="30"/>
      <c r="J61" s="296">
        <f t="shared" si="0"/>
        <v>0</v>
      </c>
      <c r="K61" s="30"/>
    </row>
    <row r="62" spans="1:11" x14ac:dyDescent="0.2">
      <c r="A62" s="297" t="s">
        <v>995</v>
      </c>
      <c r="B62" s="29" t="s">
        <v>460</v>
      </c>
      <c r="C62" s="30"/>
      <c r="D62" s="30"/>
      <c r="E62" s="30"/>
      <c r="F62" s="30"/>
      <c r="G62" s="30"/>
      <c r="H62" s="30"/>
      <c r="I62" s="30"/>
      <c r="J62" s="296">
        <f t="shared" si="0"/>
        <v>0</v>
      </c>
      <c r="K62" s="30"/>
    </row>
    <row r="65" spans="2:5" x14ac:dyDescent="0.2">
      <c r="B65" s="2" t="s">
        <v>285</v>
      </c>
      <c r="C65" s="395"/>
      <c r="D65" s="4"/>
      <c r="E65" s="4"/>
    </row>
    <row r="66" spans="2:5" x14ac:dyDescent="0.2">
      <c r="B66" s="5"/>
      <c r="C66" s="395"/>
      <c r="D66" s="4"/>
      <c r="E66" s="4"/>
    </row>
    <row r="67" spans="2:5" x14ac:dyDescent="0.2">
      <c r="B67" s="5" t="s">
        <v>286</v>
      </c>
      <c r="C67" s="395"/>
      <c r="D67" s="4"/>
      <c r="E67" s="4"/>
    </row>
    <row r="68" spans="2:5" x14ac:dyDescent="0.2">
      <c r="B68" s="5"/>
      <c r="C68" s="395"/>
      <c r="D68" s="4"/>
      <c r="E68" s="4"/>
    </row>
    <row r="69" spans="2:5" x14ac:dyDescent="0.2">
      <c r="B69" s="6" t="s">
        <v>287</v>
      </c>
      <c r="C69" s="520" t="s">
        <v>288</v>
      </c>
      <c r="D69" s="520"/>
      <c r="E69" s="4" t="s">
        <v>289</v>
      </c>
    </row>
    <row r="70" spans="2:5" x14ac:dyDescent="0.2">
      <c r="B70" s="5"/>
      <c r="C70" s="520"/>
      <c r="D70" s="520"/>
      <c r="E70" s="4"/>
    </row>
    <row r="71" spans="2:5" x14ac:dyDescent="0.2">
      <c r="B71" s="6" t="s">
        <v>290</v>
      </c>
      <c r="C71" s="520" t="s">
        <v>291</v>
      </c>
      <c r="D71" s="520"/>
      <c r="E71" s="4" t="s">
        <v>292</v>
      </c>
    </row>
    <row r="72" spans="2:5" x14ac:dyDescent="0.2">
      <c r="B72" s="5"/>
      <c r="C72" s="520"/>
      <c r="D72" s="520"/>
      <c r="E72" s="4"/>
    </row>
    <row r="73" spans="2:5" x14ac:dyDescent="0.2">
      <c r="B73" s="6" t="s">
        <v>293</v>
      </c>
      <c r="C73" s="520" t="s">
        <v>288</v>
      </c>
      <c r="D73" s="520"/>
      <c r="E73" s="4" t="s">
        <v>292</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decimal" allowBlank="1" showInputMessage="1" showErrorMessage="1" sqref="C12:K62" xr:uid="{01951CCA-690C-4933-8DB3-D077B2302C54}">
      <formula1>0</formula1>
      <formula2>1E+38</formula2>
    </dataValidation>
    <dataValidation type="whole" allowBlank="1" showInputMessage="1" showErrorMessage="1" sqref="J7:K7" xr:uid="{3D927AB7-DF04-4068-8E41-4168C27FE4CE}">
      <formula1>1</formula1>
      <formula2>100000000000</formula2>
    </dataValidation>
  </dataValidations>
  <pageMargins left="0.78749999999999998" right="0.78749999999999998" top="1.0249999999999999" bottom="1.0249999999999999" header="0.78749999999999998" footer="0.78749999999999998"/>
  <pageSetup orientation="portrait" useFirstPageNumber="1" r:id="rId1"/>
  <headerFooter>
    <oddHeader>&amp;C&amp;A</oddHeader>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73"/>
  <sheetViews>
    <sheetView topLeftCell="D52" zoomScaleNormal="100" zoomScalePageLayoutView="60" workbookViewId="0">
      <selection activeCell="H83" sqref="H83"/>
    </sheetView>
  </sheetViews>
  <sheetFormatPr defaultRowHeight="12.75" x14ac:dyDescent="0.2"/>
  <cols>
    <col min="1" max="1" width="11.5703125" style="287"/>
    <col min="2" max="2" width="45.28515625" style="287" customWidth="1"/>
    <col min="3" max="11" width="25.5703125" style="287" customWidth="1"/>
    <col min="12" max="12" width="11.5703125" style="287"/>
    <col min="13" max="13" width="2.140625" style="287"/>
    <col min="14" max="1025" width="11.5703125" style="287"/>
    <col min="1026" max="16384" width="9.140625" style="287"/>
  </cols>
  <sheetData>
    <row r="1" spans="1:13" x14ac:dyDescent="0.2">
      <c r="A1" s="41"/>
      <c r="B1" s="5"/>
      <c r="C1" s="4"/>
      <c r="D1" s="4"/>
      <c r="E1" s="4"/>
      <c r="F1" s="539" t="s">
        <v>439</v>
      </c>
      <c r="G1" s="540"/>
      <c r="H1" s="540"/>
      <c r="I1" s="540"/>
      <c r="J1" s="540"/>
      <c r="K1" s="540"/>
      <c r="L1" s="294"/>
      <c r="M1" s="294"/>
    </row>
    <row r="2" spans="1:13" x14ac:dyDescent="0.2">
      <c r="A2" s="41"/>
      <c r="B2" s="5"/>
      <c r="C2" s="4"/>
      <c r="D2" s="4"/>
      <c r="E2" s="4"/>
      <c r="F2" s="540"/>
      <c r="G2" s="540"/>
      <c r="H2" s="540"/>
      <c r="I2" s="540"/>
      <c r="J2" s="540"/>
      <c r="K2" s="540"/>
      <c r="L2" s="294"/>
      <c r="M2" s="294"/>
    </row>
    <row r="3" spans="1:13" x14ac:dyDescent="0.2">
      <c r="A3" s="41"/>
      <c r="B3" s="5"/>
      <c r="C3" s="4"/>
      <c r="D3" s="4"/>
      <c r="E3" s="4"/>
      <c r="F3" s="540"/>
      <c r="G3" s="540"/>
      <c r="H3" s="540"/>
      <c r="I3" s="540"/>
      <c r="J3" s="540"/>
      <c r="K3" s="540"/>
      <c r="L3" s="294"/>
      <c r="M3" s="294"/>
    </row>
    <row r="4" spans="1:13" x14ac:dyDescent="0.2">
      <c r="A4" s="541" t="s">
        <v>461</v>
      </c>
      <c r="B4" s="540"/>
      <c r="C4" s="540"/>
      <c r="D4" s="540"/>
      <c r="E4" s="540"/>
      <c r="F4" s="540"/>
      <c r="G4" s="540"/>
      <c r="H4" s="540"/>
      <c r="I4" s="540"/>
      <c r="J4" s="540"/>
      <c r="K4" s="540"/>
      <c r="L4" s="294"/>
      <c r="M4" s="294"/>
    </row>
    <row r="5" spans="1:13" x14ac:dyDescent="0.2">
      <c r="A5" s="294"/>
      <c r="B5" s="295"/>
      <c r="C5" s="294"/>
      <c r="D5" s="294"/>
      <c r="E5" s="294"/>
      <c r="F5" s="294"/>
      <c r="G5" s="294"/>
      <c r="H5" s="294"/>
      <c r="I5" s="294"/>
      <c r="J5" s="294"/>
      <c r="K5" s="294"/>
      <c r="L5" s="294"/>
      <c r="M5" s="294"/>
    </row>
    <row r="6" spans="1:13" x14ac:dyDescent="0.2">
      <c r="A6" s="528" t="s">
        <v>277</v>
      </c>
      <c r="B6" s="529"/>
      <c r="C6" s="529"/>
      <c r="D6" s="529"/>
      <c r="E6" s="294"/>
      <c r="F6" s="294"/>
      <c r="G6" s="294"/>
      <c r="H6" s="294"/>
      <c r="I6" s="294"/>
      <c r="J6" s="517" t="s">
        <v>278</v>
      </c>
      <c r="K6" s="517"/>
      <c r="L6" s="294"/>
      <c r="M6" s="294"/>
    </row>
    <row r="7" spans="1:13" x14ac:dyDescent="0.2">
      <c r="A7" s="294"/>
      <c r="B7" s="294"/>
      <c r="C7" s="294"/>
      <c r="D7" s="294"/>
      <c r="E7" s="294"/>
      <c r="F7" s="294"/>
      <c r="G7" s="294"/>
      <c r="H7" s="294"/>
      <c r="I7" s="294"/>
      <c r="J7" s="271"/>
      <c r="K7" s="291" t="s">
        <v>279</v>
      </c>
      <c r="L7" s="294"/>
      <c r="M7" s="294"/>
    </row>
    <row r="8" spans="1:13" x14ac:dyDescent="0.2">
      <c r="A8" s="542" t="s">
        <v>280</v>
      </c>
      <c r="B8" s="545" t="s">
        <v>441</v>
      </c>
      <c r="C8" s="545" t="s">
        <v>442</v>
      </c>
      <c r="D8" s="547" t="s">
        <v>301</v>
      </c>
      <c r="E8" s="535"/>
      <c r="F8" s="535"/>
      <c r="G8" s="535"/>
      <c r="H8" s="535"/>
      <c r="I8" s="535"/>
      <c r="J8" s="536"/>
      <c r="K8" s="545" t="s">
        <v>119</v>
      </c>
      <c r="L8" s="294"/>
      <c r="M8" s="294"/>
    </row>
    <row r="9" spans="1:13" x14ac:dyDescent="0.2">
      <c r="A9" s="543"/>
      <c r="B9" s="546"/>
      <c r="C9" s="546"/>
      <c r="D9" s="537" t="s">
        <v>443</v>
      </c>
      <c r="E9" s="533" t="s">
        <v>444</v>
      </c>
      <c r="F9" s="534"/>
      <c r="G9" s="535"/>
      <c r="H9" s="535"/>
      <c r="I9" s="536"/>
      <c r="J9" s="537" t="s">
        <v>445</v>
      </c>
      <c r="K9" s="546"/>
      <c r="L9" s="294"/>
      <c r="M9" s="294"/>
    </row>
    <row r="10" spans="1:13" ht="25.5" x14ac:dyDescent="0.2">
      <c r="A10" s="544"/>
      <c r="B10" s="538"/>
      <c r="C10" s="546"/>
      <c r="D10" s="538"/>
      <c r="E10" s="42" t="s">
        <v>446</v>
      </c>
      <c r="F10" s="43" t="s">
        <v>118</v>
      </c>
      <c r="G10" s="44" t="s">
        <v>447</v>
      </c>
      <c r="H10" s="45" t="s">
        <v>448</v>
      </c>
      <c r="I10" s="45" t="s">
        <v>216</v>
      </c>
      <c r="J10" s="538"/>
      <c r="K10" s="538"/>
      <c r="L10" s="294"/>
      <c r="M10" s="294"/>
    </row>
    <row r="11" spans="1:13" x14ac:dyDescent="0.2">
      <c r="A11" s="46" t="s">
        <v>282</v>
      </c>
      <c r="B11" s="57" t="s">
        <v>283</v>
      </c>
      <c r="C11" s="58">
        <v>1</v>
      </c>
      <c r="D11" s="59">
        <v>2</v>
      </c>
      <c r="E11" s="49">
        <v>3</v>
      </c>
      <c r="F11" s="50">
        <v>4</v>
      </c>
      <c r="G11" s="51">
        <v>5</v>
      </c>
      <c r="H11" s="24">
        <v>6</v>
      </c>
      <c r="I11" s="24">
        <v>7</v>
      </c>
      <c r="J11" s="47">
        <v>8</v>
      </c>
      <c r="K11" s="47">
        <v>9</v>
      </c>
      <c r="L11" s="294"/>
      <c r="M11" s="294"/>
    </row>
    <row r="12" spans="1:13" ht="25.5" x14ac:dyDescent="0.2">
      <c r="A12" s="52" t="s">
        <v>235</v>
      </c>
      <c r="B12" s="60" t="s">
        <v>462</v>
      </c>
      <c r="C12" s="61">
        <f>SUM(C13:INDEX(C:C,ROWS(C:C)))</f>
        <v>0</v>
      </c>
      <c r="D12" s="61">
        <f>SUM(D13:INDEX(D:D,ROWS(D:D)))</f>
        <v>0</v>
      </c>
      <c r="E12" s="61">
        <f>SUM(E13:INDEX(E:E,ROWS(E:E)))</f>
        <v>0</v>
      </c>
      <c r="F12" s="61">
        <f>SUM(F13:INDEX(F:F,ROWS(F:F)))</f>
        <v>0</v>
      </c>
      <c r="G12" s="61">
        <f>SUM(G13:INDEX(G:G,ROWS(G:G)))</f>
        <v>0</v>
      </c>
      <c r="H12" s="61">
        <f>SUM(H13:INDEX(H:H,ROWS(H:H)))</f>
        <v>0</v>
      </c>
      <c r="I12" s="61">
        <f>SUM(I13:INDEX(I:I,ROWS(I:I)))</f>
        <v>0</v>
      </c>
      <c r="J12" s="61">
        <f>SUM(J13:INDEX(J:J,ROWS(J:J)))</f>
        <v>0</v>
      </c>
      <c r="K12" s="61">
        <f>SUM(K13:INDEX(K:K,ROWS(K:K)))</f>
        <v>0</v>
      </c>
      <c r="L12" s="294"/>
      <c r="M12" s="294" t="s">
        <v>0</v>
      </c>
    </row>
    <row r="13" spans="1:13" x14ac:dyDescent="0.2">
      <c r="A13" s="299" t="s">
        <v>236</v>
      </c>
      <c r="B13" s="29" t="s">
        <v>463</v>
      </c>
      <c r="C13" s="62"/>
      <c r="D13" s="30"/>
      <c r="E13" s="30"/>
      <c r="F13" s="30"/>
      <c r="G13" s="30"/>
      <c r="H13" s="30"/>
      <c r="I13" s="30"/>
      <c r="J13" s="296">
        <f t="shared" ref="J13:J62" si="0">SUM(D13:I13)</f>
        <v>0</v>
      </c>
      <c r="K13" s="30"/>
      <c r="L13" s="294"/>
      <c r="M13" s="294"/>
    </row>
    <row r="14" spans="1:13" x14ac:dyDescent="0.2">
      <c r="A14" s="299" t="s">
        <v>237</v>
      </c>
      <c r="B14" s="29" t="s">
        <v>463</v>
      </c>
      <c r="C14" s="30"/>
      <c r="D14" s="30"/>
      <c r="E14" s="30"/>
      <c r="F14" s="30"/>
      <c r="G14" s="30"/>
      <c r="H14" s="30"/>
      <c r="I14" s="30"/>
      <c r="J14" s="296">
        <f t="shared" si="0"/>
        <v>0</v>
      </c>
      <c r="K14" s="30"/>
      <c r="L14" s="294"/>
      <c r="M14" s="294"/>
    </row>
    <row r="15" spans="1:13" x14ac:dyDescent="0.2">
      <c r="A15" s="299" t="s">
        <v>238</v>
      </c>
      <c r="B15" s="29" t="s">
        <v>463</v>
      </c>
      <c r="C15" s="30"/>
      <c r="D15" s="30"/>
      <c r="E15" s="30"/>
      <c r="F15" s="30"/>
      <c r="G15" s="30"/>
      <c r="H15" s="30"/>
      <c r="I15" s="30"/>
      <c r="J15" s="296">
        <f t="shared" si="0"/>
        <v>0</v>
      </c>
      <c r="K15" s="30"/>
    </row>
    <row r="16" spans="1:13" x14ac:dyDescent="0.2">
      <c r="A16" s="299" t="s">
        <v>239</v>
      </c>
      <c r="B16" s="29" t="s">
        <v>463</v>
      </c>
      <c r="C16" s="30"/>
      <c r="D16" s="30"/>
      <c r="E16" s="30"/>
      <c r="F16" s="30"/>
      <c r="G16" s="30"/>
      <c r="H16" s="30"/>
      <c r="I16" s="30"/>
      <c r="J16" s="296">
        <f t="shared" si="0"/>
        <v>0</v>
      </c>
      <c r="K16" s="30"/>
    </row>
    <row r="17" spans="1:11" x14ac:dyDescent="0.2">
      <c r="A17" s="299" t="s">
        <v>241</v>
      </c>
      <c r="B17" s="29" t="s">
        <v>463</v>
      </c>
      <c r="C17" s="30"/>
      <c r="D17" s="30"/>
      <c r="E17" s="30"/>
      <c r="F17" s="30"/>
      <c r="G17" s="30"/>
      <c r="H17" s="30"/>
      <c r="I17" s="30"/>
      <c r="J17" s="296">
        <f t="shared" si="0"/>
        <v>0</v>
      </c>
      <c r="K17" s="30"/>
    </row>
    <row r="18" spans="1:11" x14ac:dyDescent="0.2">
      <c r="A18" s="299" t="s">
        <v>242</v>
      </c>
      <c r="B18" s="29" t="s">
        <v>463</v>
      </c>
      <c r="C18" s="30"/>
      <c r="D18" s="30"/>
      <c r="E18" s="30"/>
      <c r="F18" s="30"/>
      <c r="G18" s="30"/>
      <c r="H18" s="30"/>
      <c r="I18" s="30"/>
      <c r="J18" s="296">
        <f t="shared" si="0"/>
        <v>0</v>
      </c>
      <c r="K18" s="30"/>
    </row>
    <row r="19" spans="1:11" x14ac:dyDescent="0.2">
      <c r="A19" s="299" t="s">
        <v>243</v>
      </c>
      <c r="B19" s="29" t="s">
        <v>463</v>
      </c>
      <c r="C19" s="30"/>
      <c r="D19" s="30"/>
      <c r="E19" s="30"/>
      <c r="F19" s="30"/>
      <c r="G19" s="30"/>
      <c r="H19" s="30"/>
      <c r="I19" s="30"/>
      <c r="J19" s="296">
        <f t="shared" si="0"/>
        <v>0</v>
      </c>
      <c r="K19" s="30"/>
    </row>
    <row r="20" spans="1:11" x14ac:dyDescent="0.2">
      <c r="A20" s="299" t="s">
        <v>245</v>
      </c>
      <c r="B20" s="29" t="s">
        <v>463</v>
      </c>
      <c r="C20" s="30"/>
      <c r="D20" s="30"/>
      <c r="E20" s="30"/>
      <c r="F20" s="30"/>
      <c r="G20" s="30"/>
      <c r="H20" s="30"/>
      <c r="I20" s="30"/>
      <c r="J20" s="296">
        <f t="shared" si="0"/>
        <v>0</v>
      </c>
      <c r="K20" s="30"/>
    </row>
    <row r="21" spans="1:11" x14ac:dyDescent="0.2">
      <c r="A21" s="299" t="s">
        <v>247</v>
      </c>
      <c r="B21" s="29" t="s">
        <v>463</v>
      </c>
      <c r="C21" s="30"/>
      <c r="D21" s="30"/>
      <c r="E21" s="30"/>
      <c r="F21" s="30"/>
      <c r="G21" s="30"/>
      <c r="H21" s="30"/>
      <c r="I21" s="30"/>
      <c r="J21" s="296">
        <f t="shared" si="0"/>
        <v>0</v>
      </c>
      <c r="K21" s="30"/>
    </row>
    <row r="22" spans="1:11" x14ac:dyDescent="0.2">
      <c r="A22" s="299" t="s">
        <v>248</v>
      </c>
      <c r="B22" s="29" t="s">
        <v>463</v>
      </c>
      <c r="C22" s="30"/>
      <c r="D22" s="30"/>
      <c r="E22" s="30"/>
      <c r="F22" s="30"/>
      <c r="G22" s="30"/>
      <c r="H22" s="30"/>
      <c r="I22" s="30"/>
      <c r="J22" s="296">
        <f t="shared" si="0"/>
        <v>0</v>
      </c>
      <c r="K22" s="30"/>
    </row>
    <row r="23" spans="1:11" x14ac:dyDescent="0.2">
      <c r="A23" s="299" t="s">
        <v>249</v>
      </c>
      <c r="B23" s="29" t="s">
        <v>463</v>
      </c>
      <c r="C23" s="30"/>
      <c r="D23" s="30"/>
      <c r="E23" s="30"/>
      <c r="F23" s="30"/>
      <c r="G23" s="30"/>
      <c r="H23" s="30"/>
      <c r="I23" s="30"/>
      <c r="J23" s="296">
        <f t="shared" si="0"/>
        <v>0</v>
      </c>
      <c r="K23" s="30"/>
    </row>
    <row r="24" spans="1:11" x14ac:dyDescent="0.2">
      <c r="A24" s="299" t="s">
        <v>250</v>
      </c>
      <c r="B24" s="29" t="s">
        <v>463</v>
      </c>
      <c r="C24" s="30"/>
      <c r="D24" s="30"/>
      <c r="E24" s="30"/>
      <c r="F24" s="30"/>
      <c r="G24" s="30"/>
      <c r="H24" s="30"/>
      <c r="I24" s="30"/>
      <c r="J24" s="296">
        <f t="shared" si="0"/>
        <v>0</v>
      </c>
      <c r="K24" s="30"/>
    </row>
    <row r="25" spans="1:11" x14ac:dyDescent="0.2">
      <c r="A25" s="299" t="s">
        <v>251</v>
      </c>
      <c r="B25" s="29" t="s">
        <v>463</v>
      </c>
      <c r="C25" s="30"/>
      <c r="D25" s="30"/>
      <c r="E25" s="30"/>
      <c r="F25" s="30"/>
      <c r="G25" s="30"/>
      <c r="H25" s="30"/>
      <c r="I25" s="30"/>
      <c r="J25" s="296">
        <f t="shared" si="0"/>
        <v>0</v>
      </c>
      <c r="K25" s="30"/>
    </row>
    <row r="26" spans="1:11" x14ac:dyDescent="0.2">
      <c r="A26" s="299" t="s">
        <v>252</v>
      </c>
      <c r="B26" s="29" t="s">
        <v>463</v>
      </c>
      <c r="C26" s="30"/>
      <c r="D26" s="30"/>
      <c r="E26" s="30"/>
      <c r="F26" s="30"/>
      <c r="G26" s="30"/>
      <c r="H26" s="30"/>
      <c r="I26" s="30"/>
      <c r="J26" s="296">
        <f t="shared" si="0"/>
        <v>0</v>
      </c>
      <c r="K26" s="30"/>
    </row>
    <row r="27" spans="1:11" x14ac:dyDescent="0.2">
      <c r="A27" s="299" t="s">
        <v>253</v>
      </c>
      <c r="B27" s="29" t="s">
        <v>463</v>
      </c>
      <c r="C27" s="30"/>
      <c r="D27" s="30"/>
      <c r="E27" s="30"/>
      <c r="F27" s="30"/>
      <c r="G27" s="30"/>
      <c r="H27" s="30"/>
      <c r="I27" s="30"/>
      <c r="J27" s="296">
        <f t="shared" si="0"/>
        <v>0</v>
      </c>
      <c r="K27" s="30"/>
    </row>
    <row r="28" spans="1:11" x14ac:dyDescent="0.2">
      <c r="A28" s="299" t="s">
        <v>255</v>
      </c>
      <c r="B28" s="29" t="s">
        <v>463</v>
      </c>
      <c r="C28" s="30"/>
      <c r="D28" s="30"/>
      <c r="E28" s="30"/>
      <c r="F28" s="30"/>
      <c r="G28" s="30"/>
      <c r="H28" s="30"/>
      <c r="I28" s="30"/>
      <c r="J28" s="296">
        <f t="shared" si="0"/>
        <v>0</v>
      </c>
      <c r="K28" s="30"/>
    </row>
    <row r="29" spans="1:11" x14ac:dyDescent="0.2">
      <c r="A29" s="299" t="s">
        <v>256</v>
      </c>
      <c r="B29" s="29" t="s">
        <v>463</v>
      </c>
      <c r="C29" s="30"/>
      <c r="D29" s="30"/>
      <c r="E29" s="30"/>
      <c r="F29" s="30"/>
      <c r="G29" s="30"/>
      <c r="H29" s="30"/>
      <c r="I29" s="30"/>
      <c r="J29" s="296">
        <f t="shared" si="0"/>
        <v>0</v>
      </c>
      <c r="K29" s="30"/>
    </row>
    <row r="30" spans="1:11" x14ac:dyDescent="0.2">
      <c r="A30" s="299" t="s">
        <v>257</v>
      </c>
      <c r="B30" s="29" t="s">
        <v>463</v>
      </c>
      <c r="C30" s="30"/>
      <c r="D30" s="30"/>
      <c r="E30" s="30"/>
      <c r="F30" s="30"/>
      <c r="G30" s="30"/>
      <c r="H30" s="30"/>
      <c r="I30" s="30"/>
      <c r="J30" s="296">
        <f t="shared" si="0"/>
        <v>0</v>
      </c>
      <c r="K30" s="30"/>
    </row>
    <row r="31" spans="1:11" x14ac:dyDescent="0.2">
      <c r="A31" s="299" t="s">
        <v>259</v>
      </c>
      <c r="B31" s="29" t="s">
        <v>463</v>
      </c>
      <c r="C31" s="30"/>
      <c r="D31" s="30"/>
      <c r="E31" s="30"/>
      <c r="F31" s="30"/>
      <c r="G31" s="30"/>
      <c r="H31" s="30"/>
      <c r="I31" s="30"/>
      <c r="J31" s="296">
        <f t="shared" si="0"/>
        <v>0</v>
      </c>
      <c r="K31" s="30"/>
    </row>
    <row r="32" spans="1:11" x14ac:dyDescent="0.2">
      <c r="A32" s="299" t="s">
        <v>261</v>
      </c>
      <c r="B32" s="29" t="s">
        <v>463</v>
      </c>
      <c r="C32" s="30"/>
      <c r="D32" s="30"/>
      <c r="E32" s="30"/>
      <c r="F32" s="30"/>
      <c r="G32" s="30"/>
      <c r="H32" s="30"/>
      <c r="I32" s="30"/>
      <c r="J32" s="296">
        <f t="shared" si="0"/>
        <v>0</v>
      </c>
      <c r="K32" s="30"/>
    </row>
    <row r="33" spans="1:11" x14ac:dyDescent="0.2">
      <c r="A33" s="299" t="s">
        <v>262</v>
      </c>
      <c r="B33" s="29" t="s">
        <v>463</v>
      </c>
      <c r="C33" s="30"/>
      <c r="D33" s="30"/>
      <c r="E33" s="30"/>
      <c r="F33" s="30"/>
      <c r="G33" s="30"/>
      <c r="H33" s="30"/>
      <c r="I33" s="30"/>
      <c r="J33" s="296">
        <f t="shared" si="0"/>
        <v>0</v>
      </c>
      <c r="K33" s="30"/>
    </row>
    <row r="34" spans="1:11" x14ac:dyDescent="0.2">
      <c r="A34" s="299" t="s">
        <v>263</v>
      </c>
      <c r="B34" s="29" t="s">
        <v>463</v>
      </c>
      <c r="C34" s="30"/>
      <c r="D34" s="30"/>
      <c r="E34" s="30"/>
      <c r="F34" s="30"/>
      <c r="G34" s="30"/>
      <c r="H34" s="30"/>
      <c r="I34" s="30"/>
      <c r="J34" s="296">
        <f t="shared" si="0"/>
        <v>0</v>
      </c>
      <c r="K34" s="30"/>
    </row>
    <row r="35" spans="1:11" x14ac:dyDescent="0.2">
      <c r="A35" s="299" t="s">
        <v>452</v>
      </c>
      <c r="B35" s="29" t="s">
        <v>463</v>
      </c>
      <c r="C35" s="30"/>
      <c r="D35" s="30"/>
      <c r="E35" s="30"/>
      <c r="F35" s="30"/>
      <c r="G35" s="30"/>
      <c r="H35" s="30"/>
      <c r="I35" s="30"/>
      <c r="J35" s="296">
        <f t="shared" si="0"/>
        <v>0</v>
      </c>
      <c r="K35" s="30"/>
    </row>
    <row r="36" spans="1:11" x14ac:dyDescent="0.2">
      <c r="A36" s="299" t="s">
        <v>453</v>
      </c>
      <c r="B36" s="29" t="s">
        <v>463</v>
      </c>
      <c r="C36" s="30"/>
      <c r="D36" s="30"/>
      <c r="E36" s="30"/>
      <c r="F36" s="30"/>
      <c r="G36" s="30"/>
      <c r="H36" s="30"/>
      <c r="I36" s="30"/>
      <c r="J36" s="296">
        <f t="shared" si="0"/>
        <v>0</v>
      </c>
      <c r="K36" s="30"/>
    </row>
    <row r="37" spans="1:11" x14ac:dyDescent="0.2">
      <c r="A37" s="299" t="s">
        <v>454</v>
      </c>
      <c r="B37" s="29" t="s">
        <v>463</v>
      </c>
      <c r="C37" s="30"/>
      <c r="D37" s="30"/>
      <c r="E37" s="30"/>
      <c r="F37" s="30"/>
      <c r="G37" s="30"/>
      <c r="H37" s="30"/>
      <c r="I37" s="30"/>
      <c r="J37" s="296">
        <f t="shared" si="0"/>
        <v>0</v>
      </c>
      <c r="K37" s="30"/>
    </row>
    <row r="38" spans="1:11" x14ac:dyDescent="0.2">
      <c r="A38" s="299" t="s">
        <v>455</v>
      </c>
      <c r="B38" s="29" t="s">
        <v>463</v>
      </c>
      <c r="C38" s="30"/>
      <c r="D38" s="30"/>
      <c r="E38" s="30"/>
      <c r="F38" s="30"/>
      <c r="G38" s="30"/>
      <c r="H38" s="30"/>
      <c r="I38" s="30"/>
      <c r="J38" s="296">
        <f t="shared" si="0"/>
        <v>0</v>
      </c>
      <c r="K38" s="30"/>
    </row>
    <row r="39" spans="1:11" x14ac:dyDescent="0.2">
      <c r="A39" s="299" t="s">
        <v>456</v>
      </c>
      <c r="B39" s="29" t="s">
        <v>463</v>
      </c>
      <c r="C39" s="30"/>
      <c r="D39" s="30"/>
      <c r="E39" s="30"/>
      <c r="F39" s="30"/>
      <c r="G39" s="30"/>
      <c r="H39" s="30"/>
      <c r="I39" s="30"/>
      <c r="J39" s="296">
        <f t="shared" si="0"/>
        <v>0</v>
      </c>
      <c r="K39" s="30"/>
    </row>
    <row r="40" spans="1:11" x14ac:dyDescent="0.2">
      <c r="A40" s="299" t="s">
        <v>457</v>
      </c>
      <c r="B40" s="29" t="s">
        <v>463</v>
      </c>
      <c r="C40" s="30"/>
      <c r="D40" s="30"/>
      <c r="E40" s="30"/>
      <c r="F40" s="30"/>
      <c r="G40" s="30"/>
      <c r="H40" s="30"/>
      <c r="I40" s="30"/>
      <c r="J40" s="296">
        <f t="shared" si="0"/>
        <v>0</v>
      </c>
      <c r="K40" s="30"/>
    </row>
    <row r="41" spans="1:11" x14ac:dyDescent="0.2">
      <c r="A41" s="299" t="s">
        <v>458</v>
      </c>
      <c r="B41" s="29" t="s">
        <v>463</v>
      </c>
      <c r="C41" s="30"/>
      <c r="D41" s="30"/>
      <c r="E41" s="30"/>
      <c r="F41" s="30"/>
      <c r="G41" s="30"/>
      <c r="H41" s="30"/>
      <c r="I41" s="30"/>
      <c r="J41" s="296">
        <f t="shared" si="0"/>
        <v>0</v>
      </c>
      <c r="K41" s="30"/>
    </row>
    <row r="42" spans="1:11" x14ac:dyDescent="0.2">
      <c r="A42" s="299" t="s">
        <v>459</v>
      </c>
      <c r="B42" s="29" t="s">
        <v>463</v>
      </c>
      <c r="C42" s="30"/>
      <c r="D42" s="30"/>
      <c r="E42" s="30"/>
      <c r="F42" s="30"/>
      <c r="G42" s="30"/>
      <c r="H42" s="30"/>
      <c r="I42" s="30"/>
      <c r="J42" s="296">
        <f t="shared" si="0"/>
        <v>0</v>
      </c>
      <c r="K42" s="30"/>
    </row>
    <row r="43" spans="1:11" x14ac:dyDescent="0.2">
      <c r="A43" s="299" t="s">
        <v>976</v>
      </c>
      <c r="B43" s="29" t="s">
        <v>463</v>
      </c>
      <c r="C43" s="30"/>
      <c r="D43" s="30"/>
      <c r="E43" s="30"/>
      <c r="F43" s="30"/>
      <c r="G43" s="30"/>
      <c r="H43" s="30"/>
      <c r="I43" s="30"/>
      <c r="J43" s="296">
        <f t="shared" si="0"/>
        <v>0</v>
      </c>
      <c r="K43" s="30"/>
    </row>
    <row r="44" spans="1:11" x14ac:dyDescent="0.2">
      <c r="A44" s="299" t="s">
        <v>977</v>
      </c>
      <c r="B44" s="29" t="s">
        <v>463</v>
      </c>
      <c r="C44" s="30"/>
      <c r="D44" s="30"/>
      <c r="E44" s="30"/>
      <c r="F44" s="30"/>
      <c r="G44" s="30"/>
      <c r="H44" s="30"/>
      <c r="I44" s="30"/>
      <c r="J44" s="296">
        <f t="shared" si="0"/>
        <v>0</v>
      </c>
      <c r="K44" s="30"/>
    </row>
    <row r="45" spans="1:11" x14ac:dyDescent="0.2">
      <c r="A45" s="299" t="s">
        <v>978</v>
      </c>
      <c r="B45" s="29" t="s">
        <v>463</v>
      </c>
      <c r="C45" s="30"/>
      <c r="D45" s="30"/>
      <c r="E45" s="30"/>
      <c r="F45" s="30"/>
      <c r="G45" s="30"/>
      <c r="H45" s="30"/>
      <c r="I45" s="30"/>
      <c r="J45" s="296">
        <f t="shared" si="0"/>
        <v>0</v>
      </c>
      <c r="K45" s="30"/>
    </row>
    <row r="46" spans="1:11" x14ac:dyDescent="0.2">
      <c r="A46" s="299" t="s">
        <v>979</v>
      </c>
      <c r="B46" s="29" t="s">
        <v>463</v>
      </c>
      <c r="C46" s="30"/>
      <c r="D46" s="30"/>
      <c r="E46" s="30"/>
      <c r="F46" s="30"/>
      <c r="G46" s="30"/>
      <c r="H46" s="30"/>
      <c r="I46" s="30"/>
      <c r="J46" s="296">
        <f t="shared" si="0"/>
        <v>0</v>
      </c>
      <c r="K46" s="30"/>
    </row>
    <row r="47" spans="1:11" x14ac:dyDescent="0.2">
      <c r="A47" s="299" t="s">
        <v>980</v>
      </c>
      <c r="B47" s="29" t="s">
        <v>463</v>
      </c>
      <c r="C47" s="30"/>
      <c r="D47" s="30"/>
      <c r="E47" s="30"/>
      <c r="F47" s="30"/>
      <c r="G47" s="30"/>
      <c r="H47" s="30"/>
      <c r="I47" s="30"/>
      <c r="J47" s="296">
        <f t="shared" si="0"/>
        <v>0</v>
      </c>
      <c r="K47" s="30"/>
    </row>
    <row r="48" spans="1:11" x14ac:dyDescent="0.2">
      <c r="A48" s="299" t="s">
        <v>981</v>
      </c>
      <c r="B48" s="29" t="s">
        <v>463</v>
      </c>
      <c r="C48" s="30"/>
      <c r="D48" s="30"/>
      <c r="E48" s="30"/>
      <c r="F48" s="30"/>
      <c r="G48" s="30"/>
      <c r="H48" s="30"/>
      <c r="I48" s="30"/>
      <c r="J48" s="296">
        <f t="shared" si="0"/>
        <v>0</v>
      </c>
      <c r="K48" s="30"/>
    </row>
    <row r="49" spans="1:11" x14ac:dyDescent="0.2">
      <c r="A49" s="299" t="s">
        <v>982</v>
      </c>
      <c r="B49" s="29" t="s">
        <v>463</v>
      </c>
      <c r="C49" s="30"/>
      <c r="D49" s="30"/>
      <c r="E49" s="30"/>
      <c r="F49" s="30"/>
      <c r="G49" s="30"/>
      <c r="H49" s="30"/>
      <c r="I49" s="30"/>
      <c r="J49" s="296">
        <f t="shared" si="0"/>
        <v>0</v>
      </c>
      <c r="K49" s="30"/>
    </row>
    <row r="50" spans="1:11" x14ac:dyDescent="0.2">
      <c r="A50" s="299" t="s">
        <v>983</v>
      </c>
      <c r="B50" s="29" t="s">
        <v>463</v>
      </c>
      <c r="C50" s="30"/>
      <c r="D50" s="30"/>
      <c r="E50" s="30"/>
      <c r="F50" s="30"/>
      <c r="G50" s="30"/>
      <c r="H50" s="30"/>
      <c r="I50" s="30"/>
      <c r="J50" s="296">
        <f t="shared" si="0"/>
        <v>0</v>
      </c>
      <c r="K50" s="30"/>
    </row>
    <row r="51" spans="1:11" x14ac:dyDescent="0.2">
      <c r="A51" s="299" t="s">
        <v>984</v>
      </c>
      <c r="B51" s="29" t="s">
        <v>463</v>
      </c>
      <c r="C51" s="30"/>
      <c r="D51" s="30"/>
      <c r="E51" s="30"/>
      <c r="F51" s="30"/>
      <c r="G51" s="30"/>
      <c r="H51" s="30"/>
      <c r="I51" s="30"/>
      <c r="J51" s="296">
        <f t="shared" si="0"/>
        <v>0</v>
      </c>
      <c r="K51" s="30"/>
    </row>
    <row r="52" spans="1:11" x14ac:dyDescent="0.2">
      <c r="A52" s="299" t="s">
        <v>985</v>
      </c>
      <c r="B52" s="29" t="s">
        <v>463</v>
      </c>
      <c r="C52" s="30"/>
      <c r="D52" s="30"/>
      <c r="E52" s="30"/>
      <c r="F52" s="30"/>
      <c r="G52" s="30"/>
      <c r="H52" s="30"/>
      <c r="I52" s="30"/>
      <c r="J52" s="296">
        <f t="shared" si="0"/>
        <v>0</v>
      </c>
      <c r="K52" s="30"/>
    </row>
    <row r="53" spans="1:11" x14ac:dyDescent="0.2">
      <c r="A53" s="299" t="s">
        <v>986</v>
      </c>
      <c r="B53" s="29" t="s">
        <v>463</v>
      </c>
      <c r="C53" s="30"/>
      <c r="D53" s="30"/>
      <c r="E53" s="30"/>
      <c r="F53" s="30"/>
      <c r="G53" s="30"/>
      <c r="H53" s="30"/>
      <c r="I53" s="30"/>
      <c r="J53" s="296">
        <f t="shared" si="0"/>
        <v>0</v>
      </c>
      <c r="K53" s="30"/>
    </row>
    <row r="54" spans="1:11" x14ac:dyDescent="0.2">
      <c r="A54" s="299" t="s">
        <v>987</v>
      </c>
      <c r="B54" s="29" t="s">
        <v>463</v>
      </c>
      <c r="C54" s="30"/>
      <c r="D54" s="30"/>
      <c r="E54" s="30"/>
      <c r="F54" s="30"/>
      <c r="G54" s="30"/>
      <c r="H54" s="30"/>
      <c r="I54" s="30"/>
      <c r="J54" s="296">
        <f t="shared" si="0"/>
        <v>0</v>
      </c>
      <c r="K54" s="30"/>
    </row>
    <row r="55" spans="1:11" x14ac:dyDescent="0.2">
      <c r="A55" s="299" t="s">
        <v>988</v>
      </c>
      <c r="B55" s="29" t="s">
        <v>463</v>
      </c>
      <c r="C55" s="30"/>
      <c r="D55" s="30"/>
      <c r="E55" s="30"/>
      <c r="F55" s="30"/>
      <c r="G55" s="30"/>
      <c r="H55" s="30"/>
      <c r="I55" s="30"/>
      <c r="J55" s="296">
        <f t="shared" si="0"/>
        <v>0</v>
      </c>
      <c r="K55" s="30"/>
    </row>
    <row r="56" spans="1:11" x14ac:dyDescent="0.2">
      <c r="A56" s="299" t="s">
        <v>989</v>
      </c>
      <c r="B56" s="29" t="s">
        <v>463</v>
      </c>
      <c r="C56" s="30"/>
      <c r="D56" s="30"/>
      <c r="E56" s="30"/>
      <c r="F56" s="30"/>
      <c r="G56" s="30"/>
      <c r="H56" s="30"/>
      <c r="I56" s="30"/>
      <c r="J56" s="296">
        <f t="shared" si="0"/>
        <v>0</v>
      </c>
      <c r="K56" s="30"/>
    </row>
    <row r="57" spans="1:11" x14ac:dyDescent="0.2">
      <c r="A57" s="299" t="s">
        <v>990</v>
      </c>
      <c r="B57" s="29" t="s">
        <v>463</v>
      </c>
      <c r="C57" s="30"/>
      <c r="D57" s="30"/>
      <c r="E57" s="30"/>
      <c r="F57" s="30"/>
      <c r="G57" s="30"/>
      <c r="H57" s="30"/>
      <c r="I57" s="30"/>
      <c r="J57" s="296">
        <f t="shared" si="0"/>
        <v>0</v>
      </c>
      <c r="K57" s="30"/>
    </row>
    <row r="58" spans="1:11" x14ac:dyDescent="0.2">
      <c r="A58" s="299" t="s">
        <v>991</v>
      </c>
      <c r="B58" s="29" t="s">
        <v>463</v>
      </c>
      <c r="C58" s="30"/>
      <c r="D58" s="30"/>
      <c r="E58" s="30"/>
      <c r="F58" s="30"/>
      <c r="G58" s="30"/>
      <c r="H58" s="30"/>
      <c r="I58" s="30"/>
      <c r="J58" s="296">
        <f t="shared" si="0"/>
        <v>0</v>
      </c>
      <c r="K58" s="30"/>
    </row>
    <row r="59" spans="1:11" x14ac:dyDescent="0.2">
      <c r="A59" s="299" t="s">
        <v>992</v>
      </c>
      <c r="B59" s="29" t="s">
        <v>463</v>
      </c>
      <c r="C59" s="30"/>
      <c r="D59" s="30"/>
      <c r="E59" s="30"/>
      <c r="F59" s="30"/>
      <c r="G59" s="30"/>
      <c r="H59" s="30"/>
      <c r="I59" s="30"/>
      <c r="J59" s="296">
        <f t="shared" si="0"/>
        <v>0</v>
      </c>
      <c r="K59" s="30"/>
    </row>
    <row r="60" spans="1:11" x14ac:dyDescent="0.2">
      <c r="A60" s="299" t="s">
        <v>993</v>
      </c>
      <c r="B60" s="29" t="s">
        <v>463</v>
      </c>
      <c r="C60" s="30"/>
      <c r="D60" s="30"/>
      <c r="E60" s="30"/>
      <c r="F60" s="30"/>
      <c r="G60" s="30"/>
      <c r="H60" s="30"/>
      <c r="I60" s="30"/>
      <c r="J60" s="296">
        <f t="shared" si="0"/>
        <v>0</v>
      </c>
      <c r="K60" s="30"/>
    </row>
    <row r="61" spans="1:11" x14ac:dyDescent="0.2">
      <c r="A61" s="299" t="s">
        <v>994</v>
      </c>
      <c r="B61" s="29" t="s">
        <v>463</v>
      </c>
      <c r="C61" s="30"/>
      <c r="D61" s="30"/>
      <c r="E61" s="30"/>
      <c r="F61" s="30"/>
      <c r="G61" s="30"/>
      <c r="H61" s="30"/>
      <c r="I61" s="30"/>
      <c r="J61" s="296">
        <f t="shared" si="0"/>
        <v>0</v>
      </c>
      <c r="K61" s="30"/>
    </row>
    <row r="62" spans="1:11" x14ac:dyDescent="0.2">
      <c r="A62" s="299" t="s">
        <v>995</v>
      </c>
      <c r="B62" s="298" t="s">
        <v>464</v>
      </c>
      <c r="C62" s="30"/>
      <c r="D62" s="30"/>
      <c r="E62" s="30"/>
      <c r="F62" s="30"/>
      <c r="G62" s="30"/>
      <c r="H62" s="30"/>
      <c r="I62" s="30"/>
      <c r="J62" s="296">
        <f t="shared" si="0"/>
        <v>0</v>
      </c>
      <c r="K62" s="30"/>
    </row>
    <row r="65" spans="2:5" x14ac:dyDescent="0.2">
      <c r="B65" s="2" t="s">
        <v>285</v>
      </c>
      <c r="C65" s="272"/>
      <c r="D65" s="4"/>
      <c r="E65" s="4"/>
    </row>
    <row r="66" spans="2:5" x14ac:dyDescent="0.2">
      <c r="B66" s="5"/>
      <c r="C66" s="272"/>
      <c r="D66" s="4"/>
      <c r="E66" s="4"/>
    </row>
    <row r="67" spans="2:5" x14ac:dyDescent="0.2">
      <c r="B67" s="5" t="s">
        <v>286</v>
      </c>
      <c r="C67" s="272"/>
      <c r="D67" s="4"/>
      <c r="E67" s="4"/>
    </row>
    <row r="68" spans="2:5" x14ac:dyDescent="0.2">
      <c r="B68" s="5"/>
      <c r="C68" s="272"/>
      <c r="D68" s="4"/>
      <c r="E68" s="4"/>
    </row>
    <row r="69" spans="2:5" x14ac:dyDescent="0.2">
      <c r="B69" s="6" t="s">
        <v>287</v>
      </c>
      <c r="C69" s="520" t="s">
        <v>288</v>
      </c>
      <c r="D69" s="520"/>
      <c r="E69" s="4" t="s">
        <v>289</v>
      </c>
    </row>
    <row r="70" spans="2:5" x14ac:dyDescent="0.2">
      <c r="B70" s="5"/>
      <c r="C70" s="520"/>
      <c r="D70" s="520"/>
      <c r="E70" s="4"/>
    </row>
    <row r="71" spans="2:5" x14ac:dyDescent="0.2">
      <c r="B71" s="6" t="s">
        <v>290</v>
      </c>
      <c r="C71" s="520" t="s">
        <v>291</v>
      </c>
      <c r="D71" s="520"/>
      <c r="E71" s="4" t="s">
        <v>292</v>
      </c>
    </row>
    <row r="72" spans="2:5" x14ac:dyDescent="0.2">
      <c r="B72" s="5"/>
      <c r="C72" s="520"/>
      <c r="D72" s="520"/>
      <c r="E72" s="4"/>
    </row>
    <row r="73" spans="2:5" x14ac:dyDescent="0.2">
      <c r="B73" s="6" t="s">
        <v>293</v>
      </c>
      <c r="C73" s="520" t="s">
        <v>288</v>
      </c>
      <c r="D73" s="520"/>
      <c r="E73" s="4" t="s">
        <v>292</v>
      </c>
    </row>
  </sheetData>
  <sheetProtection password="CA9F" sheet="1" objects="1" scenarios="1"/>
  <mergeCells count="17">
    <mergeCell ref="F1:K3"/>
    <mergeCell ref="A4:K4"/>
    <mergeCell ref="A6:D6"/>
    <mergeCell ref="J6:K6"/>
    <mergeCell ref="A8:A10"/>
    <mergeCell ref="B8:B10"/>
    <mergeCell ref="C8:C10"/>
    <mergeCell ref="D8:J8"/>
    <mergeCell ref="K8:K10"/>
    <mergeCell ref="D9:D10"/>
    <mergeCell ref="C73:D73"/>
    <mergeCell ref="E9:I9"/>
    <mergeCell ref="J9:J10"/>
    <mergeCell ref="C69:D69"/>
    <mergeCell ref="C70:D70"/>
    <mergeCell ref="C71:D71"/>
    <mergeCell ref="C72:D72"/>
  </mergeCells>
  <dataValidations count="2">
    <dataValidation type="decimal" allowBlank="1" showInputMessage="1" showErrorMessage="1" sqref="C12:K62" xr:uid="{A79E0B12-4F50-45BF-A309-34DF12107FE7}">
      <formula1>0</formula1>
      <formula2>1E+38</formula2>
    </dataValidation>
    <dataValidation type="whole" allowBlank="1" showInputMessage="1" showErrorMessage="1" sqref="J7:K7" xr:uid="{14686051-509A-416F-BAF5-E821AAC99C17}">
      <formula1>1</formula1>
      <formula2>100000000000</formula2>
    </dataValidation>
  </dataValidations>
  <pageMargins left="0.78749999999999998" right="0.78749999999999998" top="1.0249999999999999" bottom="1.0249999999999999" header="0.78749999999999998" footer="0.78749999999999998"/>
  <pageSetup paperSize="0" scale="0" orientation="portrait" usePrinterDefaults="0" useFirstPageNumber="1" horizontalDpi="0" verticalDpi="0" copies="0"/>
  <headerFooter>
    <oddHeader>&amp;C&amp;A</oddHeader>
    <oddFooter>&amp;CPage &amp;P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5719C-08D5-427C-9BFF-9F2C1C44A5D0}">
  <dimension ref="A3:D177"/>
  <sheetViews>
    <sheetView topLeftCell="A150" workbookViewId="0">
      <selection activeCell="C135" sqref="C135:C142"/>
    </sheetView>
  </sheetViews>
  <sheetFormatPr defaultRowHeight="12.75" x14ac:dyDescent="0.2"/>
  <cols>
    <col min="1" max="1" width="54.42578125" style="287" customWidth="1"/>
    <col min="2" max="2" width="18.7109375" style="287" bestFit="1" customWidth="1"/>
    <col min="3" max="4" width="27.85546875" style="287" customWidth="1"/>
    <col min="5" max="16384" width="9.140625" style="287"/>
  </cols>
  <sheetData>
    <row r="3" spans="1:4" x14ac:dyDescent="0.2">
      <c r="A3" s="548" t="s">
        <v>659</v>
      </c>
      <c r="B3" s="548"/>
      <c r="C3" s="548"/>
      <c r="D3" s="548"/>
    </row>
    <row r="4" spans="1:4" x14ac:dyDescent="0.2">
      <c r="A4" s="398"/>
      <c r="B4" s="399"/>
      <c r="C4" s="398"/>
      <c r="D4" s="398"/>
    </row>
    <row r="5" spans="1:4" x14ac:dyDescent="0.2">
      <c r="A5" s="549" t="s">
        <v>277</v>
      </c>
      <c r="B5" s="549"/>
      <c r="C5" s="517" t="s">
        <v>278</v>
      </c>
      <c r="D5" s="517"/>
    </row>
    <row r="6" spans="1:4" x14ac:dyDescent="0.2">
      <c r="A6" s="160"/>
      <c r="B6" s="161"/>
      <c r="C6" s="397"/>
      <c r="D6" s="291" t="s">
        <v>279</v>
      </c>
    </row>
    <row r="7" spans="1:4" x14ac:dyDescent="0.2">
      <c r="A7" s="162" t="s">
        <v>465</v>
      </c>
      <c r="B7" s="163" t="s">
        <v>466</v>
      </c>
      <c r="C7" s="163" t="s">
        <v>296</v>
      </c>
      <c r="D7" s="163" t="s">
        <v>296</v>
      </c>
    </row>
    <row r="8" spans="1:4" x14ac:dyDescent="0.2">
      <c r="A8" s="164" t="s">
        <v>282</v>
      </c>
      <c r="B8" s="165" t="s">
        <v>283</v>
      </c>
      <c r="C8" s="165">
        <v>1</v>
      </c>
      <c r="D8" s="165">
        <v>2</v>
      </c>
    </row>
    <row r="9" spans="1:4" x14ac:dyDescent="0.2">
      <c r="A9" s="166" t="s">
        <v>467</v>
      </c>
      <c r="B9" s="167">
        <v>1010</v>
      </c>
      <c r="C9" s="54"/>
      <c r="D9" s="54"/>
    </row>
    <row r="10" spans="1:4" x14ac:dyDescent="0.2">
      <c r="A10" s="166" t="s">
        <v>468</v>
      </c>
      <c r="B10" s="167">
        <v>1020</v>
      </c>
      <c r="C10" s="54"/>
      <c r="D10" s="54"/>
    </row>
    <row r="11" spans="1:4" x14ac:dyDescent="0.2">
      <c r="A11" s="166" t="s">
        <v>469</v>
      </c>
      <c r="B11" s="167">
        <v>1030</v>
      </c>
      <c r="C11" s="54"/>
      <c r="D11" s="54"/>
    </row>
    <row r="12" spans="1:4" x14ac:dyDescent="0.2">
      <c r="A12" s="166" t="s">
        <v>470</v>
      </c>
      <c r="B12" s="167">
        <v>1110</v>
      </c>
      <c r="C12" s="54"/>
      <c r="D12" s="54"/>
    </row>
    <row r="13" spans="1:4" x14ac:dyDescent="0.2">
      <c r="A13" s="166" t="s">
        <v>471</v>
      </c>
      <c r="B13" s="167">
        <v>1111</v>
      </c>
      <c r="C13" s="54"/>
      <c r="D13" s="54"/>
    </row>
    <row r="14" spans="1:4" x14ac:dyDescent="0.2">
      <c r="A14" s="166" t="s">
        <v>472</v>
      </c>
      <c r="B14" s="167">
        <v>1112</v>
      </c>
      <c r="C14" s="54"/>
      <c r="D14" s="54"/>
    </row>
    <row r="15" spans="1:4" x14ac:dyDescent="0.2">
      <c r="A15" s="166" t="s">
        <v>473</v>
      </c>
      <c r="B15" s="167">
        <v>1120</v>
      </c>
      <c r="C15" s="54"/>
      <c r="D15" s="54"/>
    </row>
    <row r="16" spans="1:4" x14ac:dyDescent="0.2">
      <c r="A16" s="166" t="s">
        <v>474</v>
      </c>
      <c r="B16" s="167">
        <v>1121</v>
      </c>
      <c r="C16" s="54"/>
      <c r="D16" s="54"/>
    </row>
    <row r="17" spans="1:4" ht="25.5" x14ac:dyDescent="0.2">
      <c r="A17" s="166" t="s">
        <v>475</v>
      </c>
      <c r="B17" s="167">
        <v>1130</v>
      </c>
      <c r="C17" s="54"/>
      <c r="D17" s="54"/>
    </row>
    <row r="18" spans="1:4" ht="25.5" x14ac:dyDescent="0.2">
      <c r="A18" s="166" t="s">
        <v>476</v>
      </c>
      <c r="B18" s="167">
        <v>1131</v>
      </c>
      <c r="C18" s="54"/>
      <c r="D18" s="54"/>
    </row>
    <row r="19" spans="1:4" ht="25.5" x14ac:dyDescent="0.2">
      <c r="A19" s="166" t="s">
        <v>477</v>
      </c>
      <c r="B19" s="167">
        <v>1132</v>
      </c>
      <c r="C19" s="54"/>
      <c r="D19" s="54"/>
    </row>
    <row r="20" spans="1:4" ht="25.5" x14ac:dyDescent="0.2">
      <c r="A20" s="166" t="s">
        <v>478</v>
      </c>
      <c r="B20" s="167">
        <v>1140</v>
      </c>
      <c r="C20" s="54"/>
      <c r="D20" s="54"/>
    </row>
    <row r="21" spans="1:4" ht="25.5" x14ac:dyDescent="0.2">
      <c r="A21" s="166" t="s">
        <v>479</v>
      </c>
      <c r="B21" s="167">
        <v>1141</v>
      </c>
      <c r="C21" s="54"/>
      <c r="D21" s="54"/>
    </row>
    <row r="22" spans="1:4" ht="25.5" x14ac:dyDescent="0.2">
      <c r="A22" s="166" t="s">
        <v>480</v>
      </c>
      <c r="B22" s="167">
        <v>1142</v>
      </c>
      <c r="C22" s="54"/>
      <c r="D22" s="54"/>
    </row>
    <row r="23" spans="1:4" x14ac:dyDescent="0.2">
      <c r="A23" s="166" t="s">
        <v>481</v>
      </c>
      <c r="B23" s="167">
        <v>1150</v>
      </c>
      <c r="C23" s="54"/>
      <c r="D23" s="54"/>
    </row>
    <row r="24" spans="1:4" x14ac:dyDescent="0.2">
      <c r="A24" s="166" t="s">
        <v>482</v>
      </c>
      <c r="B24" s="167">
        <v>1151</v>
      </c>
      <c r="C24" s="54"/>
      <c r="D24" s="54"/>
    </row>
    <row r="25" spans="1:4" ht="25.5" x14ac:dyDescent="0.2">
      <c r="A25" s="166" t="s">
        <v>483</v>
      </c>
      <c r="B25" s="167">
        <v>1160</v>
      </c>
      <c r="C25" s="54"/>
      <c r="D25" s="54"/>
    </row>
    <row r="26" spans="1:4" ht="25.5" x14ac:dyDescent="0.2">
      <c r="A26" s="166" t="s">
        <v>484</v>
      </c>
      <c r="B26" s="167">
        <v>1161</v>
      </c>
      <c r="C26" s="54"/>
      <c r="D26" s="54"/>
    </row>
    <row r="27" spans="1:4" ht="25.5" x14ac:dyDescent="0.2">
      <c r="A27" s="166" t="s">
        <v>485</v>
      </c>
      <c r="B27" s="167">
        <v>1162</v>
      </c>
      <c r="C27" s="54"/>
      <c r="D27" s="54"/>
    </row>
    <row r="28" spans="1:4" x14ac:dyDescent="0.2">
      <c r="A28" s="166" t="s">
        <v>486</v>
      </c>
      <c r="B28" s="167">
        <v>1170</v>
      </c>
      <c r="C28" s="54"/>
      <c r="D28" s="54"/>
    </row>
    <row r="29" spans="1:4" x14ac:dyDescent="0.2">
      <c r="A29" s="166" t="s">
        <v>487</v>
      </c>
      <c r="B29" s="167">
        <v>1171</v>
      </c>
      <c r="C29" s="54"/>
      <c r="D29" s="54"/>
    </row>
    <row r="30" spans="1:4" x14ac:dyDescent="0.2">
      <c r="A30" s="166" t="s">
        <v>488</v>
      </c>
      <c r="B30" s="167">
        <v>1210</v>
      </c>
      <c r="C30" s="54"/>
      <c r="D30" s="54"/>
    </row>
    <row r="31" spans="1:4" x14ac:dyDescent="0.2">
      <c r="A31" s="166" t="s">
        <v>489</v>
      </c>
      <c r="B31" s="167">
        <v>1219</v>
      </c>
      <c r="C31" s="54"/>
      <c r="D31" s="54"/>
    </row>
    <row r="32" spans="1:4" x14ac:dyDescent="0.2">
      <c r="A32" s="166" t="s">
        <v>490</v>
      </c>
      <c r="B32" s="167">
        <v>1220</v>
      </c>
      <c r="C32" s="54"/>
      <c r="D32" s="168"/>
    </row>
    <row r="33" spans="1:4" x14ac:dyDescent="0.2">
      <c r="A33" s="166" t="s">
        <v>491</v>
      </c>
      <c r="B33" s="167">
        <v>1229</v>
      </c>
      <c r="C33" s="54"/>
      <c r="D33" s="168"/>
    </row>
    <row r="34" spans="1:4" x14ac:dyDescent="0.2">
      <c r="A34" s="166" t="s">
        <v>492</v>
      </c>
      <c r="B34" s="167">
        <v>1230</v>
      </c>
      <c r="C34" s="54"/>
      <c r="D34" s="54"/>
    </row>
    <row r="35" spans="1:4" x14ac:dyDescent="0.2">
      <c r="A35" s="166" t="s">
        <v>493</v>
      </c>
      <c r="B35" s="167">
        <v>1239</v>
      </c>
      <c r="C35" s="54"/>
      <c r="D35" s="54"/>
    </row>
    <row r="36" spans="1:4" x14ac:dyDescent="0.2">
      <c r="A36" s="166" t="s">
        <v>494</v>
      </c>
      <c r="B36" s="167">
        <v>1240</v>
      </c>
      <c r="C36" s="54"/>
      <c r="D36" s="54"/>
    </row>
    <row r="37" spans="1:4" x14ac:dyDescent="0.2">
      <c r="A37" s="166" t="s">
        <v>495</v>
      </c>
      <c r="B37" s="167">
        <v>1249</v>
      </c>
      <c r="C37" s="54"/>
      <c r="D37" s="54"/>
    </row>
    <row r="38" spans="1:4" x14ac:dyDescent="0.2">
      <c r="A38" s="166" t="s">
        <v>496</v>
      </c>
      <c r="B38" s="167">
        <v>1250</v>
      </c>
      <c r="C38" s="54"/>
      <c r="D38" s="54"/>
    </row>
    <row r="39" spans="1:4" x14ac:dyDescent="0.2">
      <c r="A39" s="166" t="s">
        <v>497</v>
      </c>
      <c r="B39" s="167">
        <v>1259</v>
      </c>
      <c r="C39" s="54"/>
      <c r="D39" s="54"/>
    </row>
    <row r="40" spans="1:4" x14ac:dyDescent="0.2">
      <c r="A40" s="166" t="s">
        <v>498</v>
      </c>
      <c r="B40" s="167">
        <v>1260</v>
      </c>
      <c r="C40" s="54"/>
      <c r="D40" s="54"/>
    </row>
    <row r="41" spans="1:4" x14ac:dyDescent="0.2">
      <c r="A41" s="166" t="s">
        <v>499</v>
      </c>
      <c r="B41" s="167">
        <v>1269</v>
      </c>
      <c r="C41" s="54"/>
      <c r="D41" s="54"/>
    </row>
    <row r="42" spans="1:4" x14ac:dyDescent="0.2">
      <c r="A42" s="166" t="s">
        <v>500</v>
      </c>
      <c r="B42" s="167">
        <v>1270</v>
      </c>
      <c r="C42" s="54"/>
      <c r="D42" s="54"/>
    </row>
    <row r="43" spans="1:4" x14ac:dyDescent="0.2">
      <c r="A43" s="166" t="s">
        <v>501</v>
      </c>
      <c r="B43" s="167">
        <v>1280</v>
      </c>
      <c r="C43" s="54"/>
      <c r="D43" s="54"/>
    </row>
    <row r="44" spans="1:4" x14ac:dyDescent="0.2">
      <c r="A44" s="169" t="s">
        <v>131</v>
      </c>
      <c r="B44" s="170">
        <v>1290</v>
      </c>
      <c r="C44" s="54"/>
      <c r="D44" s="54"/>
    </row>
    <row r="45" spans="1:4" ht="25.5" x14ac:dyDescent="0.2">
      <c r="A45" s="166" t="s">
        <v>502</v>
      </c>
      <c r="B45" s="167">
        <v>1310</v>
      </c>
      <c r="C45" s="54"/>
      <c r="D45" s="54"/>
    </row>
    <row r="46" spans="1:4" ht="25.5" x14ac:dyDescent="0.2">
      <c r="A46" s="166" t="s">
        <v>503</v>
      </c>
      <c r="B46" s="167">
        <v>1311</v>
      </c>
      <c r="C46" s="54"/>
      <c r="D46" s="54"/>
    </row>
    <row r="47" spans="1:4" ht="25.5" x14ac:dyDescent="0.2">
      <c r="A47" s="166" t="s">
        <v>504</v>
      </c>
      <c r="B47" s="167">
        <v>1312</v>
      </c>
      <c r="C47" s="54"/>
      <c r="D47" s="54"/>
    </row>
    <row r="48" spans="1:4" ht="25.5" x14ac:dyDescent="0.2">
      <c r="A48" s="166" t="s">
        <v>505</v>
      </c>
      <c r="B48" s="167">
        <v>1313</v>
      </c>
      <c r="C48" s="54"/>
      <c r="D48" s="54"/>
    </row>
    <row r="49" spans="1:4" ht="38.25" x14ac:dyDescent="0.2">
      <c r="A49" s="166" t="s">
        <v>506</v>
      </c>
      <c r="B49" s="167">
        <v>1317</v>
      </c>
      <c r="C49" s="54"/>
      <c r="D49" s="54"/>
    </row>
    <row r="50" spans="1:4" ht="25.5" x14ac:dyDescent="0.2">
      <c r="A50" s="166" t="s">
        <v>507</v>
      </c>
      <c r="B50" s="167">
        <v>1318</v>
      </c>
      <c r="C50" s="54"/>
      <c r="D50" s="54"/>
    </row>
    <row r="51" spans="1:4" ht="25.5" x14ac:dyDescent="0.2">
      <c r="A51" s="166" t="s">
        <v>508</v>
      </c>
      <c r="B51" s="167">
        <v>1319</v>
      </c>
      <c r="C51" s="54"/>
      <c r="D51" s="54"/>
    </row>
    <row r="52" spans="1:4" x14ac:dyDescent="0.2">
      <c r="A52" s="166" t="s">
        <v>509</v>
      </c>
      <c r="B52" s="167">
        <v>1320</v>
      </c>
      <c r="C52" s="54"/>
      <c r="D52" s="54"/>
    </row>
    <row r="53" spans="1:4" x14ac:dyDescent="0.2">
      <c r="A53" s="166" t="s">
        <v>510</v>
      </c>
      <c r="B53" s="167">
        <v>1321</v>
      </c>
      <c r="C53" s="54"/>
      <c r="D53" s="54"/>
    </row>
    <row r="54" spans="1:4" x14ac:dyDescent="0.2">
      <c r="A54" s="166" t="s">
        <v>511</v>
      </c>
      <c r="B54" s="167">
        <v>1322</v>
      </c>
      <c r="C54" s="54"/>
      <c r="D54" s="54"/>
    </row>
    <row r="55" spans="1:4" x14ac:dyDescent="0.2">
      <c r="A55" s="166" t="s">
        <v>512</v>
      </c>
      <c r="B55" s="167">
        <v>1323</v>
      </c>
      <c r="C55" s="54"/>
      <c r="D55" s="54"/>
    </row>
    <row r="56" spans="1:4" x14ac:dyDescent="0.2">
      <c r="A56" s="166" t="s">
        <v>513</v>
      </c>
      <c r="B56" s="167">
        <v>1326</v>
      </c>
      <c r="C56" s="54"/>
      <c r="D56" s="54"/>
    </row>
    <row r="57" spans="1:4" x14ac:dyDescent="0.2">
      <c r="A57" s="166" t="s">
        <v>514</v>
      </c>
      <c r="B57" s="167">
        <v>1327</v>
      </c>
      <c r="C57" s="54"/>
      <c r="D57" s="54"/>
    </row>
    <row r="58" spans="1:4" x14ac:dyDescent="0.2">
      <c r="A58" s="166" t="s">
        <v>515</v>
      </c>
      <c r="B58" s="167">
        <v>1328</v>
      </c>
      <c r="C58" s="54"/>
      <c r="D58" s="54"/>
    </row>
    <row r="59" spans="1:4" x14ac:dyDescent="0.2">
      <c r="A59" s="166" t="s">
        <v>516</v>
      </c>
      <c r="B59" s="167">
        <v>1329</v>
      </c>
      <c r="C59" s="54"/>
      <c r="D59" s="54"/>
    </row>
    <row r="60" spans="1:4" x14ac:dyDescent="0.2">
      <c r="A60" s="166" t="s">
        <v>517</v>
      </c>
      <c r="B60" s="167">
        <v>1330</v>
      </c>
      <c r="C60" s="54"/>
      <c r="D60" s="54"/>
    </row>
    <row r="61" spans="1:4" x14ac:dyDescent="0.2">
      <c r="A61" s="166" t="s">
        <v>518</v>
      </c>
      <c r="B61" s="167">
        <v>1331</v>
      </c>
      <c r="C61" s="54"/>
      <c r="D61" s="54"/>
    </row>
    <row r="62" spans="1:4" x14ac:dyDescent="0.2">
      <c r="A62" s="166" t="s">
        <v>519</v>
      </c>
      <c r="B62" s="167">
        <v>1332</v>
      </c>
      <c r="C62" s="54"/>
      <c r="D62" s="54"/>
    </row>
    <row r="63" spans="1:4" ht="25.5" x14ac:dyDescent="0.2">
      <c r="A63" s="166" t="s">
        <v>520</v>
      </c>
      <c r="B63" s="167">
        <v>1339</v>
      </c>
      <c r="C63" s="54"/>
      <c r="D63" s="54"/>
    </row>
    <row r="64" spans="1:4" x14ac:dyDescent="0.2">
      <c r="A64" s="166" t="s">
        <v>521</v>
      </c>
      <c r="B64" s="167">
        <v>1350</v>
      </c>
      <c r="C64" s="54"/>
      <c r="D64" s="54"/>
    </row>
    <row r="65" spans="1:4" x14ac:dyDescent="0.2">
      <c r="A65" s="166" t="s">
        <v>522</v>
      </c>
      <c r="B65" s="167">
        <v>1351</v>
      </c>
      <c r="C65" s="54"/>
      <c r="D65" s="54"/>
    </row>
    <row r="66" spans="1:4" x14ac:dyDescent="0.2">
      <c r="A66" s="166" t="s">
        <v>523</v>
      </c>
      <c r="B66" s="167">
        <v>1410</v>
      </c>
      <c r="C66" s="54"/>
      <c r="D66" s="54"/>
    </row>
    <row r="67" spans="1:4" x14ac:dyDescent="0.2">
      <c r="A67" s="166" t="s">
        <v>524</v>
      </c>
      <c r="B67" s="167">
        <v>1420</v>
      </c>
      <c r="C67" s="54"/>
      <c r="D67" s="54"/>
    </row>
    <row r="68" spans="1:4" x14ac:dyDescent="0.2">
      <c r="A68" s="166" t="s">
        <v>525</v>
      </c>
      <c r="B68" s="167">
        <v>1430</v>
      </c>
      <c r="C68" s="54"/>
      <c r="D68" s="54"/>
    </row>
    <row r="69" spans="1:4" x14ac:dyDescent="0.2">
      <c r="A69" s="166" t="s">
        <v>526</v>
      </c>
      <c r="B69" s="167">
        <v>1440</v>
      </c>
      <c r="C69" s="54"/>
      <c r="D69" s="54"/>
    </row>
    <row r="70" spans="1:4" x14ac:dyDescent="0.2">
      <c r="A70" s="166" t="s">
        <v>527</v>
      </c>
      <c r="B70" s="167">
        <v>1450</v>
      </c>
      <c r="C70" s="54"/>
      <c r="D70" s="54"/>
    </row>
    <row r="71" spans="1:4" x14ac:dyDescent="0.2">
      <c r="A71" s="166" t="s">
        <v>528</v>
      </c>
      <c r="B71" s="167">
        <v>1510</v>
      </c>
      <c r="C71" s="54"/>
      <c r="D71" s="54"/>
    </row>
    <row r="72" spans="1:4" x14ac:dyDescent="0.2">
      <c r="A72" s="166" t="s">
        <v>254</v>
      </c>
      <c r="B72" s="167">
        <v>1520</v>
      </c>
      <c r="C72" s="54"/>
      <c r="D72" s="54"/>
    </row>
    <row r="73" spans="1:4" x14ac:dyDescent="0.2">
      <c r="A73" s="166" t="s">
        <v>529</v>
      </c>
      <c r="B73" s="170">
        <v>1610</v>
      </c>
      <c r="C73" s="54"/>
      <c r="D73" s="168"/>
    </row>
    <row r="74" spans="1:4" x14ac:dyDescent="0.2">
      <c r="A74" s="166" t="s">
        <v>530</v>
      </c>
      <c r="B74" s="170">
        <v>1619</v>
      </c>
      <c r="C74" s="54"/>
      <c r="D74" s="168"/>
    </row>
    <row r="75" spans="1:4" x14ac:dyDescent="0.2">
      <c r="A75" s="169" t="s">
        <v>140</v>
      </c>
      <c r="B75" s="170">
        <v>1810</v>
      </c>
      <c r="C75" s="54"/>
      <c r="D75" s="168"/>
    </row>
    <row r="76" spans="1:4" x14ac:dyDescent="0.2">
      <c r="A76" s="169" t="s">
        <v>141</v>
      </c>
      <c r="B76" s="167">
        <v>1820</v>
      </c>
      <c r="C76" s="54"/>
      <c r="D76" s="175"/>
    </row>
    <row r="77" spans="1:4" ht="25.5" x14ac:dyDescent="0.2">
      <c r="A77" s="166" t="s">
        <v>531</v>
      </c>
      <c r="B77" s="167">
        <v>1821</v>
      </c>
      <c r="C77" s="54"/>
      <c r="D77" s="175"/>
    </row>
    <row r="78" spans="1:4" x14ac:dyDescent="0.2">
      <c r="A78" s="166" t="s">
        <v>532</v>
      </c>
      <c r="B78" s="167">
        <v>1830</v>
      </c>
      <c r="C78" s="54"/>
      <c r="D78" s="168"/>
    </row>
    <row r="79" spans="1:4" ht="25.5" x14ac:dyDescent="0.2">
      <c r="A79" s="166" t="s">
        <v>533</v>
      </c>
      <c r="B79" s="167">
        <v>1840</v>
      </c>
      <c r="C79" s="54"/>
      <c r="D79" s="168"/>
    </row>
    <row r="80" spans="1:4" x14ac:dyDescent="0.2">
      <c r="A80" s="166" t="s">
        <v>534</v>
      </c>
      <c r="B80" s="167">
        <v>1850</v>
      </c>
      <c r="C80" s="54"/>
      <c r="D80" s="168"/>
    </row>
    <row r="81" spans="1:4" x14ac:dyDescent="0.2">
      <c r="A81" s="166" t="s">
        <v>535</v>
      </c>
      <c r="B81" s="167">
        <v>2010</v>
      </c>
      <c r="C81" s="54"/>
      <c r="D81" s="54"/>
    </row>
    <row r="82" spans="1:4" x14ac:dyDescent="0.2">
      <c r="A82" s="166" t="s">
        <v>536</v>
      </c>
      <c r="B82" s="167">
        <v>2011</v>
      </c>
      <c r="C82" s="54"/>
      <c r="D82" s="54"/>
    </row>
    <row r="83" spans="1:4" x14ac:dyDescent="0.2">
      <c r="A83" s="166" t="s">
        <v>537</v>
      </c>
      <c r="B83" s="167">
        <v>2020</v>
      </c>
      <c r="C83" s="54"/>
      <c r="D83" s="54"/>
    </row>
    <row r="84" spans="1:4" x14ac:dyDescent="0.2">
      <c r="A84" s="166" t="s">
        <v>538</v>
      </c>
      <c r="B84" s="167">
        <v>2021</v>
      </c>
      <c r="C84" s="54"/>
      <c r="D84" s="54"/>
    </row>
    <row r="85" spans="1:4" x14ac:dyDescent="0.2">
      <c r="A85" s="166" t="s">
        <v>539</v>
      </c>
      <c r="B85" s="167">
        <v>2030</v>
      </c>
      <c r="C85" s="54"/>
      <c r="D85" s="54"/>
    </row>
    <row r="86" spans="1:4" x14ac:dyDescent="0.2">
      <c r="A86" s="166" t="s">
        <v>540</v>
      </c>
      <c r="B86" s="167">
        <v>2031</v>
      </c>
      <c r="C86" s="54"/>
      <c r="D86" s="54"/>
    </row>
    <row r="87" spans="1:4" x14ac:dyDescent="0.2">
      <c r="A87" s="166" t="s">
        <v>541</v>
      </c>
      <c r="B87" s="167">
        <v>2040</v>
      </c>
      <c r="C87" s="54"/>
      <c r="D87" s="54"/>
    </row>
    <row r="88" spans="1:4" x14ac:dyDescent="0.2">
      <c r="A88" s="166" t="s">
        <v>542</v>
      </c>
      <c r="B88" s="167">
        <v>2041</v>
      </c>
      <c r="C88" s="54"/>
      <c r="D88" s="54"/>
    </row>
    <row r="89" spans="1:4" x14ac:dyDescent="0.2">
      <c r="A89" s="166" t="s">
        <v>543</v>
      </c>
      <c r="B89" s="167">
        <v>2050</v>
      </c>
      <c r="C89" s="54"/>
      <c r="D89" s="54"/>
    </row>
    <row r="90" spans="1:4" x14ac:dyDescent="0.2">
      <c r="A90" s="166" t="s">
        <v>544</v>
      </c>
      <c r="B90" s="167">
        <v>2051</v>
      </c>
      <c r="C90" s="54"/>
      <c r="D90" s="54"/>
    </row>
    <row r="91" spans="1:4" x14ac:dyDescent="0.2">
      <c r="A91" s="166" t="s">
        <v>545</v>
      </c>
      <c r="B91" s="171">
        <v>2060</v>
      </c>
      <c r="C91" s="54"/>
      <c r="D91" s="54"/>
    </row>
    <row r="92" spans="1:4" x14ac:dyDescent="0.2">
      <c r="A92" s="166" t="s">
        <v>546</v>
      </c>
      <c r="B92" s="171">
        <v>2061</v>
      </c>
      <c r="C92" s="54"/>
      <c r="D92" s="54"/>
    </row>
    <row r="93" spans="1:4" x14ac:dyDescent="0.2">
      <c r="A93" s="166" t="s">
        <v>547</v>
      </c>
      <c r="B93" s="171">
        <v>2070</v>
      </c>
      <c r="C93" s="54"/>
      <c r="D93" s="54"/>
    </row>
    <row r="94" spans="1:4" x14ac:dyDescent="0.2">
      <c r="A94" s="166" t="s">
        <v>548</v>
      </c>
      <c r="B94" s="171">
        <v>2071</v>
      </c>
      <c r="C94" s="54"/>
      <c r="D94" s="54"/>
    </row>
    <row r="95" spans="1:4" x14ac:dyDescent="0.2">
      <c r="A95" s="166" t="s">
        <v>549</v>
      </c>
      <c r="B95" s="171">
        <v>2080</v>
      </c>
      <c r="C95" s="54"/>
      <c r="D95" s="54"/>
    </row>
    <row r="96" spans="1:4" x14ac:dyDescent="0.2">
      <c r="A96" s="166" t="s">
        <v>550</v>
      </c>
      <c r="B96" s="171">
        <v>2082</v>
      </c>
      <c r="C96" s="54"/>
      <c r="D96" s="54"/>
    </row>
    <row r="97" spans="1:4" x14ac:dyDescent="0.2">
      <c r="A97" s="166" t="s">
        <v>551</v>
      </c>
      <c r="B97" s="171">
        <v>2090</v>
      </c>
      <c r="C97" s="54"/>
      <c r="D97" s="54"/>
    </row>
    <row r="98" spans="1:4" x14ac:dyDescent="0.2">
      <c r="A98" s="166" t="s">
        <v>552</v>
      </c>
      <c r="B98" s="171">
        <v>2110</v>
      </c>
      <c r="C98" s="54"/>
      <c r="D98" s="54"/>
    </row>
    <row r="99" spans="1:4" x14ac:dyDescent="0.2">
      <c r="A99" s="166" t="s">
        <v>553</v>
      </c>
      <c r="B99" s="171">
        <v>2111</v>
      </c>
      <c r="C99" s="54"/>
      <c r="D99" s="54"/>
    </row>
    <row r="100" spans="1:4" x14ac:dyDescent="0.2">
      <c r="A100" s="166" t="s">
        <v>554</v>
      </c>
      <c r="B100" s="171">
        <v>2120</v>
      </c>
      <c r="C100" s="54"/>
      <c r="D100" s="54"/>
    </row>
    <row r="101" spans="1:4" x14ac:dyDescent="0.2">
      <c r="A101" s="166" t="s">
        <v>555</v>
      </c>
      <c r="B101" s="171">
        <v>2121</v>
      </c>
      <c r="C101" s="54"/>
      <c r="D101" s="54"/>
    </row>
    <row r="102" spans="1:4" x14ac:dyDescent="0.2">
      <c r="A102" s="166" t="s">
        <v>556</v>
      </c>
      <c r="B102" s="171">
        <v>2130</v>
      </c>
      <c r="C102" s="54"/>
      <c r="D102" s="54"/>
    </row>
    <row r="103" spans="1:4" x14ac:dyDescent="0.2">
      <c r="A103" s="166" t="s">
        <v>557</v>
      </c>
      <c r="B103" s="171">
        <v>2131</v>
      </c>
      <c r="C103" s="54"/>
      <c r="D103" s="54"/>
    </row>
    <row r="104" spans="1:4" x14ac:dyDescent="0.2">
      <c r="A104" s="166" t="s">
        <v>558</v>
      </c>
      <c r="B104" s="171">
        <v>2140</v>
      </c>
      <c r="C104" s="54"/>
      <c r="D104" s="54"/>
    </row>
    <row r="105" spans="1:4" x14ac:dyDescent="0.2">
      <c r="A105" s="166" t="s">
        <v>559</v>
      </c>
      <c r="B105" s="171">
        <v>2141</v>
      </c>
      <c r="C105" s="54"/>
      <c r="D105" s="54"/>
    </row>
    <row r="106" spans="1:4" x14ac:dyDescent="0.2">
      <c r="A106" s="166" t="s">
        <v>560</v>
      </c>
      <c r="B106" s="171">
        <v>2150</v>
      </c>
      <c r="C106" s="54"/>
      <c r="D106" s="54"/>
    </row>
    <row r="107" spans="1:4" x14ac:dyDescent="0.2">
      <c r="A107" s="166" t="s">
        <v>561</v>
      </c>
      <c r="B107" s="171">
        <v>2151</v>
      </c>
      <c r="C107" s="54"/>
      <c r="D107" s="54"/>
    </row>
    <row r="108" spans="1:4" x14ac:dyDescent="0.2">
      <c r="A108" s="166" t="s">
        <v>562</v>
      </c>
      <c r="B108" s="171">
        <v>2160</v>
      </c>
      <c r="C108" s="54"/>
      <c r="D108" s="54"/>
    </row>
    <row r="109" spans="1:4" x14ac:dyDescent="0.2">
      <c r="A109" s="166" t="s">
        <v>563</v>
      </c>
      <c r="B109" s="171">
        <v>2161</v>
      </c>
      <c r="C109" s="54"/>
      <c r="D109" s="54"/>
    </row>
    <row r="110" spans="1:4" x14ac:dyDescent="0.2">
      <c r="A110" s="172" t="s">
        <v>415</v>
      </c>
      <c r="B110" s="173">
        <v>2610</v>
      </c>
      <c r="C110" s="54"/>
      <c r="D110" s="54"/>
    </row>
    <row r="111" spans="1:4" x14ac:dyDescent="0.2">
      <c r="A111" s="172" t="s">
        <v>564</v>
      </c>
      <c r="B111" s="171">
        <v>2910</v>
      </c>
      <c r="C111" s="54"/>
      <c r="D111" s="54"/>
    </row>
    <row r="112" spans="1:4" x14ac:dyDescent="0.2">
      <c r="A112" s="169" t="s">
        <v>150</v>
      </c>
      <c r="B112" s="171">
        <v>3110</v>
      </c>
      <c r="C112" s="54"/>
      <c r="D112" s="54"/>
    </row>
    <row r="113" spans="1:4" x14ac:dyDescent="0.2">
      <c r="A113" s="169" t="s">
        <v>565</v>
      </c>
      <c r="B113" s="173">
        <v>3120</v>
      </c>
      <c r="C113" s="54"/>
      <c r="D113" s="54"/>
    </row>
    <row r="114" spans="1:4" x14ac:dyDescent="0.2">
      <c r="A114" s="169" t="s">
        <v>566</v>
      </c>
      <c r="B114" s="173">
        <v>3130</v>
      </c>
      <c r="C114" s="54"/>
      <c r="D114" s="54"/>
    </row>
    <row r="115" spans="1:4" x14ac:dyDescent="0.2">
      <c r="A115" s="169" t="s">
        <v>154</v>
      </c>
      <c r="B115" s="173">
        <v>3210</v>
      </c>
      <c r="C115" s="54"/>
      <c r="D115" s="54"/>
    </row>
    <row r="116" spans="1:4" x14ac:dyDescent="0.2">
      <c r="A116" s="169" t="s">
        <v>155</v>
      </c>
      <c r="B116" s="173">
        <v>3220</v>
      </c>
      <c r="C116" s="54"/>
      <c r="D116" s="54"/>
    </row>
    <row r="117" spans="1:4" x14ac:dyDescent="0.2">
      <c r="A117" s="169" t="s">
        <v>156</v>
      </c>
      <c r="B117" s="173">
        <v>3230</v>
      </c>
      <c r="C117" s="54"/>
      <c r="D117" s="54"/>
    </row>
    <row r="118" spans="1:4" x14ac:dyDescent="0.2">
      <c r="A118" s="169" t="s">
        <v>157</v>
      </c>
      <c r="B118" s="173">
        <v>3240</v>
      </c>
      <c r="C118" s="54"/>
      <c r="D118" s="54"/>
    </row>
    <row r="119" spans="1:4" x14ac:dyDescent="0.2">
      <c r="A119" s="169" t="s">
        <v>158</v>
      </c>
      <c r="B119" s="173">
        <v>3250</v>
      </c>
      <c r="C119" s="54"/>
      <c r="D119" s="54"/>
    </row>
    <row r="120" spans="1:4" x14ac:dyDescent="0.2">
      <c r="A120" s="169" t="s">
        <v>159</v>
      </c>
      <c r="B120" s="173">
        <v>3260</v>
      </c>
      <c r="C120" s="54"/>
      <c r="D120" s="54"/>
    </row>
    <row r="121" spans="1:4" x14ac:dyDescent="0.2">
      <c r="A121" s="169" t="s">
        <v>161</v>
      </c>
      <c r="B121" s="173">
        <v>3310</v>
      </c>
      <c r="C121" s="54"/>
      <c r="D121" s="54"/>
    </row>
    <row r="122" spans="1:4" x14ac:dyDescent="0.2">
      <c r="A122" s="169" t="s">
        <v>162</v>
      </c>
      <c r="B122" s="173">
        <v>3311</v>
      </c>
      <c r="C122" s="54"/>
      <c r="D122" s="54"/>
    </row>
    <row r="123" spans="1:4" x14ac:dyDescent="0.2">
      <c r="A123" s="166" t="s">
        <v>567</v>
      </c>
      <c r="B123" s="171">
        <v>3312</v>
      </c>
      <c r="C123" s="54"/>
      <c r="D123" s="54"/>
    </row>
    <row r="124" spans="1:4" x14ac:dyDescent="0.2">
      <c r="A124" s="169" t="s">
        <v>163</v>
      </c>
      <c r="B124" s="173">
        <v>3313</v>
      </c>
      <c r="C124" s="54"/>
      <c r="D124" s="54"/>
    </row>
    <row r="125" spans="1:4" x14ac:dyDescent="0.2">
      <c r="A125" s="169" t="s">
        <v>164</v>
      </c>
      <c r="B125" s="173">
        <v>3314</v>
      </c>
      <c r="C125" s="54"/>
      <c r="D125" s="54"/>
    </row>
    <row r="126" spans="1:4" x14ac:dyDescent="0.2">
      <c r="A126" s="169" t="s">
        <v>165</v>
      </c>
      <c r="B126" s="173">
        <v>3320</v>
      </c>
      <c r="C126" s="54"/>
      <c r="D126" s="54"/>
    </row>
    <row r="127" spans="1:4" x14ac:dyDescent="0.2">
      <c r="A127" s="169" t="s">
        <v>166</v>
      </c>
      <c r="B127" s="173">
        <v>3330</v>
      </c>
      <c r="C127" s="54"/>
      <c r="D127" s="54"/>
    </row>
    <row r="128" spans="1:4" x14ac:dyDescent="0.2">
      <c r="A128" s="169" t="s">
        <v>167</v>
      </c>
      <c r="B128" s="173">
        <v>3340</v>
      </c>
      <c r="C128" s="54"/>
      <c r="D128" s="54"/>
    </row>
    <row r="129" spans="1:4" x14ac:dyDescent="0.2">
      <c r="A129" s="169" t="s">
        <v>168</v>
      </c>
      <c r="B129" s="173">
        <v>3350</v>
      </c>
      <c r="C129" s="54"/>
      <c r="D129" s="54"/>
    </row>
    <row r="130" spans="1:4" x14ac:dyDescent="0.2">
      <c r="A130" s="169" t="s">
        <v>169</v>
      </c>
      <c r="B130" s="173">
        <v>3360</v>
      </c>
      <c r="C130" s="54"/>
      <c r="D130" s="54"/>
    </row>
    <row r="131" spans="1:4" x14ac:dyDescent="0.2">
      <c r="A131" s="169" t="s">
        <v>160</v>
      </c>
      <c r="B131" s="173">
        <v>3370</v>
      </c>
      <c r="C131" s="54"/>
      <c r="D131" s="54"/>
    </row>
    <row r="132" spans="1:4" x14ac:dyDescent="0.2">
      <c r="A132" s="174" t="s">
        <v>171</v>
      </c>
      <c r="B132" s="173">
        <v>3380</v>
      </c>
      <c r="C132" s="54"/>
      <c r="D132" s="54"/>
    </row>
    <row r="133" spans="1:4" x14ac:dyDescent="0.2">
      <c r="A133" s="174" t="s">
        <v>568</v>
      </c>
      <c r="B133" s="173">
        <v>3390</v>
      </c>
      <c r="C133" s="54"/>
      <c r="D133" s="54"/>
    </row>
    <row r="134" spans="1:4" x14ac:dyDescent="0.2">
      <c r="A134" s="174" t="s">
        <v>569</v>
      </c>
      <c r="B134" s="173">
        <v>3410</v>
      </c>
      <c r="C134" s="54"/>
      <c r="D134" s="176"/>
    </row>
    <row r="135" spans="1:4" x14ac:dyDescent="0.2">
      <c r="A135" s="174" t="s">
        <v>570</v>
      </c>
      <c r="B135" s="173">
        <v>3420</v>
      </c>
      <c r="C135" s="54"/>
      <c r="D135" s="176"/>
    </row>
    <row r="136" spans="1:4" ht="25.5" x14ac:dyDescent="0.2">
      <c r="A136" s="166" t="s">
        <v>571</v>
      </c>
      <c r="B136" s="171">
        <v>3421</v>
      </c>
      <c r="C136" s="54"/>
      <c r="D136" s="176"/>
    </row>
    <row r="137" spans="1:4" x14ac:dyDescent="0.2">
      <c r="A137" s="174" t="s">
        <v>572</v>
      </c>
      <c r="B137" s="173">
        <v>3430</v>
      </c>
      <c r="C137" s="54"/>
      <c r="D137" s="175"/>
    </row>
    <row r="138" spans="1:4" x14ac:dyDescent="0.2">
      <c r="A138" s="169" t="s">
        <v>573</v>
      </c>
      <c r="B138" s="173">
        <v>3510</v>
      </c>
      <c r="C138" s="54"/>
      <c r="D138" s="175"/>
    </row>
    <row r="139" spans="1:4" x14ac:dyDescent="0.2">
      <c r="A139" s="169" t="s">
        <v>574</v>
      </c>
      <c r="B139" s="173">
        <v>3610</v>
      </c>
      <c r="C139" s="54"/>
      <c r="D139" s="175"/>
    </row>
    <row r="140" spans="1:4" x14ac:dyDescent="0.2">
      <c r="A140" s="304" t="s">
        <v>575</v>
      </c>
      <c r="B140" s="171">
        <v>3710</v>
      </c>
      <c r="C140" s="54"/>
      <c r="D140" s="177"/>
    </row>
    <row r="141" spans="1:4" x14ac:dyDescent="0.2">
      <c r="A141" s="304" t="s">
        <v>576</v>
      </c>
      <c r="B141" s="171">
        <v>3720</v>
      </c>
      <c r="C141" s="54"/>
      <c r="D141" s="283"/>
    </row>
    <row r="142" spans="1:4" x14ac:dyDescent="0.2">
      <c r="A142" s="305" t="s">
        <v>577</v>
      </c>
      <c r="B142" s="171">
        <v>3730</v>
      </c>
      <c r="C142" s="54"/>
      <c r="D142" s="177"/>
    </row>
    <row r="143" spans="1:4" x14ac:dyDescent="0.2">
      <c r="A143" s="301" t="s">
        <v>174</v>
      </c>
      <c r="B143" s="171">
        <v>3810</v>
      </c>
      <c r="C143" s="302">
        <f>i.04132!D10</f>
        <v>0</v>
      </c>
      <c r="D143" s="302">
        <f>i.04132!G10</f>
        <v>0</v>
      </c>
    </row>
    <row r="144" spans="1:4" x14ac:dyDescent="0.2">
      <c r="A144" s="301" t="s">
        <v>175</v>
      </c>
      <c r="B144" s="171">
        <v>3820</v>
      </c>
      <c r="C144" s="302">
        <f>i.04132!D11</f>
        <v>0</v>
      </c>
      <c r="D144" s="302">
        <f>i.04132!G11</f>
        <v>0</v>
      </c>
    </row>
    <row r="145" spans="1:4" x14ac:dyDescent="0.2">
      <c r="A145" s="301" t="s">
        <v>176</v>
      </c>
      <c r="B145" s="171">
        <v>3830</v>
      </c>
      <c r="C145" s="302">
        <f>i.04132!D12</f>
        <v>0</v>
      </c>
      <c r="D145" s="302">
        <f>i.04132!G12</f>
        <v>0</v>
      </c>
    </row>
    <row r="146" spans="1:4" x14ac:dyDescent="0.2">
      <c r="A146" s="303" t="s">
        <v>177</v>
      </c>
      <c r="B146" s="171">
        <v>3840</v>
      </c>
      <c r="C146" s="302">
        <f>i.04132!D13</f>
        <v>0</v>
      </c>
      <c r="D146" s="302">
        <f>i.04132!G13</f>
        <v>0</v>
      </c>
    </row>
    <row r="147" spans="1:4" x14ac:dyDescent="0.2">
      <c r="A147" s="166" t="s">
        <v>564</v>
      </c>
      <c r="B147" s="171">
        <v>3910</v>
      </c>
      <c r="C147" s="177"/>
      <c r="D147" s="177"/>
    </row>
    <row r="148" spans="1:4" x14ac:dyDescent="0.2">
      <c r="A148" s="166" t="s">
        <v>578</v>
      </c>
      <c r="B148" s="171">
        <v>4110</v>
      </c>
      <c r="C148" s="177"/>
      <c r="D148" s="178"/>
    </row>
    <row r="149" spans="1:4" x14ac:dyDescent="0.2">
      <c r="A149" s="166" t="s">
        <v>579</v>
      </c>
      <c r="B149" s="171">
        <v>4111</v>
      </c>
      <c r="C149" s="177"/>
      <c r="D149" s="178"/>
    </row>
    <row r="150" spans="1:4" x14ac:dyDescent="0.2">
      <c r="A150" s="166" t="s">
        <v>580</v>
      </c>
      <c r="B150" s="171">
        <v>4210</v>
      </c>
      <c r="C150" s="177"/>
      <c r="D150" s="178"/>
    </row>
    <row r="151" spans="1:4" x14ac:dyDescent="0.2">
      <c r="A151" s="166" t="s">
        <v>581</v>
      </c>
      <c r="B151" s="171">
        <v>4211</v>
      </c>
      <c r="C151" s="177"/>
      <c r="D151" s="178"/>
    </row>
    <row r="152" spans="1:4" x14ac:dyDescent="0.2">
      <c r="A152" s="166" t="s">
        <v>582</v>
      </c>
      <c r="B152" s="171">
        <v>4310</v>
      </c>
      <c r="C152" s="177"/>
      <c r="D152" s="178"/>
    </row>
    <row r="153" spans="1:4" x14ac:dyDescent="0.2">
      <c r="A153" s="166" t="s">
        <v>583</v>
      </c>
      <c r="B153" s="171">
        <v>4311</v>
      </c>
      <c r="C153" s="177"/>
      <c r="D153" s="178"/>
    </row>
    <row r="154" spans="1:4" x14ac:dyDescent="0.2">
      <c r="A154" s="169" t="s">
        <v>5</v>
      </c>
      <c r="B154" s="173">
        <v>4410</v>
      </c>
      <c r="C154" s="175"/>
      <c r="D154" s="176"/>
    </row>
    <row r="155" spans="1:4" x14ac:dyDescent="0.2">
      <c r="A155" s="169" t="s">
        <v>180</v>
      </c>
      <c r="B155" s="173">
        <v>4510</v>
      </c>
      <c r="C155" s="177"/>
      <c r="D155" s="178"/>
    </row>
    <row r="156" spans="1:4" x14ac:dyDescent="0.2">
      <c r="A156" s="169" t="s">
        <v>181</v>
      </c>
      <c r="B156" s="173">
        <v>4610</v>
      </c>
      <c r="C156" s="177"/>
      <c r="D156" s="300">
        <f>i.04103!J23</f>
        <v>0</v>
      </c>
    </row>
    <row r="157" spans="1:4" x14ac:dyDescent="0.2">
      <c r="A157" s="166" t="s">
        <v>584</v>
      </c>
      <c r="B157" s="171">
        <v>4710</v>
      </c>
      <c r="C157" s="177"/>
      <c r="D157" s="178"/>
    </row>
    <row r="158" spans="1:4" x14ac:dyDescent="0.2">
      <c r="A158" s="166" t="s">
        <v>585</v>
      </c>
      <c r="B158" s="171">
        <v>4711</v>
      </c>
      <c r="C158" s="177"/>
      <c r="D158" s="178"/>
    </row>
    <row r="159" spans="1:4" x14ac:dyDescent="0.2">
      <c r="A159" s="166" t="s">
        <v>586</v>
      </c>
      <c r="B159" s="171">
        <v>4712</v>
      </c>
      <c r="C159" s="177"/>
      <c r="D159" s="178"/>
    </row>
    <row r="160" spans="1:4" x14ac:dyDescent="0.2">
      <c r="A160" s="169" t="s">
        <v>7</v>
      </c>
      <c r="B160" s="173">
        <v>4713</v>
      </c>
      <c r="C160" s="177"/>
      <c r="D160" s="178"/>
    </row>
    <row r="161" spans="1:4" x14ac:dyDescent="0.2">
      <c r="A161" s="166" t="s">
        <v>216</v>
      </c>
      <c r="B161" s="171">
        <v>4714</v>
      </c>
      <c r="C161" s="177"/>
      <c r="D161" s="178"/>
    </row>
    <row r="162" spans="1:4" x14ac:dyDescent="0.2">
      <c r="A162" s="169" t="s">
        <v>130</v>
      </c>
      <c r="B162" s="173">
        <v>127001</v>
      </c>
      <c r="C162" s="177"/>
      <c r="D162" s="178"/>
    </row>
    <row r="163" spans="1:4" x14ac:dyDescent="0.2">
      <c r="A163" s="169" t="s">
        <v>170</v>
      </c>
      <c r="B163" s="173">
        <v>332004</v>
      </c>
      <c r="C163" s="177"/>
      <c r="D163" s="178"/>
    </row>
    <row r="164" spans="1:4" x14ac:dyDescent="0.2">
      <c r="A164" s="162" t="s">
        <v>146</v>
      </c>
      <c r="B164" s="163"/>
      <c r="C164" s="179">
        <f>(C9+C10+C11++C12+C13+C14+C15+C16+C17+C18+C19+C20+C21+C22+C23+C24+C25+C26+C27+C28+C29+C30-C31+C32-C33+C34-C35+C36-C37+C38-C39+C40-C41+C42+C43+C44+C45+C46+C47+C48+C49+C50+C51+C52+C53+C54+C55+C56-C57+C58-C59+C60+C61+C62-C63+C64+C65+C66+C67+C68+C69+C70+C71+C72+C73+C74+C75+C76+C77+C78+C79+C80+C81-C82+C83-C84+C85-C86+C87-C88+C89-C90+C91-C92+C93-C94+C95-C96+C97+C98-C99+C100-C101+C102-C103+C104-C105+C106-C107+C108-C109+C110+C111)</f>
        <v>0</v>
      </c>
      <c r="D164" s="179">
        <f>(D9+D10+D11++D12+D13+D14+D15+D16+D17+D18+D19+D20+D21+D22+D23+D24+D25+D26+D27+D28+D29+D30-D31+D32-D33+D34-D35+D36-D37+D38-D39+D40-D41+D42+D43+D44+D45+D46+D47+D48+D49+D50+D51+D52+D53+D54+D55+D56-D57+D58-D59+D60+D61+D62-D63+D64+D65+D66+D67+D68+D69+D70+D71+D72+D73+D74+D75+D76+D77+D78+D79+D80+D81-D82+D83-D84+D85-D86+D87-D88+D89-D90+D91-D92+D93-D94+D95-D96+D97+D98-D99+D100-D101+D102-D103+D104-D105+D106-D107+D108-D109+D110+D111)</f>
        <v>0</v>
      </c>
    </row>
    <row r="165" spans="1:4" x14ac:dyDescent="0.2">
      <c r="A165" s="162" t="s">
        <v>587</v>
      </c>
      <c r="B165" s="163"/>
      <c r="C165" s="180">
        <f>+C112+C113+C114+C115+C116+C117+C118+C119+C120+C121+C122+C123+C124+C125+C126+C127+C128+C129+C130+C131+C132+C133+C134+C135+C136+C137+C138+C139+C147+C148+C149+C150+C151+C152+C153+C154+C155+C156+C157+C158+C159+C160+C161+C163+SUM(C140:C146)</f>
        <v>0</v>
      </c>
      <c r="D165" s="180">
        <f>D112+D113+D114+D115+D116+D117+D118+D119+D120+D121+D122+D123+D124+D125+D126+D127+D128+D129+D130+D131+D132+D133+D134+D135+D136+D137+D138+D139+D147+D148+D149+D150+D151+D152+D153+D154+D155+D156+D157+D158+D159+D160+D161+D163</f>
        <v>0</v>
      </c>
    </row>
    <row r="166" spans="1:4" x14ac:dyDescent="0.2">
      <c r="A166" s="181"/>
      <c r="B166" s="182"/>
      <c r="C166" s="183" t="str">
        <f>IF(C164=C165,"","ТЭНЦЛИЙН ДҮН ЗӨРҮҮТЭЙ БАЙНА:")</f>
        <v/>
      </c>
      <c r="D166" s="183" t="str">
        <f>IF(D164=D165,"","ТЭНЦЛИЙН ДҮН ЗӨРҮҮТЭЙ БАЙНА:")</f>
        <v/>
      </c>
    </row>
    <row r="167" spans="1:4" x14ac:dyDescent="0.2">
      <c r="A167" s="181"/>
      <c r="B167" s="183"/>
      <c r="C167" s="184">
        <f>+C164-C165</f>
        <v>0</v>
      </c>
      <c r="D167" s="184">
        <f>+D164-D165</f>
        <v>0</v>
      </c>
    </row>
    <row r="168" spans="1:4" x14ac:dyDescent="0.2">
      <c r="A168" s="2" t="s">
        <v>285</v>
      </c>
      <c r="B168" s="395"/>
      <c r="C168" s="4"/>
      <c r="D168" s="4"/>
    </row>
    <row r="169" spans="1:4" x14ac:dyDescent="0.2">
      <c r="A169" s="5"/>
      <c r="B169" s="395"/>
      <c r="C169" s="4"/>
      <c r="D169" s="4"/>
    </row>
    <row r="170" spans="1:4" x14ac:dyDescent="0.2">
      <c r="A170" s="5" t="s">
        <v>286</v>
      </c>
      <c r="B170" s="395"/>
      <c r="C170" s="4"/>
      <c r="D170" s="4"/>
    </row>
    <row r="171" spans="1:4" x14ac:dyDescent="0.2">
      <c r="A171" s="5"/>
      <c r="B171" s="395"/>
      <c r="C171" s="4"/>
      <c r="D171" s="4"/>
    </row>
    <row r="172" spans="1:4" x14ac:dyDescent="0.2">
      <c r="A172" s="6" t="s">
        <v>287</v>
      </c>
      <c r="B172" s="520" t="s">
        <v>288</v>
      </c>
      <c r="C172" s="520"/>
      <c r="D172" s="4" t="s">
        <v>289</v>
      </c>
    </row>
    <row r="173" spans="1:4" x14ac:dyDescent="0.2">
      <c r="A173" s="5"/>
      <c r="B173" s="520"/>
      <c r="C173" s="520"/>
      <c r="D173" s="4"/>
    </row>
    <row r="174" spans="1:4" x14ac:dyDescent="0.2">
      <c r="A174" s="6" t="s">
        <v>290</v>
      </c>
      <c r="B174" s="520" t="s">
        <v>291</v>
      </c>
      <c r="C174" s="520"/>
      <c r="D174" s="4" t="s">
        <v>292</v>
      </c>
    </row>
    <row r="175" spans="1:4" x14ac:dyDescent="0.2">
      <c r="A175" s="5"/>
      <c r="B175" s="520"/>
      <c r="C175" s="520"/>
      <c r="D175" s="4"/>
    </row>
    <row r="176" spans="1:4" x14ac:dyDescent="0.2">
      <c r="A176" s="6" t="s">
        <v>293</v>
      </c>
      <c r="B176" s="520" t="s">
        <v>288</v>
      </c>
      <c r="C176" s="520"/>
      <c r="D176" s="4" t="s">
        <v>292</v>
      </c>
    </row>
    <row r="177" spans="1:4" x14ac:dyDescent="0.2">
      <c r="A177" s="5"/>
      <c r="B177" s="520"/>
      <c r="C177" s="520"/>
      <c r="D177" s="4"/>
    </row>
  </sheetData>
  <sheetProtection password="CA9F" sheet="1" objects="1" scenarios="1"/>
  <mergeCells count="9">
    <mergeCell ref="B175:C175"/>
    <mergeCell ref="B176:C176"/>
    <mergeCell ref="B177:C177"/>
    <mergeCell ref="A3:D3"/>
    <mergeCell ref="A5:B5"/>
    <mergeCell ref="C5:D5"/>
    <mergeCell ref="B172:C172"/>
    <mergeCell ref="B173:C173"/>
    <mergeCell ref="B174:C174"/>
  </mergeCells>
  <dataValidations count="2">
    <dataValidation type="whole" allowBlank="1" showInputMessage="1" showErrorMessage="1" sqref="A6 C6:D6 B6:B7 B9:B165" xr:uid="{4F730629-F882-4BA7-9372-1FB9E3AB0D78}">
      <formula1>1</formula1>
      <formula2>100000000000</formula2>
    </dataValidation>
    <dataValidation type="decimal" allowBlank="1" showInputMessage="1" showErrorMessage="1" sqref="D142:D163 D9:D140 C9:C163" xr:uid="{DBB5E74F-B056-4A91-9FD2-F850E9E9481E}">
      <formula1>0</formula1>
      <formula2>1E+39</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i.04103</vt:lpstr>
      <vt:lpstr>i.04104</vt:lpstr>
      <vt:lpstr>i.04105</vt:lpstr>
      <vt:lpstr>i.04106</vt:lpstr>
      <vt:lpstr>i.04116</vt:lpstr>
      <vt:lpstr>i.04117</vt:lpstr>
      <vt:lpstr>i.04118a</vt:lpstr>
      <vt:lpstr>i.04118b</vt:lpstr>
      <vt:lpstr>i.04130a</vt:lpstr>
      <vt:lpstr>i.04130</vt:lpstr>
      <vt:lpstr>i.04131a</vt:lpstr>
      <vt:lpstr>i.04131</vt:lpstr>
      <vt:lpstr>i.04132</vt:lpstr>
      <vt:lpstr>i.04133</vt:lpstr>
      <vt:lpstr>i.04151</vt:lpstr>
      <vt:lpstr>i.04152</vt:lpstr>
      <vt:lpstr>i.04153a</vt:lpstr>
      <vt:lpstr>i.04154</vt:lpstr>
      <vt:lpstr>i.04144a</vt:lpstr>
      <vt:lpstr>i.04144</vt:lpstr>
      <vt:lpstr>i.04145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WIN-IT83A5RRLDP$</dc:creator>
  <dc:description/>
  <cp:lastModifiedBy>Bilguun_ch</cp:lastModifiedBy>
  <cp:revision>1</cp:revision>
  <dcterms:created xsi:type="dcterms:W3CDTF">2020-09-21T10:10:43Z</dcterms:created>
  <dcterms:modified xsi:type="dcterms:W3CDTF">2021-01-27T02:17:37Z</dcterms:modified>
  <dc:language>en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cense">
    <vt:lpwstr>Licensed to the Apache Software Foundation (ASF) under one 
or more contributor license agreements.  See the NOTICE file 
distributed with this work for additional information 
regarding copyright ownership.  The ASF licenses this file 
to you under the A</vt:lpwstr>
  </property>
</Properties>
</file>