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tungalag\Downloads\"/>
    </mc:Choice>
  </mc:AlternateContent>
  <workbookProtection workbookPassword="CA9F" lockStructure="1"/>
  <bookViews>
    <workbookView xWindow="7560" yWindow="0" windowWidth="20865" windowHeight="8505"/>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62913"/>
</workbook>
</file>

<file path=xl/calcChain.xml><?xml version="1.0" encoding="utf-8"?>
<calcChain xmlns="http://schemas.openxmlformats.org/spreadsheetml/2006/main">
  <c r="D217" i="2" l="1"/>
  <c r="T9" i="21" l="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R32" i="13"/>
  <c r="R33" i="13"/>
  <c r="R34" i="13"/>
  <c r="R35" i="13"/>
  <c r="R36" i="13"/>
  <c r="R37" i="13"/>
  <c r="R38" i="13"/>
  <c r="R39" i="13"/>
  <c r="R40" i="13"/>
  <c r="R41" i="13"/>
  <c r="R42" i="13"/>
  <c r="R43" i="13"/>
  <c r="R44" i="13"/>
  <c r="R45" i="13"/>
  <c r="R46" i="13"/>
  <c r="R47" i="13"/>
  <c r="R48" i="13"/>
  <c r="R49" i="13"/>
  <c r="R50" i="13"/>
  <c r="R31" i="13"/>
  <c r="R11" i="13"/>
  <c r="R12" i="13"/>
  <c r="R13" i="13"/>
  <c r="R14" i="13"/>
  <c r="R15" i="13"/>
  <c r="R16" i="13"/>
  <c r="R17" i="13"/>
  <c r="R18" i="13"/>
  <c r="R19" i="13"/>
  <c r="R20" i="13"/>
  <c r="R21" i="13"/>
  <c r="R22" i="13"/>
  <c r="R23" i="13"/>
  <c r="R24" i="13"/>
  <c r="R25" i="13"/>
  <c r="R26" i="13"/>
  <c r="R27" i="13"/>
  <c r="R28" i="13"/>
  <c r="R29" i="13"/>
  <c r="R70" i="13"/>
  <c r="R69" i="13"/>
  <c r="R68" i="13"/>
  <c r="R67" i="13"/>
  <c r="R65" i="13"/>
  <c r="R64" i="13"/>
  <c r="R62" i="13"/>
  <c r="R61" i="13"/>
  <c r="R63" i="13"/>
  <c r="D48" i="1"/>
  <c r="D47" i="1"/>
  <c r="D36" i="1"/>
  <c r="D28" i="1"/>
  <c r="D37" i="1" l="1"/>
  <c r="K28" i="12"/>
  <c r="D45" i="1"/>
  <c r="D44" i="1"/>
  <c r="J72" i="13"/>
  <c r="B60" i="13"/>
  <c r="J68" i="13"/>
  <c r="J69" i="13"/>
  <c r="J67" i="13"/>
  <c r="J70" i="13"/>
  <c r="B66" i="13"/>
  <c r="C66" i="13"/>
  <c r="D66" i="13"/>
  <c r="F66" i="13" s="1"/>
  <c r="E66" i="13"/>
  <c r="G66" i="13"/>
  <c r="H66" i="13"/>
  <c r="I66" i="13"/>
  <c r="K66" i="13"/>
  <c r="L66" i="13"/>
  <c r="M66" i="13"/>
  <c r="N66" i="13"/>
  <c r="O66" i="13"/>
  <c r="P66" i="13" a="1"/>
  <c r="P66" i="13" s="1"/>
  <c r="J40" i="13"/>
  <c r="D39" i="1"/>
  <c r="D38" i="1"/>
  <c r="D35" i="1"/>
  <c r="Q58" i="13"/>
  <c r="Q57" i="13"/>
  <c r="Q56" i="13"/>
  <c r="Q55" i="13"/>
  <c r="Q54" i="13"/>
  <c r="Q53" i="13"/>
  <c r="Q52" i="13"/>
  <c r="D52" i="1"/>
  <c r="D43" i="1"/>
  <c r="D42" i="1"/>
  <c r="D41" i="1"/>
  <c r="D11" i="1"/>
  <c r="A6" i="2"/>
  <c r="A5" i="16" s="1"/>
  <c r="A3" i="2"/>
  <c r="D363" i="2"/>
  <c r="D361" i="2"/>
  <c r="H58" i="21"/>
  <c r="C9" i="13"/>
  <c r="D9" i="13"/>
  <c r="D71" i="13" s="1"/>
  <c r="D75" i="13" s="1"/>
  <c r="E9" i="13"/>
  <c r="G9" i="13"/>
  <c r="G73" i="13" s="1"/>
  <c r="H9" i="13"/>
  <c r="I9" i="13"/>
  <c r="K9" i="13"/>
  <c r="L9" i="13"/>
  <c r="M9" i="13"/>
  <c r="N9" i="13"/>
  <c r="C30" i="13"/>
  <c r="E47" i="5"/>
  <c r="M10" i="22"/>
  <c r="C25" i="6"/>
  <c r="E25" i="6" s="1"/>
  <c r="O8" i="21"/>
  <c r="O48" i="21" s="1"/>
  <c r="I28" i="16"/>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c r="P9" i="13" a="1"/>
  <c r="P9" i="13" s="1"/>
  <c r="D60" i="13"/>
  <c r="F60" i="13" s="1"/>
  <c r="J50" i="13"/>
  <c r="J32" i="13"/>
  <c r="J33" i="13"/>
  <c r="J42" i="13"/>
  <c r="J11" i="13"/>
  <c r="J63" i="13"/>
  <c r="J64" i="13"/>
  <c r="J65" i="13"/>
  <c r="J61" i="13"/>
  <c r="J34" i="13"/>
  <c r="J35" i="13"/>
  <c r="J36" i="13"/>
  <c r="J37" i="13"/>
  <c r="J38" i="13"/>
  <c r="J39" i="13"/>
  <c r="J41" i="13"/>
  <c r="J43" i="13"/>
  <c r="J44" i="13"/>
  <c r="J45" i="13"/>
  <c r="J46" i="13"/>
  <c r="J47" i="13"/>
  <c r="J48" i="13"/>
  <c r="J49" i="13"/>
  <c r="J29" i="13"/>
  <c r="J13" i="13"/>
  <c r="J14" i="13"/>
  <c r="J15" i="13"/>
  <c r="J17" i="13"/>
  <c r="J18" i="13"/>
  <c r="J19" i="13"/>
  <c r="J20" i="13"/>
  <c r="J21" i="13"/>
  <c r="J22" i="13"/>
  <c r="J23" i="13"/>
  <c r="J24" i="13"/>
  <c r="J25" i="13"/>
  <c r="J26" i="13"/>
  <c r="J27" i="13"/>
  <c r="J28" i="13"/>
  <c r="O60" i="13"/>
  <c r="H133" i="2"/>
  <c r="A4" i="21"/>
  <c r="A4" i="16"/>
  <c r="P48" i="21"/>
  <c r="L48" i="21"/>
  <c r="E48" i="21"/>
  <c r="A9" i="21"/>
  <c r="A10" i="21"/>
  <c r="A11" i="21"/>
  <c r="A12" i="21" s="1"/>
  <c r="A13" i="21" s="1"/>
  <c r="A14" i="21" s="1"/>
  <c r="A15" i="21" s="1"/>
  <c r="A16" i="2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D315" i="2"/>
  <c r="D285" i="2"/>
  <c r="D275" i="2"/>
  <c r="D270" i="2"/>
  <c r="D263" i="2"/>
  <c r="D262" i="2" s="1"/>
  <c r="D260" i="2"/>
  <c r="D255" i="2"/>
  <c r="D254" i="2" s="1"/>
  <c r="D253" i="2" s="1"/>
  <c r="H331" i="2" s="1"/>
  <c r="D249" i="2"/>
  <c r="C115" i="3"/>
  <c r="D243" i="2"/>
  <c r="D242" i="2"/>
  <c r="D241" i="2" s="1"/>
  <c r="D236" i="2"/>
  <c r="D231" i="2"/>
  <c r="D230" i="2" s="1"/>
  <c r="C111" i="3"/>
  <c r="D222" i="2"/>
  <c r="C110" i="3"/>
  <c r="D220" i="2"/>
  <c r="C109" i="3" s="1"/>
  <c r="D214" i="2"/>
  <c r="D211" i="2"/>
  <c r="H207" i="2"/>
  <c r="E132" i="4"/>
  <c r="D207" i="2"/>
  <c r="D204" i="2"/>
  <c r="H200" i="2"/>
  <c r="D200" i="2"/>
  <c r="D197" i="2"/>
  <c r="C91" i="3" s="1"/>
  <c r="D194" i="2"/>
  <c r="C90" i="3"/>
  <c r="H192" i="2"/>
  <c r="D191" i="2"/>
  <c r="C89" i="3" s="1"/>
  <c r="H189" i="2"/>
  <c r="D188" i="2"/>
  <c r="H186" i="2"/>
  <c r="D184" i="2"/>
  <c r="C84" i="3" s="1"/>
  <c r="F37" i="8" s="1"/>
  <c r="H183" i="2"/>
  <c r="D182" i="2"/>
  <c r="C85" i="3" s="1"/>
  <c r="D178" i="2"/>
  <c r="C83" i="3"/>
  <c r="D41" i="5" s="1"/>
  <c r="H176" i="2"/>
  <c r="D172" i="2"/>
  <c r="H170" i="2"/>
  <c r="D169" i="2"/>
  <c r="D166" i="2"/>
  <c r="D163" i="2"/>
  <c r="H162" i="2"/>
  <c r="D159" i="2"/>
  <c r="D156" i="2"/>
  <c r="H154" i="2"/>
  <c r="H153" i="2"/>
  <c r="H152" i="2" s="1"/>
  <c r="D153" i="2"/>
  <c r="D150" i="2"/>
  <c r="H149" i="2"/>
  <c r="G97" i="3"/>
  <c r="D147" i="2"/>
  <c r="H144" i="2"/>
  <c r="D144" i="2"/>
  <c r="H141" i="2"/>
  <c r="D140" i="2"/>
  <c r="H137" i="2"/>
  <c r="D137" i="2"/>
  <c r="D134" i="2"/>
  <c r="H127" i="2"/>
  <c r="D126" i="2"/>
  <c r="H122" i="2"/>
  <c r="D118" i="2"/>
  <c r="C39" i="3" s="1"/>
  <c r="C14" i="8" s="1"/>
  <c r="E14" i="8" s="1"/>
  <c r="H113" i="2"/>
  <c r="G80" i="3" s="1"/>
  <c r="D110" i="2"/>
  <c r="C45" i="3" s="1"/>
  <c r="C13" i="8" s="1"/>
  <c r="E13" i="8" s="1"/>
  <c r="H106" i="2"/>
  <c r="H105" i="2" s="1"/>
  <c r="H102" i="2"/>
  <c r="D102" i="2"/>
  <c r="C38" i="3"/>
  <c r="H99" i="2"/>
  <c r="H96" i="2"/>
  <c r="D94" i="2"/>
  <c r="H93" i="2"/>
  <c r="H92" i="2" s="1"/>
  <c r="H89" i="2"/>
  <c r="H86" i="2"/>
  <c r="D86" i="2"/>
  <c r="H83" i="2"/>
  <c r="H80" i="2"/>
  <c r="D77" i="2"/>
  <c r="H75" i="2"/>
  <c r="D15" i="1" s="1"/>
  <c r="H72" i="2"/>
  <c r="H69" i="2"/>
  <c r="G37" i="3" s="1"/>
  <c r="D69" i="2"/>
  <c r="C35" i="3" s="1"/>
  <c r="H66" i="2"/>
  <c r="G36" i="3" s="1"/>
  <c r="H63" i="2"/>
  <c r="D61" i="2"/>
  <c r="C41" i="3" s="1"/>
  <c r="H60" i="2"/>
  <c r="G34" i="3" s="1"/>
  <c r="H56" i="2"/>
  <c r="H52" i="2" s="1"/>
  <c r="H53" i="2"/>
  <c r="D53" i="2"/>
  <c r="D50" i="2"/>
  <c r="H49" i="2"/>
  <c r="D47" i="2"/>
  <c r="C29" i="3" s="1"/>
  <c r="H46" i="2"/>
  <c r="H41" i="2"/>
  <c r="D41" i="2"/>
  <c r="H38" i="2"/>
  <c r="D35" i="2"/>
  <c r="D34" i="2"/>
  <c r="H34" i="2"/>
  <c r="H30" i="2" s="1"/>
  <c r="H31" i="2"/>
  <c r="D31" i="2"/>
  <c r="D34" i="5" s="1"/>
  <c r="E34" i="5" s="1"/>
  <c r="D28" i="2"/>
  <c r="H27" i="2"/>
  <c r="H24" i="2"/>
  <c r="H23" i="2"/>
  <c r="D23" i="2"/>
  <c r="D30" i="5" s="1"/>
  <c r="E30" i="5" s="1"/>
  <c r="H20" i="2"/>
  <c r="D18" i="2"/>
  <c r="H17" i="2"/>
  <c r="H16" i="2" s="1"/>
  <c r="H11" i="2"/>
  <c r="D11" i="2"/>
  <c r="C11" i="3" s="1"/>
  <c r="C8" i="23" s="1"/>
  <c r="G7" i="3"/>
  <c r="C10" i="1"/>
  <c r="D10" i="1" s="1"/>
  <c r="M28" i="24"/>
  <c r="L28" i="24"/>
  <c r="E28" i="24"/>
  <c r="A9" i="24"/>
  <c r="A4" i="24"/>
  <c r="J24" i="23"/>
  <c r="I24" i="23"/>
  <c r="H24" i="23"/>
  <c r="G24" i="23"/>
  <c r="F24" i="23"/>
  <c r="E24" i="23"/>
  <c r="D24" i="23"/>
  <c r="C24" i="23"/>
  <c r="K23" i="23"/>
  <c r="L23" i="23" s="1"/>
  <c r="K22" i="23"/>
  <c r="K21" i="23"/>
  <c r="K20" i="23"/>
  <c r="K19" i="23"/>
  <c r="K18" i="23"/>
  <c r="J16" i="23"/>
  <c r="J25" i="23" s="1"/>
  <c r="I16" i="23"/>
  <c r="I25" i="23" s="1"/>
  <c r="H16" i="23"/>
  <c r="H25" i="23"/>
  <c r="G16" i="23"/>
  <c r="G25" i="23"/>
  <c r="F16" i="23"/>
  <c r="F25" i="23" s="1"/>
  <c r="E16" i="23"/>
  <c r="E25" i="23"/>
  <c r="D16" i="23"/>
  <c r="K15" i="23"/>
  <c r="L15" i="23" s="1"/>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c r="D23" i="22"/>
  <c r="D28" i="22" s="1"/>
  <c r="C23" i="22"/>
  <c r="C28" i="22" s="1"/>
  <c r="M22" i="22"/>
  <c r="M21" i="22"/>
  <c r="M20" i="22"/>
  <c r="M19" i="22"/>
  <c r="M17" i="22"/>
  <c r="K16" i="22"/>
  <c r="J16" i="22"/>
  <c r="I16" i="22"/>
  <c r="H16" i="22"/>
  <c r="G16" i="22"/>
  <c r="F16" i="22"/>
  <c r="E16" i="22"/>
  <c r="E27" i="22" s="1"/>
  <c r="E26" i="22"/>
  <c r="D16" i="22"/>
  <c r="D27" i="22" s="1"/>
  <c r="C16" i="22"/>
  <c r="M15" i="22"/>
  <c r="M14" i="22"/>
  <c r="M13" i="22"/>
  <c r="K9" i="22"/>
  <c r="J9" i="22"/>
  <c r="I9" i="22"/>
  <c r="H9" i="22"/>
  <c r="H27" i="22" s="1"/>
  <c r="H26" i="22" s="1"/>
  <c r="G9" i="22"/>
  <c r="G27" i="22" s="1"/>
  <c r="G26" i="22" s="1"/>
  <c r="F9" i="22"/>
  <c r="F27" i="22" s="1"/>
  <c r="E9" i="22"/>
  <c r="D9" i="22"/>
  <c r="C9" i="22"/>
  <c r="C27" i="22" s="1"/>
  <c r="C26" i="22" s="1"/>
  <c r="A4" i="22"/>
  <c r="C19" i="1"/>
  <c r="C16" i="1" s="1"/>
  <c r="C28" i="1"/>
  <c r="N60" i="13"/>
  <c r="M60" i="13"/>
  <c r="M73" i="13"/>
  <c r="L60" i="13"/>
  <c r="L73" i="13"/>
  <c r="K60" i="13"/>
  <c r="I60" i="13"/>
  <c r="H60" i="13"/>
  <c r="G60" i="13"/>
  <c r="E60" i="13"/>
  <c r="C60" i="13"/>
  <c r="C73" i="13" s="1"/>
  <c r="E51" i="13"/>
  <c r="G51" i="13"/>
  <c r="H51" i="13"/>
  <c r="D51" i="13"/>
  <c r="F51" i="13"/>
  <c r="C23" i="1"/>
  <c r="H8" i="15"/>
  <c r="H9" i="15"/>
  <c r="H10" i="15"/>
  <c r="H11" i="15"/>
  <c r="H12" i="15"/>
  <c r="H13" i="15"/>
  <c r="H14" i="15"/>
  <c r="H15" i="15"/>
  <c r="H16" i="15"/>
  <c r="H17" i="15"/>
  <c r="H18" i="15"/>
  <c r="H19" i="15"/>
  <c r="H20" i="15"/>
  <c r="H21" i="15"/>
  <c r="H22" i="15"/>
  <c r="H23" i="15"/>
  <c r="H24" i="15"/>
  <c r="H25" i="15"/>
  <c r="H26" i="15"/>
  <c r="B11" i="3"/>
  <c r="L30" i="13"/>
  <c r="M30" i="13"/>
  <c r="M74" i="13" s="1"/>
  <c r="N30" i="13"/>
  <c r="N74" i="13"/>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H20" i="19"/>
  <c r="I14" i="19"/>
  <c r="G20" i="19"/>
  <c r="F20" i="19"/>
  <c r="E20" i="19"/>
  <c r="D20" i="19"/>
  <c r="C20" i="19"/>
  <c r="N26" i="18"/>
  <c r="M26" i="18"/>
  <c r="N20" i="18"/>
  <c r="M20" i="18"/>
  <c r="N14" i="18"/>
  <c r="N27" i="18" s="1"/>
  <c r="M14" i="18"/>
  <c r="D28" i="17"/>
  <c r="G28" i="15"/>
  <c r="F28" i="15"/>
  <c r="G27" i="15"/>
  <c r="F27" i="15"/>
  <c r="C27" i="15"/>
  <c r="H7" i="15"/>
  <c r="H27" i="15" s="1"/>
  <c r="L28" i="12"/>
  <c r="D28" i="12"/>
  <c r="A4" i="8"/>
  <c r="A3" i="5"/>
  <c r="A4" i="5"/>
  <c r="C44" i="8"/>
  <c r="E44" i="8" s="1"/>
  <c r="C43" i="8"/>
  <c r="E43" i="8"/>
  <c r="C42" i="8"/>
  <c r="E42" i="8"/>
  <c r="C41" i="8"/>
  <c r="C39" i="8"/>
  <c r="E39" i="8" s="1"/>
  <c r="C38" i="8"/>
  <c r="E38" i="8"/>
  <c r="A4" i="6"/>
  <c r="D24" i="6"/>
  <c r="E24" i="6" s="1"/>
  <c r="D23" i="6"/>
  <c r="D22" i="6"/>
  <c r="D21" i="6"/>
  <c r="D20" i="6"/>
  <c r="D19" i="6"/>
  <c r="D18" i="6"/>
  <c r="E18" i="6" s="1"/>
  <c r="D17" i="6"/>
  <c r="D11" i="6"/>
  <c r="D10" i="6"/>
  <c r="E10" i="6" s="1"/>
  <c r="D9" i="6"/>
  <c r="C24" i="6"/>
  <c r="C23" i="6"/>
  <c r="C22" i="6"/>
  <c r="E22" i="6"/>
  <c r="C21" i="6"/>
  <c r="E21" i="6" s="1"/>
  <c r="C20" i="6"/>
  <c r="E20" i="6"/>
  <c r="C19" i="6"/>
  <c r="C18" i="6"/>
  <c r="C17" i="6"/>
  <c r="C13" i="6"/>
  <c r="E13" i="6"/>
  <c r="C12" i="6"/>
  <c r="E12" i="6" s="1"/>
  <c r="C11" i="6"/>
  <c r="C10" i="6"/>
  <c r="C9" i="6"/>
  <c r="C7" i="3"/>
  <c r="C20" i="3"/>
  <c r="D45" i="5"/>
  <c r="E45" i="5" s="1"/>
  <c r="E44" i="5"/>
  <c r="D29" i="5"/>
  <c r="E29" i="5" s="1"/>
  <c r="D28" i="5"/>
  <c r="E28" i="5" s="1"/>
  <c r="D27" i="5"/>
  <c r="E27" i="5" s="1"/>
  <c r="E135" i="4"/>
  <c r="E133"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77" i="4" s="1"/>
  <c r="E85" i="4"/>
  <c r="E84" i="4"/>
  <c r="E83" i="4"/>
  <c r="E82" i="4"/>
  <c r="E81" i="4"/>
  <c r="E80" i="4"/>
  <c r="E79" i="4"/>
  <c r="E78" i="4"/>
  <c r="E76" i="4"/>
  <c r="E75" i="4"/>
  <c r="E74" i="4"/>
  <c r="E73" i="4"/>
  <c r="E72" i="4"/>
  <c r="E71" i="4"/>
  <c r="E70" i="4"/>
  <c r="E69" i="4"/>
  <c r="E68" i="4"/>
  <c r="E66" i="4"/>
  <c r="E65" i="4"/>
  <c r="E64" i="4"/>
  <c r="E63" i="4"/>
  <c r="E62" i="4" s="1"/>
  <c r="E60" i="4"/>
  <c r="E59" i="4"/>
  <c r="E58" i="4"/>
  <c r="E57" i="4"/>
  <c r="E56" i="4"/>
  <c r="E55" i="4"/>
  <c r="E54" i="4"/>
  <c r="E52" i="4"/>
  <c r="E51" i="4"/>
  <c r="E49" i="4"/>
  <c r="E48" i="4"/>
  <c r="E44" i="4"/>
  <c r="E43" i="4"/>
  <c r="E42" i="4"/>
  <c r="E41" i="4"/>
  <c r="E40" i="4"/>
  <c r="E38" i="4"/>
  <c r="E31" i="4" s="1"/>
  <c r="E37" i="4"/>
  <c r="E36" i="4"/>
  <c r="E35" i="4"/>
  <c r="E34" i="4"/>
  <c r="E33" i="4"/>
  <c r="E32" i="4"/>
  <c r="E30" i="4"/>
  <c r="E29" i="4"/>
  <c r="E28" i="4"/>
  <c r="E27" i="4"/>
  <c r="E26" i="4"/>
  <c r="E24" i="4"/>
  <c r="E23" i="4"/>
  <c r="E22" i="4"/>
  <c r="E21" i="4"/>
  <c r="E20" i="4"/>
  <c r="E19" i="4"/>
  <c r="E18" i="4"/>
  <c r="E17" i="4" s="1"/>
  <c r="E16" i="4"/>
  <c r="E15" i="4"/>
  <c r="E14" i="4"/>
  <c r="E13" i="4"/>
  <c r="E12" i="4"/>
  <c r="E11" i="4"/>
  <c r="E10" i="4"/>
  <c r="G96" i="3"/>
  <c r="D16" i="5"/>
  <c r="G93" i="3"/>
  <c r="G92" i="3"/>
  <c r="D14" i="5" s="1"/>
  <c r="G90" i="3"/>
  <c r="G89" i="3"/>
  <c r="D21" i="5" s="1"/>
  <c r="G88" i="3"/>
  <c r="D12" i="5" s="1"/>
  <c r="G86" i="3"/>
  <c r="D11" i="5"/>
  <c r="G85" i="3"/>
  <c r="G84" i="3"/>
  <c r="G79" i="3"/>
  <c r="G78" i="3"/>
  <c r="G77" i="3" s="1"/>
  <c r="G76" i="3"/>
  <c r="G74" i="3"/>
  <c r="G75" i="3"/>
  <c r="G73" i="3"/>
  <c r="G72" i="3"/>
  <c r="G68" i="3"/>
  <c r="G66" i="3" s="1"/>
  <c r="G67" i="3"/>
  <c r="G65" i="3"/>
  <c r="G63" i="3" s="1"/>
  <c r="G64" i="3"/>
  <c r="G62" i="3"/>
  <c r="G61" i="3"/>
  <c r="G60" i="3"/>
  <c r="G59" i="3"/>
  <c r="G58" i="3"/>
  <c r="G55" i="3"/>
  <c r="G54" i="3"/>
  <c r="G52" i="3"/>
  <c r="G51" i="3"/>
  <c r="G49" i="3"/>
  <c r="G48" i="3"/>
  <c r="G47" i="3" s="1"/>
  <c r="G46" i="3"/>
  <c r="G45" i="3"/>
  <c r="G41" i="3"/>
  <c r="G40" i="3"/>
  <c r="G32" i="3"/>
  <c r="G31" i="3"/>
  <c r="G30" i="3"/>
  <c r="G28" i="3"/>
  <c r="G27" i="3"/>
  <c r="G25" i="3" s="1"/>
  <c r="G26" i="3"/>
  <c r="G23" i="3"/>
  <c r="G22" i="3"/>
  <c r="G21" i="3"/>
  <c r="G19" i="3"/>
  <c r="G18" i="3"/>
  <c r="G17" i="3"/>
  <c r="G16" i="3"/>
  <c r="G13" i="3"/>
  <c r="G12" i="3"/>
  <c r="G11" i="3" s="1"/>
  <c r="C114" i="3"/>
  <c r="C113" i="3" s="1"/>
  <c r="C108" i="3"/>
  <c r="C107" i="3"/>
  <c r="C105" i="3" s="1"/>
  <c r="C106" i="3"/>
  <c r="C104" i="3"/>
  <c r="C31" i="8"/>
  <c r="C103" i="3"/>
  <c r="C101" i="3"/>
  <c r="C35" i="8" s="1"/>
  <c r="E35" i="8" s="1"/>
  <c r="C100" i="3"/>
  <c r="C99" i="3"/>
  <c r="C97" i="3"/>
  <c r="C96" i="3"/>
  <c r="C92" i="3"/>
  <c r="C88" i="3"/>
  <c r="C81" i="3"/>
  <c r="F22" i="8"/>
  <c r="C80" i="3"/>
  <c r="C28" i="8" s="1"/>
  <c r="E28" i="8" s="1"/>
  <c r="C79" i="3"/>
  <c r="C78" i="3"/>
  <c r="C76" i="3"/>
  <c r="C75" i="3"/>
  <c r="C23" i="8" s="1"/>
  <c r="E23" i="8" s="1"/>
  <c r="C73" i="3"/>
  <c r="C72" i="3"/>
  <c r="C70" i="3" s="1"/>
  <c r="C71" i="3"/>
  <c r="C69" i="3"/>
  <c r="C68" i="3"/>
  <c r="C64" i="3"/>
  <c r="F15" i="8"/>
  <c r="C63" i="3"/>
  <c r="C62" i="3"/>
  <c r="C61" i="3"/>
  <c r="C59" i="3"/>
  <c r="C58" i="3"/>
  <c r="C56" i="3"/>
  <c r="C55" i="3"/>
  <c r="C54" i="3"/>
  <c r="C52" i="3"/>
  <c r="C51" i="3"/>
  <c r="C46" i="3"/>
  <c r="C30" i="3"/>
  <c r="C28" i="3"/>
  <c r="C27" i="3"/>
  <c r="C26" i="3"/>
  <c r="C25" i="3"/>
  <c r="C24" i="3"/>
  <c r="C22" i="3"/>
  <c r="C21" i="3"/>
  <c r="C19" i="3"/>
  <c r="D36" i="5" s="1"/>
  <c r="E36" i="5" s="1"/>
  <c r="C18" i="3"/>
  <c r="C17" i="3" s="1"/>
  <c r="L12" i="23" s="1"/>
  <c r="C15" i="3"/>
  <c r="C14" i="3"/>
  <c r="L9" i="23" s="1"/>
  <c r="C13" i="3"/>
  <c r="C12" i="3"/>
  <c r="A4" i="3"/>
  <c r="A4" i="4"/>
  <c r="O30" i="13"/>
  <c r="H30" i="13"/>
  <c r="H71" i="13" s="1"/>
  <c r="G30" i="13"/>
  <c r="E30" i="13"/>
  <c r="E71" i="13"/>
  <c r="D30" i="13"/>
  <c r="F30" i="13" s="1"/>
  <c r="O9" i="13"/>
  <c r="O71" i="13" s="1"/>
  <c r="C34" i="3"/>
  <c r="I17" i="19"/>
  <c r="I13" i="19"/>
  <c r="I15" i="19"/>
  <c r="I18" i="19"/>
  <c r="I19" i="19"/>
  <c r="I11" i="19"/>
  <c r="I21" i="19" s="1"/>
  <c r="I12" i="19"/>
  <c r="I16" i="19"/>
  <c r="E41" i="8"/>
  <c r="E40" i="8" s="1"/>
  <c r="D22" i="5"/>
  <c r="D10" i="5"/>
  <c r="C37" i="3"/>
  <c r="G35" i="3"/>
  <c r="J10" i="13"/>
  <c r="R10" i="13" s="1"/>
  <c r="A3" i="14"/>
  <c r="B51" i="8"/>
  <c r="D35" i="16"/>
  <c r="E34" i="15"/>
  <c r="D365" i="2"/>
  <c r="D45" i="22" s="1"/>
  <c r="C21" i="8"/>
  <c r="E21" i="8" s="1"/>
  <c r="C34" i="8"/>
  <c r="E34" i="8" s="1"/>
  <c r="K24" i="23"/>
  <c r="J12" i="13"/>
  <c r="A65" i="5"/>
  <c r="D37" i="16"/>
  <c r="D84" i="13"/>
  <c r="C125" i="3"/>
  <c r="B36" i="6"/>
  <c r="H37" i="24"/>
  <c r="H60" i="21"/>
  <c r="E36" i="15"/>
  <c r="E38" i="17"/>
  <c r="E37" i="12"/>
  <c r="E36" i="18"/>
  <c r="D37" i="23"/>
  <c r="B43" i="20"/>
  <c r="C44" i="14"/>
  <c r="A3" i="15"/>
  <c r="D30" i="19"/>
  <c r="C150" i="4"/>
  <c r="D88" i="13"/>
  <c r="J16" i="13"/>
  <c r="B9" i="13"/>
  <c r="B73" i="13" s="1"/>
  <c r="J62" i="13"/>
  <c r="G20" i="3"/>
  <c r="D13" i="5"/>
  <c r="E39" i="4"/>
  <c r="D43" i="22"/>
  <c r="D86" i="13"/>
  <c r="B53" i="8"/>
  <c r="B30" i="13"/>
  <c r="B74" i="13"/>
  <c r="J31" i="13"/>
  <c r="C27" i="8"/>
  <c r="E27" i="8" s="1"/>
  <c r="C20" i="8"/>
  <c r="E20" i="8" s="1"/>
  <c r="A6" i="6"/>
  <c r="A6" i="13"/>
  <c r="A5" i="24"/>
  <c r="A6" i="19"/>
  <c r="A5" i="4"/>
  <c r="A5" i="17"/>
  <c r="A6" i="23"/>
  <c r="A6" i="22"/>
  <c r="A6" i="20"/>
  <c r="A6" i="3"/>
  <c r="C71" i="13"/>
  <c r="J66" i="13"/>
  <c r="C74" i="13"/>
  <c r="K71" i="13"/>
  <c r="L74" i="13"/>
  <c r="D74" i="13"/>
  <c r="I74" i="13"/>
  <c r="G74" i="13"/>
  <c r="H73" i="13"/>
  <c r="E73" i="13"/>
  <c r="I75" i="2"/>
  <c r="M25" i="22"/>
  <c r="E74" i="13"/>
  <c r="G71" i="3"/>
  <c r="E50" i="4"/>
  <c r="B38" i="6"/>
  <c r="C127" i="3"/>
  <c r="C42" i="3"/>
  <c r="C23" i="3"/>
  <c r="C44" i="3"/>
  <c r="N73" i="13"/>
  <c r="H121" i="2"/>
  <c r="G81" i="3"/>
  <c r="B41" i="20"/>
  <c r="H35" i="24"/>
  <c r="C148" i="4"/>
  <c r="A63" i="5"/>
  <c r="B34" i="6"/>
  <c r="C123" i="3"/>
  <c r="D28" i="19"/>
  <c r="E34" i="18"/>
  <c r="E35" i="12"/>
  <c r="A67" i="5"/>
  <c r="D32" i="19"/>
  <c r="D39" i="16"/>
  <c r="A6" i="18"/>
  <c r="A3" i="16"/>
  <c r="D41" i="22"/>
  <c r="A5" i="14"/>
  <c r="A3" i="21"/>
  <c r="H39" i="24"/>
  <c r="A5" i="12"/>
  <c r="E36" i="17"/>
  <c r="E38" i="15"/>
  <c r="A6" i="5"/>
  <c r="A5" i="21"/>
  <c r="E39" i="12"/>
  <c r="D35" i="23"/>
  <c r="C42" i="14"/>
  <c r="A5" i="8"/>
  <c r="A5" i="15"/>
  <c r="E19" i="6"/>
  <c r="C30" i="8"/>
  <c r="E30" i="8" s="1"/>
  <c r="D25" i="23"/>
  <c r="C47" i="3"/>
  <c r="C67" i="3"/>
  <c r="D20" i="5"/>
  <c r="G83" i="3"/>
  <c r="D23" i="5"/>
  <c r="I27" i="22"/>
  <c r="I26" i="22" s="1"/>
  <c r="E9" i="6"/>
  <c r="E53" i="4"/>
  <c r="J27" i="22"/>
  <c r="J26" i="22"/>
  <c r="D85" i="2"/>
  <c r="D37" i="5"/>
  <c r="G53" i="3"/>
  <c r="E25" i="4"/>
  <c r="E67" i="4"/>
  <c r="H45" i="2"/>
  <c r="G87" i="3"/>
  <c r="H185" i="2"/>
  <c r="H151" i="2"/>
  <c r="H330" i="2" s="1"/>
  <c r="J60" i="13"/>
  <c r="A3" i="19"/>
  <c r="A3" i="18"/>
  <c r="A3" i="13"/>
  <c r="A3" i="6"/>
  <c r="A3" i="24"/>
  <c r="C8" i="6"/>
  <c r="G57" i="3"/>
  <c r="L17" i="14"/>
  <c r="C24" i="8"/>
  <c r="C98" i="3"/>
  <c r="C95" i="3" s="1"/>
  <c r="C33" i="8"/>
  <c r="C112" i="3"/>
  <c r="D42" i="5"/>
  <c r="E42" i="5"/>
  <c r="E124" i="4"/>
  <c r="C26" i="8"/>
  <c r="H28" i="15"/>
  <c r="D22" i="20" s="1"/>
  <c r="E22" i="20" s="1"/>
  <c r="K73" i="13"/>
  <c r="B71" i="13"/>
  <c r="D175" i="2"/>
  <c r="D174" i="2" s="1"/>
  <c r="I73" i="13"/>
  <c r="I71" i="13"/>
  <c r="E41" i="5"/>
  <c r="C40" i="8"/>
  <c r="C37" i="8" s="1"/>
  <c r="F29" i="8"/>
  <c r="F8" i="8"/>
  <c r="E37" i="5"/>
  <c r="D33" i="5" l="1"/>
  <c r="E33" i="5" s="1"/>
  <c r="L10" i="23"/>
  <c r="M11" i="22"/>
  <c r="D32" i="5"/>
  <c r="E32" i="5" s="1"/>
  <c r="D31" i="5"/>
  <c r="E31" i="5" s="1"/>
  <c r="C16" i="23"/>
  <c r="C25" i="23" s="1"/>
  <c r="I26" i="23" s="1"/>
  <c r="K8" i="23"/>
  <c r="K16" i="23" s="1"/>
  <c r="K25" i="23" s="1"/>
  <c r="K26" i="23" s="1"/>
  <c r="G56" i="3"/>
  <c r="G50" i="3"/>
  <c r="E23" i="6"/>
  <c r="M18" i="22"/>
  <c r="M16" i="22" s="1"/>
  <c r="H44" i="2"/>
  <c r="H15" i="2"/>
  <c r="H14" i="2" s="1"/>
  <c r="I14" i="2" s="1"/>
  <c r="G15" i="3"/>
  <c r="H37" i="2"/>
  <c r="G29" i="3"/>
  <c r="G24" i="3" s="1"/>
  <c r="D14" i="6"/>
  <c r="D27" i="6" s="1"/>
  <c r="D28" i="6" s="1"/>
  <c r="C32" i="8"/>
  <c r="C29" i="8"/>
  <c r="C102" i="3"/>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94" i="3"/>
  <c r="H329" i="2"/>
  <c r="G95" i="3" s="1"/>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23" i="22" s="1"/>
  <c r="M28" i="22" s="1"/>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C26" i="23" l="1"/>
  <c r="H26" i="23"/>
  <c r="D26" i="23"/>
  <c r="E26" i="23"/>
  <c r="F26" i="23"/>
  <c r="G26" i="23"/>
  <c r="J26" i="23"/>
  <c r="E14" i="6"/>
  <c r="E27" i="6" s="1"/>
  <c r="E28" i="6" s="1"/>
  <c r="E13" i="20" s="1"/>
  <c r="M27" i="22"/>
  <c r="L27" i="22" s="1"/>
  <c r="G14" i="3"/>
  <c r="L19" i="23" s="1"/>
  <c r="E29" i="8"/>
  <c r="G29" i="8" s="1"/>
  <c r="D186" i="2"/>
  <c r="D9" i="2" s="1"/>
  <c r="D326" i="2" s="1"/>
  <c r="E16" i="8"/>
  <c r="G43" i="3"/>
  <c r="C18" i="8"/>
  <c r="C15" i="8" s="1"/>
  <c r="C45" i="8" s="1"/>
  <c r="E19" i="8"/>
  <c r="E18" i="8" s="1"/>
  <c r="F109" i="4"/>
  <c r="L28" i="22"/>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D13" i="20" l="1"/>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authors>
    <author>B Tungalag</author>
  </authors>
  <commentList>
    <comment ref="C14" authorId="0" shapeId="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text>
        <r>
          <rPr>
            <sz val="9"/>
            <color indexed="81"/>
            <rFont val="Tahoma"/>
            <family val="2"/>
          </rPr>
          <t>Хуулийн этгээдийн тоог хасаж оруулна уу.</t>
        </r>
      </text>
    </comment>
    <comment ref="C29" authorId="0" shapeId="0">
      <text>
        <r>
          <rPr>
            <sz val="9"/>
            <color indexed="81"/>
            <rFont val="Tahoma"/>
            <family val="2"/>
          </rPr>
          <t>Хуулийн этгээдийн тоог хасаж оруулна уу.</t>
        </r>
      </text>
    </comment>
    <comment ref="C52" authorId="0" shapeId="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authors>
    <author>B Tungalag</author>
  </authors>
  <commentList>
    <comment ref="D13" authorId="0" shapeId="0">
      <text>
        <r>
          <rPr>
            <sz val="9"/>
            <color indexed="81"/>
            <rFont val="Tahoma"/>
            <family val="2"/>
          </rPr>
          <t>Forex тайланд валютаарх дүнг оруулна уу.</t>
        </r>
      </text>
    </comment>
    <comment ref="H13" authorId="0" shapeId="0">
      <text>
        <r>
          <rPr>
            <sz val="9"/>
            <color indexed="81"/>
            <rFont val="Tahoma"/>
            <family val="2"/>
          </rPr>
          <t>Forex тайланд валютаарх дүнг оруулна уу.</t>
        </r>
      </text>
    </comment>
    <comment ref="D15" authorId="0" shapeId="0">
      <text>
        <r>
          <rPr>
            <sz val="9"/>
            <color indexed="81"/>
            <rFont val="Tahoma"/>
            <family val="2"/>
          </rPr>
          <t>Forex тайланд валютаарх дүнг оруулна уу.</t>
        </r>
      </text>
    </comment>
    <comment ref="D17" authorId="0" shapeId="0">
      <text>
        <r>
          <rPr>
            <sz val="9"/>
            <color indexed="81"/>
            <rFont val="Tahoma"/>
            <family val="2"/>
          </rPr>
          <t>Forex тайланд валютаарх дүнг оруулна уу.</t>
        </r>
      </text>
    </comment>
    <comment ref="D20" authorId="0" shapeId="0">
      <text>
        <r>
          <rPr>
            <sz val="9"/>
            <color indexed="81"/>
            <rFont val="Tahoma"/>
            <family val="2"/>
          </rPr>
          <t>Forex тайланд валютаарх дүнг оруулна уу.</t>
        </r>
      </text>
    </comment>
    <comment ref="H21" authorId="0" shapeId="0">
      <text>
        <r>
          <rPr>
            <sz val="9"/>
            <color indexed="81"/>
            <rFont val="Tahoma"/>
            <family val="2"/>
          </rPr>
          <t>Forex тайланд валютаарх дүнг оруулна уу.</t>
        </r>
      </text>
    </comment>
    <comment ref="D22" authorId="0" shapeId="0">
      <text>
        <r>
          <rPr>
            <sz val="9"/>
            <color indexed="81"/>
            <rFont val="Tahoma"/>
            <family val="2"/>
          </rPr>
          <t>Forex тайланд валютаарх дүнг оруулна уу.</t>
        </r>
      </text>
    </comment>
    <comment ref="H22" authorId="0" shapeId="0">
      <text>
        <r>
          <rPr>
            <sz val="9"/>
            <color indexed="81"/>
            <rFont val="Tahoma"/>
            <family val="2"/>
          </rPr>
          <t>Forex тайланд валютаарх дүнг оруулна уу.</t>
        </r>
      </text>
    </comment>
    <comment ref="D25" authorId="0" shapeId="0">
      <text>
        <r>
          <rPr>
            <sz val="9"/>
            <color indexed="81"/>
            <rFont val="Tahoma"/>
            <family val="2"/>
          </rPr>
          <t>Forex тайланд валютаарх дүнг оруулна уу.</t>
        </r>
      </text>
    </comment>
    <comment ref="D27" authorId="0" shapeId="0">
      <text>
        <r>
          <rPr>
            <sz val="9"/>
            <color indexed="81"/>
            <rFont val="Tahoma"/>
            <family val="2"/>
          </rPr>
          <t>Forex тайланд валютаарх дүнг оруулна уу.</t>
        </r>
      </text>
    </comment>
    <comment ref="H28" authorId="0" shapeId="0">
      <text>
        <r>
          <rPr>
            <sz val="9"/>
            <color indexed="81"/>
            <rFont val="Tahoma"/>
            <family val="2"/>
          </rPr>
          <t>Forex тайланд валютаарх дүнг оруулна уу.</t>
        </r>
      </text>
    </comment>
    <comment ref="D29" authorId="0" shapeId="0">
      <text>
        <r>
          <rPr>
            <sz val="9"/>
            <color indexed="81"/>
            <rFont val="Tahoma"/>
            <family val="2"/>
          </rPr>
          <t>Forex тайланд валютаарх дүнг оруулна уу.</t>
        </r>
      </text>
    </comment>
    <comment ref="H29" authorId="0" shapeId="0">
      <text>
        <r>
          <rPr>
            <sz val="9"/>
            <color indexed="81"/>
            <rFont val="Tahoma"/>
            <family val="2"/>
          </rPr>
          <t>Forex тайланд валютаарх дүнг оруулна уу.</t>
        </r>
      </text>
    </comment>
    <comment ref="D30" authorId="0" shapeId="0">
      <text>
        <r>
          <rPr>
            <sz val="9"/>
            <color indexed="81"/>
            <rFont val="Tahoma"/>
            <family val="2"/>
          </rPr>
          <t>Forex тайланд валютаарх дүнг оруулна уу.</t>
        </r>
      </text>
    </comment>
    <comment ref="D32" authorId="0" shapeId="0">
      <text>
        <r>
          <rPr>
            <sz val="9"/>
            <color indexed="81"/>
            <rFont val="Tahoma"/>
            <family val="2"/>
          </rPr>
          <t>Forex тайланд валютаарх дүнг оруулна уу.</t>
        </r>
      </text>
    </comment>
    <comment ref="D33" authorId="0" shapeId="0">
      <text>
        <r>
          <rPr>
            <sz val="9"/>
            <color indexed="81"/>
            <rFont val="Tahoma"/>
            <family val="2"/>
          </rPr>
          <t>Forex тайланд валютаарх дүнг оруулна уу.</t>
        </r>
      </text>
    </comment>
    <comment ref="H35" authorId="0" shapeId="0">
      <text>
        <r>
          <rPr>
            <sz val="9"/>
            <color indexed="81"/>
            <rFont val="Tahoma"/>
            <family val="2"/>
          </rPr>
          <t>Forex тайланд валютаарх дүнг оруулна уу.</t>
        </r>
      </text>
    </comment>
    <comment ref="H36" authorId="0" shapeId="0">
      <text>
        <r>
          <rPr>
            <sz val="9"/>
            <color indexed="81"/>
            <rFont val="Tahoma"/>
            <family val="2"/>
          </rPr>
          <t>Forex тайланд валютаарх дүнг оруулна уу.</t>
        </r>
      </text>
    </comment>
    <comment ref="H42" authorId="0" shapeId="0">
      <text>
        <r>
          <rPr>
            <sz val="9"/>
            <color indexed="81"/>
            <rFont val="Tahoma"/>
            <family val="2"/>
          </rPr>
          <t>Forex тайланд валютаарх дүнг оруулна уу.</t>
        </r>
      </text>
    </comment>
    <comment ref="H43" authorId="0" shapeId="0">
      <text>
        <r>
          <rPr>
            <sz val="9"/>
            <color indexed="81"/>
            <rFont val="Tahoma"/>
            <family val="2"/>
          </rPr>
          <t>Forex тайланд валютаарх дүнг оруулна уу.</t>
        </r>
      </text>
    </comment>
    <comment ref="H47" authorId="0" shapeId="0">
      <text>
        <r>
          <rPr>
            <sz val="9"/>
            <color indexed="81"/>
            <rFont val="Tahoma"/>
            <family val="2"/>
          </rPr>
          <t>Forex тайланд валютаарх дүнг оруулна уу.</t>
        </r>
      </text>
    </comment>
    <comment ref="H48" authorId="0" shapeId="0">
      <text>
        <r>
          <rPr>
            <sz val="9"/>
            <color indexed="81"/>
            <rFont val="Tahoma"/>
            <family val="2"/>
          </rPr>
          <t>Forex тайланд валютаарх дүнг оруулна уу.</t>
        </r>
      </text>
    </comment>
    <comment ref="H50" authorId="0" shapeId="0">
      <text>
        <r>
          <rPr>
            <sz val="9"/>
            <color indexed="81"/>
            <rFont val="Tahoma"/>
            <family val="2"/>
          </rPr>
          <t>Forex тайланд валютаарх дүнг оруулна уу.</t>
        </r>
      </text>
    </comment>
    <comment ref="H51" authorId="0" shapeId="0">
      <text>
        <r>
          <rPr>
            <sz val="9"/>
            <color indexed="81"/>
            <rFont val="Tahoma"/>
            <family val="2"/>
          </rPr>
          <t>Forex тайланд валютаарх дүнг оруулна уу.</t>
        </r>
      </text>
    </comment>
    <comment ref="H54" authorId="0" shapeId="0">
      <text>
        <r>
          <rPr>
            <sz val="9"/>
            <color indexed="81"/>
            <rFont val="Tahoma"/>
            <family val="2"/>
          </rPr>
          <t>Forex тайланд валютаарх дүнг оруулна уу.</t>
        </r>
      </text>
    </comment>
    <comment ref="H55" authorId="0" shapeId="0">
      <text>
        <r>
          <rPr>
            <sz val="9"/>
            <color indexed="81"/>
            <rFont val="Tahoma"/>
            <family val="2"/>
          </rPr>
          <t>Forex тайланд валютаарх дүнг оруулна уу.</t>
        </r>
      </text>
    </comment>
    <comment ref="H57" authorId="0" shapeId="0">
      <text>
        <r>
          <rPr>
            <sz val="9"/>
            <color indexed="81"/>
            <rFont val="Tahoma"/>
            <family val="2"/>
          </rPr>
          <t>Forex тайланд валютаарх дүнг оруулна уу.</t>
        </r>
      </text>
    </comment>
    <comment ref="H58" authorId="0" shapeId="0">
      <text>
        <r>
          <rPr>
            <sz val="9"/>
            <color indexed="81"/>
            <rFont val="Tahoma"/>
            <family val="2"/>
          </rPr>
          <t>Forex тайланд валютаарх дүнг оруулна уу.</t>
        </r>
      </text>
    </comment>
    <comment ref="D62" authorId="0" shapeId="0">
      <text>
        <r>
          <rPr>
            <sz val="9"/>
            <color indexed="81"/>
            <rFont val="Tahoma"/>
            <family val="2"/>
          </rPr>
          <t>Forex тайланд валютаарх дүнг оруулна уу.</t>
        </r>
      </text>
    </comment>
    <comment ref="H62" authorId="0" shapeId="0">
      <text>
        <r>
          <rPr>
            <sz val="9"/>
            <color indexed="81"/>
            <rFont val="Tahoma"/>
            <family val="2"/>
          </rPr>
          <t>Forex тайланд валютаарх дүнг оруулна уу.</t>
        </r>
      </text>
    </comment>
    <comment ref="D63" authorId="0" shapeId="0">
      <text>
        <r>
          <rPr>
            <sz val="9"/>
            <color indexed="81"/>
            <rFont val="Tahoma"/>
            <family val="2"/>
          </rPr>
          <t>Forex тайланд валютаарх дүнг оруулна уу.</t>
        </r>
      </text>
    </comment>
    <comment ref="D64" authorId="0" shapeId="0">
      <text>
        <r>
          <rPr>
            <sz val="9"/>
            <color indexed="81"/>
            <rFont val="Tahoma"/>
            <family val="2"/>
          </rPr>
          <t>Forex тайланд валютаарх дүнг оруулна уу.</t>
        </r>
      </text>
    </comment>
    <comment ref="D65" authorId="0" shapeId="0">
      <text>
        <r>
          <rPr>
            <sz val="9"/>
            <color indexed="81"/>
            <rFont val="Tahoma"/>
            <family val="2"/>
          </rPr>
          <t>Forex тайланд валютаарх дүнг оруулна уу.</t>
        </r>
      </text>
    </comment>
    <comment ref="H65" authorId="0" shapeId="0">
      <text>
        <r>
          <rPr>
            <sz val="9"/>
            <color indexed="81"/>
            <rFont val="Tahoma"/>
            <family val="2"/>
          </rPr>
          <t>Forex тайланд валютаарх дүнг оруулна уу.</t>
        </r>
      </text>
    </comment>
    <comment ref="D66" authorId="0" shapeId="0">
      <text>
        <r>
          <rPr>
            <sz val="9"/>
            <color indexed="81"/>
            <rFont val="Tahoma"/>
            <family val="2"/>
          </rPr>
          <t>Forex тайланд валютаарх дүнг оруулна уу.</t>
        </r>
      </text>
    </comment>
    <comment ref="D67" authorId="0" shapeId="0">
      <text>
        <r>
          <rPr>
            <sz val="9"/>
            <color indexed="81"/>
            <rFont val="Tahoma"/>
            <family val="2"/>
          </rPr>
          <t>Forex тайланд валютаарх дүнг оруулна уу.</t>
        </r>
      </text>
    </comment>
    <comment ref="D68" authorId="0" shapeId="0">
      <text>
        <r>
          <rPr>
            <sz val="9"/>
            <color indexed="81"/>
            <rFont val="Tahoma"/>
            <family val="2"/>
          </rPr>
          <t>Forex тайланд валютаарх дүнг оруулна уу.</t>
        </r>
      </text>
    </comment>
    <comment ref="H68" authorId="0" shapeId="0">
      <text>
        <r>
          <rPr>
            <sz val="9"/>
            <color indexed="81"/>
            <rFont val="Tahoma"/>
            <family val="2"/>
          </rPr>
          <t>Forex тайланд валютаарх дүнг оруулна уу.</t>
        </r>
      </text>
    </comment>
    <comment ref="H71" authorId="0" shapeId="0">
      <text>
        <r>
          <rPr>
            <sz val="9"/>
            <color indexed="81"/>
            <rFont val="Tahoma"/>
            <family val="2"/>
          </rPr>
          <t>Forex тайланд валютаарх дүнг оруулна уу.</t>
        </r>
      </text>
    </comment>
    <comment ref="H74" authorId="0" shapeId="0">
      <text>
        <r>
          <rPr>
            <sz val="9"/>
            <color indexed="81"/>
            <rFont val="Tahoma"/>
            <family val="2"/>
          </rPr>
          <t>Forex тайланд валютаарх дүнг оруулна уу.</t>
        </r>
      </text>
    </comment>
    <comment ref="H77" authorId="0" shapeId="0">
      <text>
        <r>
          <rPr>
            <sz val="9"/>
            <color indexed="81"/>
            <rFont val="Tahoma"/>
            <family val="2"/>
          </rPr>
          <t>Forex тайланд валютаарх дүнг оруулна уу.</t>
        </r>
      </text>
    </comment>
    <comment ref="D78" authorId="0" shapeId="0">
      <text>
        <r>
          <rPr>
            <sz val="9"/>
            <color indexed="81"/>
            <rFont val="Tahoma"/>
            <family val="2"/>
          </rPr>
          <t>Forex тайланд валютаарх дүнг оруулна уу.</t>
        </r>
      </text>
    </comment>
    <comment ref="D79" authorId="0" shapeId="0">
      <text>
        <r>
          <rPr>
            <sz val="9"/>
            <color indexed="81"/>
            <rFont val="Tahoma"/>
            <family val="2"/>
          </rPr>
          <t>Forex тайланд валютаарх дүнг оруулна уу.</t>
        </r>
      </text>
    </comment>
    <comment ref="D80" authorId="0" shapeId="0">
      <text>
        <r>
          <rPr>
            <sz val="9"/>
            <color indexed="81"/>
            <rFont val="Tahoma"/>
            <family val="2"/>
          </rPr>
          <t>Forex тайланд валютаарх дүнг оруулна уу.</t>
        </r>
      </text>
    </comment>
    <comment ref="D81" authorId="0" shapeId="0">
      <text>
        <r>
          <rPr>
            <sz val="9"/>
            <color indexed="81"/>
            <rFont val="Tahoma"/>
            <family val="2"/>
          </rPr>
          <t>Forex тайланд валютаарх дүнг оруулна уу.</t>
        </r>
      </text>
    </comment>
    <comment ref="D82" authorId="0" shapeId="0">
      <text>
        <r>
          <rPr>
            <sz val="9"/>
            <color indexed="81"/>
            <rFont val="Tahoma"/>
            <family val="2"/>
          </rPr>
          <t>Forex тайланд валютаарх дүнг оруулна уу.</t>
        </r>
      </text>
    </comment>
    <comment ref="H82" authorId="0" shapeId="0">
      <text>
        <r>
          <rPr>
            <sz val="9"/>
            <color indexed="81"/>
            <rFont val="Tahoma"/>
            <family val="2"/>
          </rPr>
          <t>Forex тайланд валютаарх дүнг оруулна уу.</t>
        </r>
      </text>
    </comment>
    <comment ref="D83" authorId="0" shapeId="0">
      <text>
        <r>
          <rPr>
            <sz val="9"/>
            <color indexed="81"/>
            <rFont val="Tahoma"/>
            <family val="2"/>
          </rPr>
          <t>Forex тайланд валютаарх дүнг оруулна уу.</t>
        </r>
      </text>
    </comment>
    <comment ref="D84" authorId="0" shapeId="0">
      <text>
        <r>
          <rPr>
            <sz val="9"/>
            <color indexed="81"/>
            <rFont val="Tahoma"/>
            <family val="2"/>
          </rPr>
          <t>Forex тайланд валютаарх дүнг оруулна уу.</t>
        </r>
      </text>
    </comment>
    <comment ref="H85" authorId="0" shapeId="0">
      <text>
        <r>
          <rPr>
            <sz val="9"/>
            <color indexed="81"/>
            <rFont val="Tahoma"/>
            <family val="2"/>
          </rPr>
          <t>Forex тайланд валютаарх дүнг оруулна уу.</t>
        </r>
      </text>
    </comment>
    <comment ref="H88" authorId="0" shapeId="0">
      <text>
        <r>
          <rPr>
            <sz val="9"/>
            <color indexed="81"/>
            <rFont val="Tahoma"/>
            <family val="2"/>
          </rPr>
          <t>Forex тайланд валютаарх дүнг оруулна уу.</t>
        </r>
      </text>
    </comment>
    <comment ref="H91" authorId="0" shapeId="0">
      <text>
        <r>
          <rPr>
            <sz val="9"/>
            <color indexed="81"/>
            <rFont val="Tahoma"/>
            <family val="2"/>
          </rPr>
          <t>Forex тайланд валютаарх дүнг оруулна уу.</t>
        </r>
      </text>
    </comment>
    <comment ref="D95" authorId="0" shapeId="0">
      <text>
        <r>
          <rPr>
            <sz val="9"/>
            <color indexed="81"/>
            <rFont val="Tahoma"/>
            <family val="2"/>
          </rPr>
          <t>Forex тайланд валютаарх дүнг оруулна уу.</t>
        </r>
      </text>
    </comment>
    <comment ref="H95" authorId="0" shapeId="0">
      <text>
        <r>
          <rPr>
            <sz val="9"/>
            <color indexed="81"/>
            <rFont val="Tahoma"/>
            <family val="2"/>
          </rPr>
          <t>Forex тайланд валютаарх дүнг оруулна уу.</t>
        </r>
      </text>
    </comment>
    <comment ref="D96" authorId="0" shapeId="0">
      <text>
        <r>
          <rPr>
            <sz val="9"/>
            <color indexed="81"/>
            <rFont val="Tahoma"/>
            <family val="2"/>
          </rPr>
          <t>Forex тайланд валютаарх дүнг оруулна уу.</t>
        </r>
      </text>
    </comment>
    <comment ref="D97" authorId="0" shapeId="0">
      <text>
        <r>
          <rPr>
            <sz val="9"/>
            <color indexed="81"/>
            <rFont val="Tahoma"/>
            <family val="2"/>
          </rPr>
          <t>Forex тайланд валютаарх дүнг оруулна уу.</t>
        </r>
      </text>
    </comment>
    <comment ref="D98" authorId="0" shapeId="0">
      <text>
        <r>
          <rPr>
            <sz val="9"/>
            <color indexed="81"/>
            <rFont val="Tahoma"/>
            <family val="2"/>
          </rPr>
          <t>Forex тайланд валютаарх дүнг оруулна уу.</t>
        </r>
      </text>
    </comment>
    <comment ref="H98" authorId="0" shapeId="0">
      <text>
        <r>
          <rPr>
            <sz val="9"/>
            <color indexed="81"/>
            <rFont val="Tahoma"/>
            <family val="2"/>
          </rPr>
          <t>Forex тайланд валютаарх дүнг оруулна уу.</t>
        </r>
      </text>
    </comment>
    <comment ref="D99" authorId="0" shapeId="0">
      <text>
        <r>
          <rPr>
            <sz val="9"/>
            <color indexed="81"/>
            <rFont val="Tahoma"/>
            <family val="2"/>
          </rPr>
          <t>Forex тайланд валютаарх дүнг оруулна уу.</t>
        </r>
      </text>
    </comment>
    <comment ref="D100" authorId="0" shapeId="0">
      <text>
        <r>
          <rPr>
            <sz val="9"/>
            <color indexed="81"/>
            <rFont val="Tahoma"/>
            <family val="2"/>
          </rPr>
          <t>Forex тайланд валютаарх дүнг оруулна уу.</t>
        </r>
      </text>
    </comment>
    <comment ref="D101" authorId="0" shapeId="0">
      <text>
        <r>
          <rPr>
            <sz val="9"/>
            <color indexed="81"/>
            <rFont val="Tahoma"/>
            <family val="2"/>
          </rPr>
          <t>Forex тайланд валютаарх дүнг оруулна уу.</t>
        </r>
      </text>
    </comment>
    <comment ref="H101" authorId="0" shapeId="0">
      <text>
        <r>
          <rPr>
            <sz val="9"/>
            <color indexed="81"/>
            <rFont val="Tahoma"/>
            <family val="2"/>
          </rPr>
          <t>Forex тайланд валютаарх дүнг оруулна уу.</t>
        </r>
      </text>
    </comment>
    <comment ref="H104" authorId="0" shapeId="0">
      <text>
        <r>
          <rPr>
            <sz val="9"/>
            <color indexed="81"/>
            <rFont val="Tahoma"/>
            <family val="2"/>
          </rPr>
          <t>Forex тайланд валютаарх дүнг оруулна уу.</t>
        </r>
      </text>
    </comment>
    <comment ref="H108" authorId="0" shapeId="0">
      <text>
        <r>
          <rPr>
            <sz val="9"/>
            <color indexed="81"/>
            <rFont val="Tahoma"/>
            <family val="2"/>
          </rPr>
          <t>Forex тайланд валютаарх дүнг оруулна уу.</t>
        </r>
      </text>
    </comment>
    <comment ref="H110" authorId="0" shapeId="0">
      <text>
        <r>
          <rPr>
            <sz val="9"/>
            <color indexed="81"/>
            <rFont val="Tahoma"/>
            <family val="2"/>
          </rPr>
          <t>Forex тайланд валютаарх дүнг оруулна уу.</t>
        </r>
      </text>
    </comment>
    <comment ref="D111" authorId="0" shapeId="0">
      <text>
        <r>
          <rPr>
            <sz val="9"/>
            <color indexed="81"/>
            <rFont val="Tahoma"/>
            <family val="2"/>
          </rPr>
          <t>Forex тайланд валютаарх дүнг оруулна уу.</t>
        </r>
      </text>
    </comment>
    <comment ref="D112" authorId="0" shapeId="0">
      <text>
        <r>
          <rPr>
            <sz val="9"/>
            <color indexed="81"/>
            <rFont val="Tahoma"/>
            <family val="2"/>
          </rPr>
          <t>Forex тайланд валютаарх дүнг оруулна уу.</t>
        </r>
      </text>
    </comment>
    <comment ref="H112" authorId="0" shapeId="0">
      <text>
        <r>
          <rPr>
            <sz val="9"/>
            <color indexed="81"/>
            <rFont val="Tahoma"/>
            <family val="2"/>
          </rPr>
          <t>Forex тайланд валютаарх дүнг оруулна уу.</t>
        </r>
      </text>
    </comment>
    <comment ref="D113" authorId="0" shapeId="0">
      <text>
        <r>
          <rPr>
            <sz val="9"/>
            <color indexed="81"/>
            <rFont val="Tahoma"/>
            <family val="2"/>
          </rPr>
          <t>Forex тайланд валютаарх дүнг оруулна уу.</t>
        </r>
      </text>
    </comment>
    <comment ref="D114" authorId="0" shapeId="0">
      <text>
        <r>
          <rPr>
            <sz val="9"/>
            <color indexed="81"/>
            <rFont val="Tahoma"/>
            <family val="2"/>
          </rPr>
          <t>Forex тайланд валютаарх дүнг оруулна уу.</t>
        </r>
      </text>
    </comment>
    <comment ref="D115" authorId="0" shapeId="0">
      <text>
        <r>
          <rPr>
            <sz val="9"/>
            <color indexed="81"/>
            <rFont val="Tahoma"/>
            <family val="2"/>
          </rPr>
          <t>Forex тайланд валютаарх дүнг оруулна уу.</t>
        </r>
      </text>
    </comment>
    <comment ref="D116" authorId="0" shapeId="0">
      <text>
        <r>
          <rPr>
            <sz val="9"/>
            <color indexed="81"/>
            <rFont val="Tahoma"/>
            <family val="2"/>
          </rPr>
          <t>Forex тайланд валютаарх дүнг оруулна уу.</t>
        </r>
      </text>
    </comment>
    <comment ref="D117" authorId="0" shapeId="0">
      <text>
        <r>
          <rPr>
            <sz val="9"/>
            <color indexed="81"/>
            <rFont val="Tahoma"/>
            <family val="2"/>
          </rPr>
          <t>Forex тайланд валютаарх дүнг оруулна уу.</t>
        </r>
      </text>
    </comment>
    <comment ref="D127" authorId="0" shapeId="0">
      <text>
        <r>
          <rPr>
            <sz val="9"/>
            <color indexed="81"/>
            <rFont val="Tahoma"/>
            <family val="2"/>
          </rPr>
          <t>Forex тайланд валютаарх дүнг оруулна уу.</t>
        </r>
      </text>
    </comment>
    <comment ref="D128" authorId="0" shapeId="0">
      <text>
        <r>
          <rPr>
            <sz val="9"/>
            <color indexed="81"/>
            <rFont val="Tahoma"/>
            <family val="2"/>
          </rPr>
          <t>Forex тайланд валютаарх дүнг оруулна уу.</t>
        </r>
      </text>
    </comment>
    <comment ref="D129" authorId="0" shapeId="0">
      <text>
        <r>
          <rPr>
            <sz val="9"/>
            <color indexed="81"/>
            <rFont val="Tahoma"/>
            <family val="2"/>
          </rPr>
          <t>Forex тайланд валютаарх дүнг оруулна уу.</t>
        </r>
      </text>
    </comment>
    <comment ref="D130" authorId="0" shapeId="0">
      <text>
        <r>
          <rPr>
            <sz val="9"/>
            <color indexed="81"/>
            <rFont val="Tahoma"/>
            <family val="2"/>
          </rPr>
          <t>Forex тайланд валютаарх дүнг оруулна уу.</t>
        </r>
      </text>
    </comment>
    <comment ref="D131" authorId="0" shapeId="0">
      <text>
        <r>
          <rPr>
            <sz val="9"/>
            <color indexed="81"/>
            <rFont val="Tahoma"/>
            <family val="2"/>
          </rPr>
          <t>Forex тайланд валютаарх дүнг оруулна уу.</t>
        </r>
      </text>
    </comment>
    <comment ref="D132" authorId="0" shapeId="0">
      <text>
        <r>
          <rPr>
            <sz val="9"/>
            <color indexed="81"/>
            <rFont val="Tahoma"/>
            <family val="2"/>
          </rPr>
          <t>Forex тайланд валютаарх дүнг оруулна уу.</t>
        </r>
      </text>
    </comment>
    <comment ref="D133" authorId="0" shapeId="0">
      <text>
        <r>
          <rPr>
            <sz val="9"/>
            <color indexed="81"/>
            <rFont val="Tahoma"/>
            <family val="2"/>
          </rPr>
          <t>Forex тайланд валютаарх дүнг оруулна уу.</t>
        </r>
      </text>
    </comment>
    <comment ref="D158" authorId="0" shapeId="0">
      <text>
        <r>
          <rPr>
            <sz val="9"/>
            <color indexed="81"/>
            <rFont val="Tahoma"/>
            <family val="2"/>
          </rPr>
          <t>Forex тайланд валютаарх дүнг оруулна уу.</t>
        </r>
      </text>
    </comment>
    <comment ref="D161" authorId="0" shapeId="0">
      <text>
        <r>
          <rPr>
            <sz val="9"/>
            <color indexed="81"/>
            <rFont val="Tahoma"/>
            <family val="2"/>
          </rPr>
          <t>Forex тайланд валютаарх дүнг оруулна уу.</t>
        </r>
      </text>
    </comment>
    <comment ref="D165" authorId="0" shapeId="0">
      <text>
        <r>
          <rPr>
            <sz val="9"/>
            <color indexed="81"/>
            <rFont val="Tahoma"/>
            <family val="2"/>
          </rPr>
          <t>Forex тайланд валютаарх дүнг оруулна уу.</t>
        </r>
      </text>
    </comment>
    <comment ref="D168" authorId="0" shapeId="0">
      <text>
        <r>
          <rPr>
            <sz val="9"/>
            <color indexed="81"/>
            <rFont val="Tahoma"/>
            <family val="2"/>
          </rPr>
          <t>Forex тайланд валютаарх дүнг оруулна уу.</t>
        </r>
      </text>
    </comment>
    <comment ref="D171" authorId="0" shapeId="0">
      <text>
        <r>
          <rPr>
            <sz val="9"/>
            <color indexed="81"/>
            <rFont val="Tahoma"/>
            <family val="2"/>
          </rPr>
          <t>Forex тайланд валютаарх дүнг оруулна уу.</t>
        </r>
      </text>
    </comment>
    <comment ref="D190" authorId="0" shapeId="0">
      <text>
        <r>
          <rPr>
            <sz val="9"/>
            <color indexed="81"/>
            <rFont val="Tahoma"/>
            <family val="2"/>
          </rPr>
          <t>Forex тайланд валютаарх дүнг оруулна уу.</t>
        </r>
      </text>
    </comment>
    <comment ref="D193" authorId="0" shapeId="0">
      <text>
        <r>
          <rPr>
            <sz val="9"/>
            <color indexed="81"/>
            <rFont val="Tahoma"/>
            <family val="2"/>
          </rPr>
          <t>Forex тайланд валютаарх дүнг оруулна уу.</t>
        </r>
      </text>
    </comment>
    <comment ref="D196" authorId="0" shapeId="0">
      <text>
        <r>
          <rPr>
            <sz val="9"/>
            <color indexed="81"/>
            <rFont val="Tahoma"/>
            <family val="2"/>
          </rPr>
          <t>Forex тайланд валютаарх дүнг оруулна уу.</t>
        </r>
      </text>
    </comment>
    <comment ref="D199" authorId="0" shapeId="0">
      <text>
        <r>
          <rPr>
            <sz val="9"/>
            <color indexed="81"/>
            <rFont val="Tahoma"/>
            <family val="2"/>
          </rPr>
          <t>Forex тайланд валютаарх дүнг оруулна уу.</t>
        </r>
      </text>
    </comment>
    <comment ref="D202" authorId="0" shapeId="0">
      <text>
        <r>
          <rPr>
            <sz val="9"/>
            <color indexed="81"/>
            <rFont val="Tahoma"/>
            <family val="2"/>
          </rPr>
          <t>Forex тайланд валютаарх дүнг оруулна уу.</t>
        </r>
      </text>
    </comment>
    <comment ref="D206" authorId="0" shapeId="0">
      <text>
        <r>
          <rPr>
            <sz val="9"/>
            <color indexed="81"/>
            <rFont val="Tahoma"/>
            <family val="2"/>
          </rPr>
          <t>Forex тайланд валютаарх дүнг оруулна уу.</t>
        </r>
      </text>
    </comment>
    <comment ref="D209" authorId="0" shapeId="0">
      <text>
        <r>
          <rPr>
            <sz val="9"/>
            <color indexed="81"/>
            <rFont val="Tahoma"/>
            <family val="2"/>
          </rPr>
          <t>Forex тайланд валютаарх дүнг оруулна уу.</t>
        </r>
      </text>
    </comment>
    <comment ref="D213" authorId="0" shapeId="0">
      <text>
        <r>
          <rPr>
            <sz val="9"/>
            <color indexed="81"/>
            <rFont val="Tahoma"/>
            <family val="2"/>
          </rPr>
          <t>Forex тайланд валютаарх дүнг оруулна уу.</t>
        </r>
      </text>
    </comment>
    <comment ref="D216" authorId="0" shapeId="0">
      <text>
        <r>
          <rPr>
            <sz val="9"/>
            <color indexed="81"/>
            <rFont val="Tahoma"/>
            <family val="2"/>
          </rPr>
          <t>Forex тайланд валютаарх дүнг оруулна уу.</t>
        </r>
      </text>
    </comment>
    <comment ref="D219" authorId="0" shapeId="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authors>
    <author>B.Tungalag</author>
  </authors>
  <commentList>
    <comment ref="C7" authorId="0" shapeId="0">
      <text>
        <r>
          <rPr>
            <sz val="9"/>
            <color indexed="81"/>
            <rFont val="Times New Roman"/>
            <family val="1"/>
          </rPr>
          <t>Гадаад валютаарх дүнгээ шивэхдээ мянгачилж оруулна уу.</t>
        </r>
      </text>
    </comment>
    <comment ref="A23" authorId="0" shapeId="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authors>
    <author>Tungalag B</author>
    <author>Munkhjavkhlan M</author>
  </authors>
  <commentList>
    <comment ref="D6" authorId="0" shapeId="0">
      <text>
        <r>
          <rPr>
            <sz val="9"/>
            <color indexed="81"/>
            <rFont val="Tahoma"/>
            <family val="2"/>
          </rPr>
          <t>Аль нь болохыг сонгох</t>
        </r>
      </text>
    </comment>
    <comment ref="G6" authorId="1" shapeId="0">
      <text>
        <r>
          <rPr>
            <sz val="9"/>
            <color indexed="81"/>
            <rFont val="Tahoma"/>
            <family val="2"/>
          </rPr>
          <t>Аль нь болохыг сонгох</t>
        </r>
      </text>
    </comment>
    <comment ref="H6" authorId="1" shapeId="0">
      <text>
        <r>
          <rPr>
            <sz val="9"/>
            <color indexed="81"/>
            <rFont val="Tahoma"/>
            <family val="2"/>
          </rPr>
          <t>Огноог СС/ӨӨ/ОООО гэсэн дарааллаар оруулна</t>
        </r>
      </text>
    </comment>
    <comment ref="I6" authorId="1" shapeId="0">
      <text>
        <r>
          <rPr>
            <sz val="9"/>
            <color indexed="81"/>
            <rFont val="Tahoma"/>
            <family val="2"/>
          </rPr>
          <t>Огноог СС/ӨӨ/ОООО гэсэн дарааллаар оруулна</t>
        </r>
      </text>
    </comment>
    <comment ref="J6" authorId="1" shapeId="0">
      <text>
        <r>
          <rPr>
            <sz val="9"/>
            <color indexed="81"/>
            <rFont val="Tahoma"/>
            <family val="2"/>
          </rPr>
          <t>Огноог СС/ӨӨ/ОООО гэсэн дарааллаар оруулна</t>
        </r>
      </text>
    </comment>
    <comment ref="K6" authorId="0" shapeId="0">
      <text>
        <r>
          <rPr>
            <sz val="9"/>
            <color indexed="81"/>
            <rFont val="Tahoma"/>
            <family val="2"/>
          </rPr>
          <t>Аль нь болохыг сонгох</t>
        </r>
      </text>
    </comment>
    <comment ref="N6" authorId="0" shapeId="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text>
        <r>
          <rPr>
            <sz val="9"/>
            <color indexed="81"/>
            <rFont val="Tahoma"/>
            <family val="2"/>
          </rPr>
          <t>Аль нь болохыг сонгох</t>
        </r>
      </text>
    </comment>
  </commentList>
</comments>
</file>

<file path=xl/comments5.xml><?xml version="1.0" encoding="utf-8"?>
<comments xmlns="http://schemas.openxmlformats.org/spreadsheetml/2006/main">
  <authors>
    <author>Munkhjavkhlan M</author>
  </authors>
  <commentList>
    <comment ref="G6" authorId="0" shapeId="0">
      <text>
        <r>
          <rPr>
            <sz val="9"/>
            <color indexed="81"/>
            <rFont val="Tahoma"/>
            <family val="2"/>
          </rPr>
          <t>Аль нь болохыг сонгох</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 ref="J6" authorId="0" shapeId="0">
      <text>
        <r>
          <rPr>
            <sz val="9"/>
            <color indexed="81"/>
            <rFont val="Tahoma"/>
            <family val="2"/>
          </rPr>
          <t>Огноог СС/ӨӨ/ОООО гэсэн дарааллаар оруулна</t>
        </r>
      </text>
    </comment>
    <comment ref="O6" authorId="0" shapeId="0">
      <text>
        <r>
          <rPr>
            <sz val="9"/>
            <color indexed="81"/>
            <rFont val="Tahoma"/>
            <family val="2"/>
          </rPr>
          <t>Аль нь болохыг сонгох</t>
        </r>
      </text>
    </comment>
  </commentList>
</comments>
</file>

<file path=xl/comments6.xml><?xml version="1.0" encoding="utf-8"?>
<comments xmlns="http://schemas.openxmlformats.org/spreadsheetml/2006/main">
  <authors>
    <author>Munkhjavkhlan M</author>
  </authors>
  <commentList>
    <comment ref="F6" authorId="0" shapeId="0">
      <text>
        <r>
          <rPr>
            <sz val="9"/>
            <color indexed="81"/>
            <rFont val="Tahoma"/>
            <family val="2"/>
          </rPr>
          <t>Огноог СС/ӨӨ/ОООО гэсэн дарааллаар оруулна</t>
        </r>
      </text>
    </commen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Тохирох утгыг сонгох</t>
        </r>
      </text>
    </comment>
    <comment ref="J6" authorId="0" shapeId="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authors>
    <author>Munkhjavkhlan M</author>
  </authors>
  <commentList>
    <comment ref="G6" authorId="0" shapeId="0">
      <text>
        <r>
          <rPr>
            <sz val="9"/>
            <color indexed="81"/>
            <rFont val="Tahoma"/>
            <family val="2"/>
          </rPr>
          <t>Огноог СС/ӨӨ/ОООО гэсэн дарааллаар оруулна</t>
        </r>
      </text>
    </comment>
    <comment ref="H6" authorId="0" shapeId="0">
      <text>
        <r>
          <rPr>
            <sz val="9"/>
            <color indexed="81"/>
            <rFont val="Tahoma"/>
            <family val="2"/>
          </rPr>
          <t>Огноог СС/ӨӨ/ОООО гэсэн дарааллаар оруулна</t>
        </r>
      </text>
    </comment>
    <comment ref="I6" authorId="0" shapeId="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authors>
    <author>Munkhjavkhlan M</author>
  </authors>
  <commentList>
    <comment ref="J8" authorId="0" shapeId="0">
      <text>
        <r>
          <rPr>
            <sz val="9"/>
            <color indexed="81"/>
            <rFont val="Tahoma"/>
            <family val="2"/>
          </rPr>
          <t>Огноог СС/ӨӨ/ОООО гэсэн дарааллаар оруулна</t>
        </r>
      </text>
    </comment>
    <comment ref="K8" authorId="0" shapeId="0">
      <text>
        <r>
          <rPr>
            <sz val="9"/>
            <color indexed="81"/>
            <rFont val="Tahoma"/>
            <family val="2"/>
          </rPr>
          <t>Огноог СС/ӨӨ/ОООО гэсэн дарааллаар оруулна</t>
        </r>
      </text>
    </comment>
    <comment ref="L8" authorId="0" shapeId="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<sst xmlns="http://schemas.openxmlformats.org/spreadsheetml/2006/main" count="1837" uniqueCount="1185">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</sst>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43" fontId="25" fillId="0" borderId="0" xfId="1" applyFont="1" applyAlignment="1" applyProtection="1">
      <alignment horizontal="center" vertical="center"/>
      <protection locked="0"/>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24" fillId="8" borderId="1" xfId="0" applyFont="1" applyFill="1" applyBorder="1" applyAlignment="1">
      <alignment horizontal="lef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wrapText="1"/>
    </xf>
    <xf numFmtId="43" fontId="25" fillId="0" borderId="0" xfId="2" applyFont="1" applyAlignment="1" applyProtection="1">
      <alignment horizontal="left" vertical="center"/>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vertical="center"/>
    </xf>
    <xf numFmtId="0" fontId="3" fillId="6" borderId="1" xfId="0" applyFont="1" applyFill="1" applyBorder="1" applyAlignment="1" applyProtection="1">
      <alignment horizontal="left" wrapText="1"/>
    </xf>
    <xf numFmtId="0" fontId="3" fillId="6" borderId="1" xfId="0" applyFont="1" applyFill="1" applyBorder="1" applyAlignment="1" applyProtection="1">
      <alignment horizontal="left"/>
    </xf>
    <xf numFmtId="0" fontId="4" fillId="3" borderId="1" xfId="0" applyFont="1" applyFill="1" applyBorder="1" applyProtection="1"/>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center"/>
    </xf>
    <xf numFmtId="43" fontId="25" fillId="0" borderId="0" xfId="1" applyFont="1" applyAlignment="1" applyProtection="1">
      <alignment horizontal="center" vertic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31" xfId="0" applyFont="1" applyBorder="1" applyAlignment="1">
      <alignment vertical="top" wrapText="1"/>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4" fillId="0" borderId="32" xfId="0" applyFont="1" applyBorder="1" applyAlignment="1">
      <alignment vertical="top" wrapText="1"/>
    </xf>
    <xf numFmtId="0" fontId="25" fillId="0" borderId="6"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Border="1" applyAlignment="1"/>
    <xf numFmtId="0" fontId="2" fillId="0" borderId="32" xfId="0" applyFont="1" applyBorder="1" applyAlignment="1">
      <alignment vertical="top" wrapText="1"/>
    </xf>
    <xf numFmtId="0" fontId="25" fillId="0" borderId="0" xfId="0" applyFont="1" applyBorder="1" applyAlignment="1">
      <alignment vertical="top" wrapText="1"/>
    </xf>
    <xf numFmtId="165" fontId="4" fillId="0" borderId="16" xfId="2" applyNumberFormat="1" applyFont="1" applyFill="1" applyBorder="1" applyAlignment="1" applyProtection="1"/>
    <xf numFmtId="0" fontId="2" fillId="0" borderId="0" xfId="0" applyFont="1" applyBorder="1" applyAlignment="1">
      <alignment vertical="top" wrapText="1"/>
    </xf>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21"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4" fillId="0" borderId="6" xfId="0" applyFont="1" applyBorder="1" applyAlignment="1">
      <alignment vertical="top" wrapText="1"/>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4" fillId="6" borderId="1" xfId="0" applyFont="1" applyFill="1" applyBorder="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0" fontId="25" fillId="0" borderId="0" xfId="0" applyFont="1" applyBorder="1" applyAlignment="1">
      <alignment horizontal="left"/>
    </xf>
    <xf numFmtId="0" fontId="25" fillId="0" borderId="0" xfId="0" applyFont="1" applyAlignment="1">
      <alignment horizontal="left"/>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28" fillId="0" borderId="0" xfId="0" applyFont="1" applyAlignment="1">
      <alignment horizontal="center" vertical="center"/>
    </xf>
    <xf numFmtId="165" fontId="25" fillId="9" borderId="13" xfId="2"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165" fontId="29" fillId="11" borderId="0" xfId="2" applyNumberFormat="1" applyFont="1" applyFill="1" applyBorder="1" applyAlignment="1">
      <alignment horizontal="right"/>
    </xf>
    <xf numFmtId="0" fontId="29" fillId="11" borderId="0" xfId="0" applyFont="1" applyFill="1" applyBorder="1" applyAlignment="1">
      <alignment horizontal="center"/>
    </xf>
    <xf numFmtId="165" fontId="29" fillId="0" borderId="0" xfId="2" applyNumberFormat="1" applyFont="1" applyAlignment="1">
      <alignment horizontal="center" wrapText="1"/>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21"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 xfId="5" applyFont="1" applyFill="1" applyBorder="1" applyAlignment="1" applyProtection="1">
      <alignment horizontal="center" vertical="center" wrapText="1"/>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left" vertic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4" fontId="24" fillId="0" borderId="0" xfId="0" applyNumberFormat="1" applyFont="1" applyAlignment="1">
      <alignment horizontal="center"/>
    </xf>
    <xf numFmtId="0" fontId="25" fillId="9" borderId="1" xfId="0" applyFont="1" applyFill="1" applyBorder="1" applyAlignment="1">
      <alignment horizontal="center" vertical="center"/>
    </xf>
    <xf numFmtId="0" fontId="25" fillId="9" borderId="1" xfId="0" applyFont="1" applyFill="1" applyBorder="1" applyAlignment="1">
      <alignment horizontal="center" vertical="center" wrapText="1"/>
    </xf>
    <xf numFmtId="0" fontId="24" fillId="6" borderId="1" xfId="0" applyFont="1" applyFill="1" applyBorder="1" applyAlignment="1">
      <alignment horizontal="center" vertical="center"/>
    </xf>
    <xf numFmtId="166" fontId="25" fillId="9" borderId="1" xfId="9" applyNumberFormat="1" applyFont="1" applyFill="1" applyBorder="1" applyAlignment="1">
      <alignment horizontal="center" vertical="center" wrapText="1"/>
    </xf>
    <xf numFmtId="165" fontId="29" fillId="11" borderId="0" xfId="2" applyNumberFormat="1" applyFont="1" applyFill="1" applyBorder="1" applyAlignment="1">
      <alignment horizontal="center"/>
    </xf>
    <xf numFmtId="165" fontId="25" fillId="9" borderId="1" xfId="2" applyNumberFormat="1" applyFont="1" applyFill="1" applyBorder="1" applyAlignment="1">
      <alignment horizontal="center" vertical="center"/>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right"/>
    </xf>
    <xf numFmtId="14" fontId="24" fillId="0" borderId="0" xfId="0" applyNumberFormat="1" applyFont="1" applyAlignment="1">
      <alignment horizontal="left"/>
    </xf>
    <xf numFmtId="43" fontId="25" fillId="0" borderId="0" xfId="0" applyNumberFormat="1" applyFont="1" applyAlignment="1">
      <alignment horizontal="center"/>
    </xf>
  </cellXfs>
  <cellStyles count="10">
    <cellStyle name="Comma" xfId="1" builtinId="3"/>
    <cellStyle name="Comma 2" xfId="2"/>
    <cellStyle name="Currency 2" xfId="3"/>
    <cellStyle name="Hyperlink" xfId="4" builtinId="8"/>
    <cellStyle name="Normal" xfId="0" builtinId="0"/>
    <cellStyle name="Normal 2" xfId="5"/>
    <cellStyle name="Normal 3" xfId="6"/>
    <cellStyle name="Normal_report   ub city 00-08" xfId="7"/>
    <cellStyle name="Percent" xfId="8" builtinId="5"/>
    <cellStyle name="Percent 2" xfId="9"/>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42"/>
  <sheetViews>
    <sheetView tabSelected="1"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677" t="s">
        <v>1184</v>
      </c>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L39"/>
  <sheetViews>
    <sheetView workbookViewId="0">
      <selection activeCell="L7" sqref="L7"/>
    </sheetView>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89" t="s">
        <v>793</v>
      </c>
      <c r="B2" s="689"/>
      <c r="C2" s="689"/>
      <c r="D2" s="689"/>
      <c r="E2" s="689"/>
      <c r="F2" s="689"/>
      <c r="G2" s="689"/>
      <c r="H2" s="689"/>
      <c r="I2" s="689"/>
      <c r="J2" s="689"/>
      <c r="K2" s="689"/>
    </row>
    <row r="3" spans="1:12" x14ac:dyDescent="0.2">
      <c r="A3" s="862" t="str">
        <f>BALANCE!A3</f>
        <v>БАНК БУС САНХҮҮГИЙН БАЙГУУЛЛАГЫН НЭР</v>
      </c>
      <c r="B3" s="862"/>
      <c r="C3" s="862"/>
      <c r="D3" s="862"/>
      <c r="E3" s="862"/>
      <c r="F3" s="862"/>
      <c r="G3" s="862"/>
      <c r="H3" s="862"/>
      <c r="I3" s="862"/>
      <c r="J3" s="862"/>
      <c r="K3" s="862"/>
    </row>
    <row r="4" spans="1:12" x14ac:dyDescent="0.2">
      <c r="A4" s="689" t="str">
        <f>+BALANCE!A4</f>
        <v>БАНК БУС САНХҮҮГИЙН БАЙГУУЛЛАГА</v>
      </c>
      <c r="B4" s="689"/>
      <c r="C4" s="689"/>
      <c r="D4" s="689"/>
      <c r="E4" s="689"/>
      <c r="F4" s="689"/>
      <c r="G4" s="689"/>
      <c r="H4" s="689"/>
      <c r="I4" s="689"/>
      <c r="J4" s="689"/>
      <c r="K4" s="689"/>
    </row>
    <row r="5" spans="1:12" x14ac:dyDescent="0.2">
      <c r="A5" s="424"/>
      <c r="B5" s="424"/>
      <c r="C5" s="424"/>
      <c r="D5" s="424"/>
      <c r="E5" s="424"/>
      <c r="F5" s="424"/>
      <c r="G5" s="424"/>
      <c r="H5" s="424"/>
      <c r="I5" s="424"/>
      <c r="J5" s="424"/>
      <c r="K5" s="424"/>
    </row>
    <row r="6" spans="1:12" x14ac:dyDescent="0.2">
      <c r="A6" s="712">
        <f>BALANCE!A6</f>
        <v>44286</v>
      </c>
      <c r="B6" s="712"/>
      <c r="J6" s="835" t="s">
        <v>443</v>
      </c>
      <c r="K6" s="835"/>
    </row>
    <row r="7" spans="1:12" ht="18.75" customHeight="1" x14ac:dyDescent="0.2">
      <c r="A7" s="830" t="s">
        <v>794</v>
      </c>
      <c r="B7" s="830"/>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8" t="s">
        <v>808</v>
      </c>
      <c r="B16" s="858"/>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59" t="s">
        <v>809</v>
      </c>
      <c r="B17" s="859"/>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8" t="s">
        <v>812</v>
      </c>
      <c r="B24" s="858"/>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60" t="s">
        <v>813</v>
      </c>
      <c r="B25" s="860"/>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60" t="s">
        <v>814</v>
      </c>
      <c r="B26" s="860"/>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61" t="s">
        <v>815</v>
      </c>
      <c r="B27" s="861"/>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9" t="str">
        <f>BALANCE!D361</f>
        <v>ГҮЙЦЭТГЭХ ЗАХИРАЛ.................................................................//</v>
      </c>
      <c r="E35" s="829"/>
      <c r="F35" s="829"/>
      <c r="G35" s="829"/>
      <c r="H35" s="829"/>
    </row>
    <row r="36" spans="2:8" x14ac:dyDescent="0.2">
      <c r="B36" s="427"/>
      <c r="C36" s="427"/>
      <c r="D36" s="450"/>
      <c r="E36" s="450"/>
      <c r="F36" s="450"/>
      <c r="G36" s="547"/>
      <c r="H36" s="547"/>
    </row>
    <row r="37" spans="2:8" ht="15" customHeight="1" x14ac:dyDescent="0.2">
      <c r="B37" s="178"/>
      <c r="C37" s="178"/>
      <c r="D37" s="829" t="str">
        <f>BALANCE!D363</f>
        <v>ЕРӨНХИЙ НЯГТЛАН БОДОГЧ....................................................//</v>
      </c>
      <c r="E37" s="829"/>
      <c r="F37" s="829"/>
      <c r="G37" s="829"/>
      <c r="H37" s="829"/>
    </row>
    <row r="38" spans="2:8" x14ac:dyDescent="0.2">
      <c r="B38" s="427"/>
      <c r="C38" s="427"/>
      <c r="D38" s="450"/>
      <c r="E38" s="450"/>
      <c r="F38" s="450"/>
      <c r="G38" s="547"/>
      <c r="H38" s="547"/>
    </row>
    <row r="39" spans="2:8" ht="15" customHeight="1" x14ac:dyDescent="0.2">
      <c r="B39" s="178"/>
      <c r="C39" s="178"/>
      <c r="D39" s="829">
        <f>BALANCE!D365</f>
        <v>0</v>
      </c>
      <c r="E39" s="829"/>
      <c r="F39" s="829"/>
      <c r="G39" s="829"/>
      <c r="H39" s="829"/>
    </row>
  </sheetData>
  <sheetProtection password="CA9F" sheet="1" objects="1" scenarios="1"/>
  <mergeCells count="15">
    <mergeCell ref="A2:K2"/>
    <mergeCell ref="A3:K3"/>
    <mergeCell ref="A4:K4"/>
    <mergeCell ref="A6:B6"/>
    <mergeCell ref="J6:K6"/>
    <mergeCell ref="A7:B7"/>
    <mergeCell ref="D39:H39"/>
    <mergeCell ref="D37:H37"/>
    <mergeCell ref="A16:B16"/>
    <mergeCell ref="A17:B17"/>
    <mergeCell ref="A24:B24"/>
    <mergeCell ref="A25:B25"/>
    <mergeCell ref="A26:B26"/>
    <mergeCell ref="A27:B27"/>
    <mergeCell ref="D35:H35"/>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U119"/>
  <sheetViews>
    <sheetView topLeftCell="H1" workbookViewId="0">
      <selection activeCell="P9" sqref="P9"/>
    </sheetView>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87" t="s">
        <v>816</v>
      </c>
      <c r="B2" s="887"/>
      <c r="C2" s="887"/>
      <c r="D2" s="887"/>
      <c r="E2" s="887"/>
      <c r="F2" s="887"/>
      <c r="G2" s="887"/>
      <c r="H2" s="887"/>
      <c r="I2" s="887"/>
      <c r="J2" s="887"/>
      <c r="K2" s="887"/>
      <c r="L2" s="887"/>
      <c r="M2" s="887"/>
      <c r="N2" s="887"/>
      <c r="O2" s="887"/>
      <c r="P2" s="887"/>
      <c r="Q2" s="887"/>
      <c r="R2" s="887"/>
      <c r="S2" s="887"/>
    </row>
    <row r="3" spans="1:21" x14ac:dyDescent="0.2">
      <c r="A3" s="726" t="str">
        <f>BALANCE!A3</f>
        <v>БАНК БУС САНХҮҮГИЙН БАЙГУУЛЛАГЫН НЭР</v>
      </c>
      <c r="B3" s="726"/>
      <c r="C3" s="726"/>
      <c r="D3" s="726"/>
      <c r="E3" s="726"/>
      <c r="F3" s="726"/>
      <c r="G3" s="726"/>
      <c r="H3" s="726"/>
      <c r="I3" s="726"/>
      <c r="J3" s="726"/>
      <c r="K3" s="726"/>
      <c r="L3" s="726"/>
      <c r="M3" s="726"/>
      <c r="N3" s="726"/>
      <c r="O3" s="726"/>
      <c r="P3" s="726"/>
      <c r="Q3" s="726"/>
      <c r="R3" s="726"/>
      <c r="S3" s="726"/>
    </row>
    <row r="4" spans="1:21" x14ac:dyDescent="0.2">
      <c r="A4" s="689" t="str">
        <f>BALANCE!A4</f>
        <v>БАНК БУС САНХҮҮГИЙН БАЙГУУЛЛАГА</v>
      </c>
      <c r="B4" s="689"/>
      <c r="C4" s="689"/>
      <c r="D4" s="689"/>
      <c r="E4" s="689"/>
      <c r="F4" s="689"/>
      <c r="G4" s="689"/>
      <c r="H4" s="689"/>
      <c r="I4" s="689"/>
      <c r="J4" s="689"/>
      <c r="K4" s="689"/>
      <c r="L4" s="689"/>
      <c r="M4" s="689"/>
      <c r="N4" s="689"/>
      <c r="O4" s="689"/>
      <c r="P4" s="689"/>
      <c r="Q4" s="689"/>
      <c r="R4" s="689"/>
      <c r="S4" s="689"/>
    </row>
    <row r="5" spans="1:21" x14ac:dyDescent="0.2">
      <c r="A5" s="712">
        <f>BALANCE!A6</f>
        <v>44286</v>
      </c>
      <c r="B5" s="712"/>
      <c r="C5" s="444"/>
      <c r="D5" s="444"/>
      <c r="E5" s="180"/>
      <c r="F5" s="523"/>
      <c r="G5" s="440"/>
      <c r="H5" s="440"/>
      <c r="I5" s="440"/>
      <c r="J5" s="440"/>
      <c r="K5" s="440"/>
      <c r="L5" s="180"/>
      <c r="M5" s="180"/>
      <c r="N5" s="524"/>
      <c r="O5" s="524"/>
      <c r="P5" s="180"/>
      <c r="Q5" s="180"/>
      <c r="R5" s="888" t="s">
        <v>443</v>
      </c>
      <c r="S5" s="888"/>
    </row>
    <row r="6" spans="1:21" ht="51" customHeight="1" x14ac:dyDescent="0.2">
      <c r="A6" s="880" t="s">
        <v>817</v>
      </c>
      <c r="B6" s="882" t="s">
        <v>1060</v>
      </c>
      <c r="C6" s="883"/>
      <c r="D6" s="878" t="s">
        <v>1063</v>
      </c>
      <c r="E6" s="863" t="s">
        <v>818</v>
      </c>
      <c r="F6" s="885" t="s">
        <v>1064</v>
      </c>
      <c r="G6" s="863" t="s">
        <v>819</v>
      </c>
      <c r="H6" s="878" t="s">
        <v>820</v>
      </c>
      <c r="I6" s="878" t="s">
        <v>821</v>
      </c>
      <c r="J6" s="878" t="s">
        <v>822</v>
      </c>
      <c r="K6" s="878" t="s">
        <v>823</v>
      </c>
      <c r="L6" s="873" t="s">
        <v>824</v>
      </c>
      <c r="M6" s="875" t="s">
        <v>1065</v>
      </c>
      <c r="N6" s="867" t="s">
        <v>1106</v>
      </c>
      <c r="O6" s="867" t="s">
        <v>1066</v>
      </c>
      <c r="P6" s="876" t="s">
        <v>825</v>
      </c>
      <c r="Q6" s="863" t="s">
        <v>826</v>
      </c>
      <c r="R6" s="863" t="s">
        <v>827</v>
      </c>
      <c r="S6" s="865" t="s">
        <v>828</v>
      </c>
    </row>
    <row r="7" spans="1:21" x14ac:dyDescent="0.2">
      <c r="A7" s="881"/>
      <c r="B7" s="671" t="s">
        <v>1168</v>
      </c>
      <c r="C7" s="449" t="s">
        <v>1062</v>
      </c>
      <c r="D7" s="879"/>
      <c r="E7" s="884"/>
      <c r="F7" s="886"/>
      <c r="G7" s="864"/>
      <c r="H7" s="879"/>
      <c r="I7" s="879"/>
      <c r="J7" s="879"/>
      <c r="K7" s="879"/>
      <c r="L7" s="874"/>
      <c r="M7" s="875"/>
      <c r="N7" s="867"/>
      <c r="O7" s="867"/>
      <c r="P7" s="877"/>
      <c r="Q7" s="864"/>
      <c r="R7" s="864"/>
      <c r="S7" s="866"/>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x14ac:dyDescent="0.2">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x14ac:dyDescent="0.2">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x14ac:dyDescent="0.2">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x14ac:dyDescent="0.2">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x14ac:dyDescent="0.2">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x14ac:dyDescent="0.2">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x14ac:dyDescent="0.2">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x14ac:dyDescent="0.2">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x14ac:dyDescent="0.2">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x14ac:dyDescent="0.2">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x14ac:dyDescent="0.2">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x14ac:dyDescent="0.2">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x14ac:dyDescent="0.2">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x14ac:dyDescent="0.2">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x14ac:dyDescent="0.2">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x14ac:dyDescent="0.2">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x14ac:dyDescent="0.2">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x14ac:dyDescent="0.2">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x14ac:dyDescent="0.2">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x14ac:dyDescent="0.2">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x14ac:dyDescent="0.2">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x14ac:dyDescent="0.2">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x14ac:dyDescent="0.2">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x14ac:dyDescent="0.2">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x14ac:dyDescent="0.2">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x14ac:dyDescent="0.2">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x14ac:dyDescent="0.2">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x14ac:dyDescent="0.2">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x14ac:dyDescent="0.2">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x14ac:dyDescent="0.2">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x14ac:dyDescent="0.2">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x14ac:dyDescent="0.2">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x14ac:dyDescent="0.2">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x14ac:dyDescent="0.2">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x14ac:dyDescent="0.2">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x14ac:dyDescent="0.2">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x14ac:dyDescent="0.2">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x14ac:dyDescent="0.2">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x14ac:dyDescent="0.2">
      <c r="A48" s="869" t="s">
        <v>829</v>
      </c>
      <c r="B48" s="870"/>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72" t="s">
        <v>830</v>
      </c>
      <c r="R49" s="872"/>
      <c r="S49" s="607" t="e">
        <f>MAX(S8:S47)</f>
        <v>#DIV/0!</v>
      </c>
    </row>
    <row r="50" spans="1:20" s="101" customFormat="1" ht="12.75" customHeight="1" x14ac:dyDescent="0.2">
      <c r="A50" s="868" t="s">
        <v>1084</v>
      </c>
      <c r="B50" s="868"/>
      <c r="C50" s="868"/>
      <c r="D50" s="868"/>
      <c r="E50" s="868"/>
      <c r="F50" s="868"/>
      <c r="G50" s="868"/>
      <c r="H50" s="868"/>
      <c r="I50" s="868"/>
      <c r="J50" s="868"/>
      <c r="K50" s="868"/>
      <c r="L50" s="868"/>
      <c r="M50" s="868"/>
      <c r="N50" s="868"/>
      <c r="O50" s="868"/>
      <c r="P50" s="868"/>
      <c r="Q50" s="868"/>
      <c r="R50" s="868"/>
      <c r="S50" s="868"/>
      <c r="T50" s="606"/>
    </row>
    <row r="51" spans="1:20" ht="12.75" customHeight="1" x14ac:dyDescent="0.2">
      <c r="A51" s="871" t="s">
        <v>932</v>
      </c>
      <c r="B51" s="871"/>
      <c r="C51" s="871"/>
      <c r="D51" s="871"/>
      <c r="E51" s="871"/>
      <c r="F51" s="871"/>
      <c r="G51" s="871"/>
      <c r="H51" s="871"/>
      <c r="I51" s="871"/>
      <c r="J51" s="871"/>
      <c r="K51" s="871"/>
      <c r="L51" s="871"/>
      <c r="M51" s="871"/>
      <c r="N51" s="871"/>
      <c r="O51" s="871"/>
      <c r="P51" s="871"/>
      <c r="Q51" s="871"/>
      <c r="R51" s="871"/>
      <c r="S51" s="871"/>
      <c r="T51" s="549"/>
    </row>
    <row r="52" spans="1:20" x14ac:dyDescent="0.2">
      <c r="A52" s="871"/>
      <c r="B52" s="871"/>
      <c r="C52" s="871"/>
      <c r="D52" s="871"/>
      <c r="E52" s="871"/>
      <c r="F52" s="871"/>
      <c r="G52" s="871"/>
      <c r="H52" s="871"/>
      <c r="I52" s="871"/>
      <c r="J52" s="871"/>
      <c r="K52" s="871"/>
      <c r="L52" s="871"/>
      <c r="M52" s="871"/>
      <c r="N52" s="871"/>
      <c r="O52" s="871"/>
      <c r="P52" s="871"/>
      <c r="Q52" s="871"/>
      <c r="R52" s="871"/>
      <c r="S52" s="871"/>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708" t="s">
        <v>39</v>
      </c>
      <c r="F54" s="708"/>
      <c r="G54" s="709"/>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695" t="s">
        <v>441</v>
      </c>
      <c r="H56" s="695"/>
      <c r="I56" s="695"/>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A2:S2"/>
    <mergeCell ref="A3:S3"/>
    <mergeCell ref="A4:S4"/>
    <mergeCell ref="A5:B5"/>
    <mergeCell ref="R5:S5"/>
    <mergeCell ref="A6:A7"/>
    <mergeCell ref="B6:C6"/>
    <mergeCell ref="D6:D7"/>
    <mergeCell ref="E6:E7"/>
    <mergeCell ref="F6:F7"/>
    <mergeCell ref="Q6:Q7"/>
    <mergeCell ref="G6:G7"/>
    <mergeCell ref="H6:H7"/>
    <mergeCell ref="I6:I7"/>
    <mergeCell ref="J6:J7"/>
    <mergeCell ref="K6:K7"/>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s>
  <dataValidations count="11">
    <dataValidation type="list" allowBlank="1" showInputMessage="1" showErrorMessage="1" sqref="G8:G47">
      <formula1>$E$95:$E$114</formula1>
    </dataValidation>
    <dataValidation type="list" allowBlank="1" showInputMessage="1" showErrorMessage="1" sqref="Q8:Q47">
      <formula1>$I$91:$I$92</formula1>
    </dataValidation>
    <dataValidation type="list" allowBlank="1" showInputMessage="1" showErrorMessage="1" sqref="R8:R47">
      <formula1>$E$64:$E$68</formula1>
    </dataValidation>
    <dataValidation showDropDown="1" showInputMessage="1" showErrorMessage="1" sqref="G48:G49"/>
    <dataValidation type="date" allowBlank="1" showInputMessage="1" showErrorMessage="1" sqref="H8:J47">
      <formula1>1</formula1>
      <formula2>767011</formula2>
    </dataValidation>
    <dataValidation type="textLength" showInputMessage="1" showErrorMessage="1" errorTitle="Утга нөхөх" sqref="B10:C47">
      <formula1>0</formula1>
      <formula2>100</formula2>
    </dataValidation>
    <dataValidation showInputMessage="1" showErrorMessage="1" errorTitle="Утга нөхөх" error="Утга нөхөх_x000a_" sqref="B8:C8"/>
    <dataValidation type="textLength" allowBlank="1" showErrorMessage="1" errorTitle="Утга нөхөх" sqref="B9:C9">
      <formula1>1</formula1>
      <formula2>100</formula2>
    </dataValidation>
    <dataValidation type="list" allowBlank="1" showInputMessage="1" showErrorMessage="1" sqref="K8:K47">
      <formula1>$K$80:$K$87</formula1>
    </dataValidation>
    <dataValidation type="list" showInputMessage="1" showErrorMessage="1" errorTitle="Утга нөхөх" error="Утга нөхөх_x000a_" sqref="D8:D47">
      <formula1>$D$80:$D$87</formula1>
    </dataValidation>
    <dataValidation type="decimal" allowBlank="1" showInputMessage="1" showErrorMessage="1" error="Мянгачилсан дүнг оруулна уу." sqref="M8:N47 P8:P47">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87" t="s">
        <v>863</v>
      </c>
      <c r="B2" s="887"/>
      <c r="C2" s="887"/>
      <c r="D2" s="887"/>
      <c r="E2" s="887"/>
      <c r="F2" s="887"/>
      <c r="G2" s="887"/>
      <c r="H2" s="887"/>
      <c r="I2" s="887"/>
      <c r="J2" s="887"/>
      <c r="K2" s="887"/>
      <c r="L2" s="887"/>
      <c r="M2" s="887"/>
      <c r="N2" s="887"/>
      <c r="O2" s="887"/>
      <c r="P2" s="887"/>
    </row>
    <row r="3" spans="1:16" x14ac:dyDescent="0.2">
      <c r="A3" s="726" t="str">
        <f>BALANCE!A3</f>
        <v>БАНК БУС САНХҮҮГИЙН БАЙГУУЛЛАГЫН НЭР</v>
      </c>
      <c r="B3" s="726"/>
      <c r="C3" s="726"/>
      <c r="D3" s="726"/>
      <c r="E3" s="726"/>
      <c r="F3" s="726"/>
      <c r="G3" s="726"/>
      <c r="H3" s="726"/>
      <c r="I3" s="726"/>
      <c r="J3" s="726"/>
      <c r="K3" s="726"/>
      <c r="L3" s="726"/>
      <c r="M3" s="726"/>
      <c r="N3" s="726"/>
      <c r="O3" s="726"/>
      <c r="P3" s="726"/>
    </row>
    <row r="4" spans="1:16" x14ac:dyDescent="0.2">
      <c r="A4" s="689" t="str">
        <f>BALANCE!A4</f>
        <v>БАНК БУС САНХҮҮГИЙН БАЙГУУЛЛАГА</v>
      </c>
      <c r="B4" s="689"/>
      <c r="C4" s="689"/>
      <c r="D4" s="689"/>
      <c r="E4" s="689"/>
      <c r="F4" s="689"/>
      <c r="G4" s="689"/>
      <c r="H4" s="689"/>
      <c r="I4" s="689"/>
      <c r="J4" s="689"/>
      <c r="K4" s="689"/>
      <c r="L4" s="689"/>
      <c r="M4" s="689"/>
      <c r="N4" s="689"/>
      <c r="O4" s="689"/>
      <c r="P4" s="689"/>
    </row>
    <row r="5" spans="1:16" x14ac:dyDescent="0.2">
      <c r="A5" s="712">
        <f>BALANCE!A6</f>
        <v>44286</v>
      </c>
      <c r="B5" s="712"/>
      <c r="C5" s="426"/>
      <c r="D5" s="113"/>
      <c r="E5" s="180"/>
      <c r="F5" s="180"/>
      <c r="G5" s="424"/>
      <c r="H5" s="424"/>
      <c r="I5" s="424"/>
      <c r="J5" s="424"/>
      <c r="K5" s="424"/>
      <c r="L5" s="180"/>
      <c r="M5" s="180"/>
      <c r="N5" s="180"/>
      <c r="O5" s="888" t="s">
        <v>443</v>
      </c>
      <c r="P5" s="888"/>
    </row>
    <row r="6" spans="1:16" ht="52.5" customHeight="1" x14ac:dyDescent="0.2">
      <c r="A6" s="880" t="s">
        <v>817</v>
      </c>
      <c r="B6" s="882" t="s">
        <v>1060</v>
      </c>
      <c r="C6" s="883"/>
      <c r="D6" s="878" t="s">
        <v>864</v>
      </c>
      <c r="E6" s="863" t="s">
        <v>818</v>
      </c>
      <c r="F6" s="863" t="s">
        <v>1064</v>
      </c>
      <c r="G6" s="863" t="s">
        <v>819</v>
      </c>
      <c r="H6" s="880" t="s">
        <v>820</v>
      </c>
      <c r="I6" s="880" t="s">
        <v>821</v>
      </c>
      <c r="J6" s="878" t="s">
        <v>822</v>
      </c>
      <c r="K6" s="878" t="s">
        <v>823</v>
      </c>
      <c r="L6" s="863" t="s">
        <v>824</v>
      </c>
      <c r="M6" s="863" t="s">
        <v>825</v>
      </c>
      <c r="N6" s="863" t="s">
        <v>826</v>
      </c>
      <c r="O6" s="863" t="s">
        <v>827</v>
      </c>
      <c r="P6" s="865" t="s">
        <v>828</v>
      </c>
    </row>
    <row r="7" spans="1:16" x14ac:dyDescent="0.2">
      <c r="A7" s="881"/>
      <c r="B7" s="432" t="s">
        <v>1168</v>
      </c>
      <c r="C7" s="433" t="s">
        <v>1062</v>
      </c>
      <c r="D7" s="879"/>
      <c r="E7" s="864"/>
      <c r="F7" s="864"/>
      <c r="G7" s="864"/>
      <c r="H7" s="881"/>
      <c r="I7" s="881"/>
      <c r="J7" s="879"/>
      <c r="K7" s="879"/>
      <c r="L7" s="864"/>
      <c r="M7" s="864"/>
      <c r="N7" s="864"/>
      <c r="O7" s="864"/>
      <c r="P7" s="866"/>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69" t="s">
        <v>829</v>
      </c>
      <c r="B28" s="870"/>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9" t="s">
        <v>830</v>
      </c>
      <c r="N29" s="889"/>
      <c r="O29" s="889"/>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708" t="s">
        <v>39</v>
      </c>
      <c r="F31" s="708"/>
      <c r="G31" s="709"/>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695" t="s">
        <v>441</v>
      </c>
      <c r="H33" s="695"/>
      <c r="I33" s="695"/>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9" t="str">
        <f>BALANCE!D361</f>
        <v>ГҮЙЦЭТГЭХ ЗАХИРАЛ.................................................................//</v>
      </c>
      <c r="I35" s="829"/>
      <c r="J35" s="829"/>
      <c r="K35" s="829"/>
      <c r="L35" s="829"/>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9" t="str">
        <f>BALANCE!D363</f>
        <v>ЕРӨНХИЙ НЯГТЛАН БОДОГЧ....................................................//</v>
      </c>
      <c r="I37" s="829"/>
      <c r="J37" s="829"/>
      <c r="K37" s="829"/>
      <c r="L37" s="829"/>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9">
        <f>BALANCE!D365</f>
        <v>0</v>
      </c>
      <c r="I39" s="829"/>
      <c r="J39" s="829"/>
      <c r="K39" s="829"/>
      <c r="L39" s="829"/>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P6:P7"/>
    <mergeCell ref="A2:P2"/>
    <mergeCell ref="A3:P3"/>
    <mergeCell ref="A4:P4"/>
    <mergeCell ref="A5:B5"/>
    <mergeCell ref="O5:P5"/>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H39:L39"/>
    <mergeCell ref="H37:L37"/>
    <mergeCell ref="H35:L35"/>
    <mergeCell ref="M6:M7"/>
    <mergeCell ref="G33:I33"/>
    <mergeCell ref="G6:G7"/>
  </mergeCells>
  <dataValidations count="6">
    <dataValidation type="list" allowBlank="1" showInputMessage="1" showErrorMessage="1" sqref="D8:D27">
      <formula1>$B$165:$B$169</formula1>
    </dataValidation>
    <dataValidation type="list" allowBlank="1" showInputMessage="1" showErrorMessage="1" sqref="G8:G27">
      <formula1>$B$90:$B$109</formula1>
    </dataValidation>
    <dataValidation type="list" allowBlank="1" showInputMessage="1" showErrorMessage="1" sqref="N8:N27">
      <formula1>$B$47:$B$48</formula1>
    </dataValidation>
    <dataValidation type="list" allowBlank="1" showInputMessage="1" showErrorMessage="1" sqref="O8:O27">
      <formula1>$E$61:$E$65</formula1>
    </dataValidation>
    <dataValidation showDropDown="1" showInputMessage="1" showErrorMessage="1" sqref="G28"/>
    <dataValidation type="date" allowBlank="1" showInputMessage="1" showErrorMessage="1" sqref="H8:J27">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89" t="s">
        <v>871</v>
      </c>
      <c r="B2" s="689"/>
      <c r="C2" s="689"/>
      <c r="D2" s="689"/>
      <c r="E2" s="689"/>
      <c r="F2" s="689"/>
      <c r="G2" s="689"/>
      <c r="H2" s="689"/>
      <c r="I2" s="689"/>
      <c r="J2" s="689"/>
      <c r="K2" s="689"/>
      <c r="L2" s="689"/>
    </row>
    <row r="3" spans="1:13" x14ac:dyDescent="0.2">
      <c r="A3" s="711" t="str">
        <f>BALANCE!A3</f>
        <v>БАНК БУС САНХҮҮГИЙН БАЙГУУЛЛАГЫН НЭР</v>
      </c>
      <c r="B3" s="711"/>
      <c r="C3" s="711"/>
      <c r="D3" s="711"/>
      <c r="E3" s="711"/>
      <c r="F3" s="711"/>
      <c r="G3" s="711"/>
      <c r="H3" s="711"/>
      <c r="I3" s="711"/>
      <c r="J3" s="711"/>
      <c r="K3" s="711"/>
      <c r="L3" s="711"/>
    </row>
    <row r="4" spans="1:13" x14ac:dyDescent="0.2">
      <c r="A4" s="689" t="str">
        <f>+BALANCE!A4</f>
        <v>БАНК БУС САНХҮҮГИЙН БАЙГУУЛЛАГА</v>
      </c>
      <c r="B4" s="689"/>
      <c r="C4" s="689"/>
      <c r="D4" s="689"/>
      <c r="E4" s="689"/>
      <c r="F4" s="689"/>
      <c r="G4" s="689"/>
      <c r="H4" s="689"/>
      <c r="I4" s="689"/>
      <c r="J4" s="689"/>
      <c r="K4" s="689"/>
      <c r="L4" s="689"/>
    </row>
    <row r="5" spans="1:13" x14ac:dyDescent="0.2">
      <c r="A5" s="712">
        <f>BALANCE!A6</f>
        <v>44286</v>
      </c>
      <c r="B5" s="712"/>
      <c r="C5" s="347"/>
      <c r="L5" s="835" t="s">
        <v>443</v>
      </c>
      <c r="M5" s="835"/>
    </row>
    <row r="6" spans="1:13" x14ac:dyDescent="0.2">
      <c r="A6" s="878" t="s">
        <v>2</v>
      </c>
      <c r="B6" s="892" t="s">
        <v>1060</v>
      </c>
      <c r="C6" s="893"/>
      <c r="D6" s="863" t="s">
        <v>872</v>
      </c>
      <c r="E6" s="865" t="s">
        <v>1064</v>
      </c>
      <c r="F6" s="878" t="s">
        <v>873</v>
      </c>
      <c r="G6" s="878" t="s">
        <v>821</v>
      </c>
      <c r="H6" s="878" t="s">
        <v>874</v>
      </c>
      <c r="I6" s="878" t="s">
        <v>875</v>
      </c>
      <c r="J6" s="863" t="s">
        <v>876</v>
      </c>
      <c r="K6" s="863" t="s">
        <v>877</v>
      </c>
      <c r="L6" s="863" t="s">
        <v>878</v>
      </c>
      <c r="M6" s="894" t="s">
        <v>828</v>
      </c>
    </row>
    <row r="7" spans="1:13" x14ac:dyDescent="0.2">
      <c r="A7" s="879"/>
      <c r="B7" s="389" t="s">
        <v>1061</v>
      </c>
      <c r="C7" s="389" t="s">
        <v>1062</v>
      </c>
      <c r="D7" s="864"/>
      <c r="E7" s="866"/>
      <c r="F7" s="879"/>
      <c r="G7" s="879"/>
      <c r="H7" s="879"/>
      <c r="I7" s="879"/>
      <c r="J7" s="864"/>
      <c r="K7" s="864"/>
      <c r="L7" s="864"/>
      <c r="M7" s="895"/>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30" t="s">
        <v>829</v>
      </c>
      <c r="B28" s="830"/>
      <c r="C28" s="387"/>
      <c r="D28" s="422">
        <f>+SUM(D8:D27)</f>
        <v>0</v>
      </c>
      <c r="E28" s="307"/>
      <c r="F28" s="423"/>
      <c r="G28" s="423"/>
      <c r="H28" s="423"/>
      <c r="I28" s="423"/>
      <c r="J28" s="422"/>
      <c r="K28" s="422">
        <f>SUM(K8:K27)</f>
        <v>0</v>
      </c>
      <c r="L28" s="422">
        <f>+SUM(L8:L27)</f>
        <v>0</v>
      </c>
      <c r="M28" s="419"/>
    </row>
    <row r="29" spans="1:13" ht="15.75" customHeight="1" x14ac:dyDescent="0.2">
      <c r="F29" s="890" t="s">
        <v>879</v>
      </c>
      <c r="G29" s="890"/>
      <c r="H29" s="890"/>
      <c r="I29" s="890"/>
      <c r="J29" s="890"/>
      <c r="K29" s="890"/>
      <c r="L29" s="890"/>
      <c r="M29" s="310" t="e">
        <f>+MAX(M8:M27)</f>
        <v>#DIV/0!</v>
      </c>
    </row>
    <row r="30" spans="1:13" ht="12.75" customHeight="1" x14ac:dyDescent="0.2">
      <c r="F30" s="891" t="str">
        <f>IF(ROUND(SUM(BALANCESHEET!G14,BALANCESHEET!G42),2)=K28,"","Балансын дүнгээс зөрүүтэй тул зууны нарийвчлалтай шивнэ үү. зөв 200,265.23 | буруу 200,236.256")</f>
        <v/>
      </c>
      <c r="G30" s="891"/>
      <c r="H30" s="891"/>
      <c r="I30" s="891"/>
      <c r="J30" s="891"/>
      <c r="K30" s="891"/>
      <c r="L30" s="891"/>
      <c r="M30" s="891"/>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9" t="str">
        <f>BALANCE!D361</f>
        <v>ГҮЙЦЭТГЭХ ЗАХИРАЛ.................................................................//</v>
      </c>
      <c r="F35" s="829"/>
      <c r="G35" s="829"/>
      <c r="H35" s="829"/>
      <c r="I35" s="829"/>
      <c r="J35" s="829"/>
    </row>
    <row r="36" spans="2:10" x14ac:dyDescent="0.2">
      <c r="B36" s="139"/>
      <c r="C36" s="348"/>
      <c r="D36" s="139"/>
      <c r="E36" s="546"/>
      <c r="F36" s="450"/>
      <c r="G36" s="450"/>
      <c r="H36" s="388"/>
      <c r="I36" s="388"/>
      <c r="J36" s="547"/>
    </row>
    <row r="37" spans="2:10" ht="15" customHeight="1" x14ac:dyDescent="0.2">
      <c r="B37" s="178"/>
      <c r="C37" s="178"/>
      <c r="D37" s="178"/>
      <c r="E37" s="829" t="str">
        <f>BALANCE!D363</f>
        <v>ЕРӨНХИЙ НЯГТЛАН БОДОГЧ....................................................//</v>
      </c>
      <c r="F37" s="829"/>
      <c r="G37" s="829"/>
      <c r="H37" s="829"/>
      <c r="I37" s="829"/>
      <c r="J37" s="829"/>
    </row>
    <row r="38" spans="2:10" x14ac:dyDescent="0.2">
      <c r="B38" s="139"/>
      <c r="C38" s="348"/>
      <c r="D38" s="139"/>
      <c r="E38" s="546"/>
      <c r="F38" s="450"/>
      <c r="G38" s="450"/>
      <c r="H38" s="388"/>
      <c r="I38" s="388"/>
      <c r="J38" s="547"/>
    </row>
    <row r="39" spans="2:10" ht="15" customHeight="1" x14ac:dyDescent="0.2">
      <c r="B39" s="178"/>
      <c r="C39" s="178"/>
      <c r="D39" s="178"/>
      <c r="E39" s="829">
        <f>BALANCE!D365</f>
        <v>0</v>
      </c>
      <c r="F39" s="829"/>
      <c r="G39" s="829"/>
      <c r="H39" s="829"/>
      <c r="I39" s="829"/>
      <c r="J39" s="829"/>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L2"/>
    <mergeCell ref="A3:L3"/>
    <mergeCell ref="A4:L4"/>
    <mergeCell ref="A5:B5"/>
    <mergeCell ref="L5:M5"/>
    <mergeCell ref="B6:C6"/>
    <mergeCell ref="E6:E7"/>
    <mergeCell ref="M6:M7"/>
    <mergeCell ref="L6:L7"/>
    <mergeCell ref="A6:A7"/>
    <mergeCell ref="J6:J7"/>
    <mergeCell ref="I6:I7"/>
    <mergeCell ref="H6:H7"/>
    <mergeCell ref="D6:D7"/>
    <mergeCell ref="K6:K7"/>
    <mergeCell ref="G6:G7"/>
    <mergeCell ref="F6:F7"/>
    <mergeCell ref="A28:B28"/>
    <mergeCell ref="E39:J39"/>
    <mergeCell ref="F29:L29"/>
    <mergeCell ref="E35:J35"/>
    <mergeCell ref="E37:J37"/>
    <mergeCell ref="F30:M30"/>
  </mergeCells>
  <dataValidations count="2">
    <dataValidation type="date" allowBlank="1" showInputMessage="1" showErrorMessage="1" sqref="F8:H27">
      <formula1>1</formula1>
      <formula2>767011</formula2>
    </dataValidation>
    <dataValidation type="list" allowBlank="1" showInputMessage="1" showErrorMessage="1" sqref="I8:I27">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x14ac:dyDescent="0.2">
      <c r="A2" s="905" t="s">
        <v>880</v>
      </c>
      <c r="B2" s="905"/>
      <c r="C2" s="905"/>
      <c r="D2" s="905"/>
      <c r="E2" s="905"/>
      <c r="F2" s="905"/>
      <c r="G2" s="905"/>
      <c r="H2" s="905"/>
      <c r="I2" s="905"/>
      <c r="J2" s="905"/>
      <c r="K2" s="905"/>
      <c r="L2" s="905"/>
      <c r="M2" s="905"/>
      <c r="N2" s="905"/>
      <c r="O2" s="905"/>
      <c r="P2" s="905"/>
    </row>
    <row r="3" spans="1:18" x14ac:dyDescent="0.2">
      <c r="A3" s="906" t="str">
        <f>+BALANCE!A3</f>
        <v>БАНК БУС САНХҮҮГИЙН БАЙГУУЛЛАГЫН НЭР</v>
      </c>
      <c r="B3" s="906"/>
      <c r="C3" s="906"/>
      <c r="D3" s="906"/>
      <c r="E3" s="906"/>
      <c r="F3" s="906"/>
      <c r="G3" s="906"/>
      <c r="H3" s="906"/>
      <c r="I3" s="906"/>
      <c r="J3" s="906"/>
      <c r="K3" s="906"/>
      <c r="L3" s="906"/>
      <c r="M3" s="906"/>
      <c r="N3" s="906"/>
      <c r="O3" s="906"/>
      <c r="P3" s="906"/>
    </row>
    <row r="4" spans="1:18" x14ac:dyDescent="0.2">
      <c r="A4" s="907" t="str">
        <f>+BALANCE!A4</f>
        <v>БАНК БУС САНХҮҮГИЙН БАЙГУУЛЛАГА</v>
      </c>
      <c r="B4" s="907"/>
      <c r="C4" s="907"/>
      <c r="D4" s="907"/>
      <c r="E4" s="907"/>
      <c r="F4" s="907"/>
      <c r="G4" s="907"/>
      <c r="H4" s="907"/>
      <c r="I4" s="907"/>
      <c r="J4" s="907"/>
      <c r="K4" s="907"/>
      <c r="L4" s="907"/>
      <c r="M4" s="907"/>
      <c r="N4" s="907"/>
      <c r="O4" s="907"/>
      <c r="P4" s="907"/>
    </row>
    <row r="5" spans="1:18" x14ac:dyDescent="0.2">
      <c r="A5" s="555"/>
      <c r="B5" s="555"/>
      <c r="C5" s="555"/>
      <c r="D5" s="555"/>
      <c r="E5" s="556"/>
      <c r="F5" s="557"/>
      <c r="G5" s="555"/>
      <c r="H5" s="556"/>
      <c r="I5" s="556"/>
      <c r="J5" s="555"/>
      <c r="K5" s="555"/>
      <c r="L5" s="555"/>
      <c r="M5" s="555"/>
      <c r="N5" s="556"/>
      <c r="O5" s="557"/>
      <c r="P5" s="557"/>
    </row>
    <row r="6" spans="1:18" x14ac:dyDescent="0.2">
      <c r="A6" s="612">
        <f>+BALANCE!A6</f>
        <v>44286</v>
      </c>
      <c r="B6" s="612"/>
      <c r="C6" s="612"/>
      <c r="D6" s="558"/>
      <c r="E6" s="559"/>
      <c r="F6" s="560"/>
      <c r="G6" s="561"/>
      <c r="H6" s="908"/>
      <c r="I6" s="908"/>
      <c r="J6" s="908"/>
      <c r="K6" s="562"/>
      <c r="L6" s="562"/>
      <c r="M6" s="562"/>
      <c r="O6" s="909" t="s">
        <v>443</v>
      </c>
      <c r="P6" s="909"/>
    </row>
    <row r="7" spans="1:18" ht="12.75" customHeight="1" x14ac:dyDescent="0.2">
      <c r="A7" s="916" t="s">
        <v>881</v>
      </c>
      <c r="B7" s="910" t="s">
        <v>872</v>
      </c>
      <c r="C7" s="910"/>
      <c r="D7" s="910" t="s">
        <v>882</v>
      </c>
      <c r="E7" s="910"/>
      <c r="F7" s="917" t="s">
        <v>1072</v>
      </c>
      <c r="G7" s="910" t="s">
        <v>883</v>
      </c>
      <c r="H7" s="910"/>
      <c r="I7" s="911" t="s">
        <v>1103</v>
      </c>
      <c r="J7" s="910" t="s">
        <v>884</v>
      </c>
      <c r="K7" s="910"/>
      <c r="L7" s="910"/>
      <c r="M7" s="910"/>
      <c r="N7" s="910"/>
      <c r="O7" s="914" t="s">
        <v>885</v>
      </c>
      <c r="P7" s="914"/>
    </row>
    <row r="8" spans="1:18" ht="23.25" customHeight="1" x14ac:dyDescent="0.2">
      <c r="A8" s="916"/>
      <c r="B8" s="564" t="s">
        <v>886</v>
      </c>
      <c r="C8" s="565" t="s">
        <v>887</v>
      </c>
      <c r="D8" s="564" t="s">
        <v>886</v>
      </c>
      <c r="E8" s="565" t="s">
        <v>887</v>
      </c>
      <c r="F8" s="917"/>
      <c r="G8" s="564" t="s">
        <v>886</v>
      </c>
      <c r="H8" s="565" t="s">
        <v>887</v>
      </c>
      <c r="I8" s="912"/>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x14ac:dyDescent="0.2">
      <c r="A51" s="571" t="s">
        <v>1152</v>
      </c>
      <c r="B51" s="896" t="s">
        <v>1081</v>
      </c>
      <c r="C51" s="897"/>
      <c r="D51" s="615">
        <f>SUM(D52:D58)</f>
        <v>0</v>
      </c>
      <c r="E51" s="395">
        <f>SUM(E52:E58)</f>
        <v>0</v>
      </c>
      <c r="F51" s="594" t="e">
        <f>(D52*F52+D53*F53+D54*F54+D55*F55+D56*F56+D57*F57+D58*F58)/D51</f>
        <v>#DIV/0!</v>
      </c>
      <c r="G51" s="615">
        <f>SUM(G52:G58)</f>
        <v>0</v>
      </c>
      <c r="H51" s="395">
        <f>SUM(H52:H58)</f>
        <v>0</v>
      </c>
      <c r="I51" s="896" t="s">
        <v>1081</v>
      </c>
      <c r="J51" s="897"/>
      <c r="K51" s="897"/>
      <c r="L51" s="897"/>
      <c r="M51" s="897"/>
      <c r="N51" s="897"/>
      <c r="O51" s="897"/>
      <c r="P51" s="898"/>
      <c r="Q51" s="552"/>
      <c r="R51" s="675"/>
    </row>
    <row r="52" spans="1:18" s="573" customFormat="1" x14ac:dyDescent="0.2">
      <c r="A52" s="572" t="s">
        <v>1107</v>
      </c>
      <c r="B52" s="899"/>
      <c r="C52" s="900"/>
      <c r="D52" s="619"/>
      <c r="E52" s="404"/>
      <c r="F52" s="413"/>
      <c r="G52" s="619"/>
      <c r="H52" s="404"/>
      <c r="I52" s="899"/>
      <c r="J52" s="900"/>
      <c r="K52" s="900"/>
      <c r="L52" s="900"/>
      <c r="M52" s="900"/>
      <c r="N52" s="900"/>
      <c r="O52" s="900"/>
      <c r="P52" s="901"/>
      <c r="Q52" s="552" t="str">
        <f t="shared" ref="Q52:Q58" si="7">+IF(D52&gt;0,IF(AND(F52&gt;0,F52&lt;0.15),"","ЗЖДХ-г сараар шивнэ үү."),"")</f>
        <v/>
      </c>
      <c r="R52" s="675"/>
    </row>
    <row r="53" spans="1:18" s="573" customFormat="1" x14ac:dyDescent="0.2">
      <c r="A53" s="572" t="s">
        <v>1108</v>
      </c>
      <c r="B53" s="899"/>
      <c r="C53" s="900"/>
      <c r="D53" s="619"/>
      <c r="E53" s="404"/>
      <c r="F53" s="413"/>
      <c r="G53" s="619"/>
      <c r="H53" s="404"/>
      <c r="I53" s="899"/>
      <c r="J53" s="900"/>
      <c r="K53" s="900"/>
      <c r="L53" s="900"/>
      <c r="M53" s="900"/>
      <c r="N53" s="900"/>
      <c r="O53" s="900"/>
      <c r="P53" s="901"/>
      <c r="Q53" s="552" t="str">
        <f t="shared" si="7"/>
        <v/>
      </c>
      <c r="R53" s="675"/>
    </row>
    <row r="54" spans="1:18" s="573" customFormat="1" x14ac:dyDescent="0.2">
      <c r="A54" s="572" t="s">
        <v>1109</v>
      </c>
      <c r="B54" s="899"/>
      <c r="C54" s="900"/>
      <c r="D54" s="619"/>
      <c r="E54" s="404"/>
      <c r="F54" s="413"/>
      <c r="G54" s="619"/>
      <c r="H54" s="404"/>
      <c r="I54" s="899"/>
      <c r="J54" s="900"/>
      <c r="K54" s="900"/>
      <c r="L54" s="900"/>
      <c r="M54" s="900"/>
      <c r="N54" s="900"/>
      <c r="O54" s="900"/>
      <c r="P54" s="901"/>
      <c r="Q54" s="552" t="str">
        <f t="shared" si="7"/>
        <v/>
      </c>
      <c r="R54" s="675"/>
    </row>
    <row r="55" spans="1:18" s="573" customFormat="1" x14ac:dyDescent="0.2">
      <c r="A55" s="572" t="s">
        <v>1110</v>
      </c>
      <c r="B55" s="899"/>
      <c r="C55" s="900"/>
      <c r="D55" s="619"/>
      <c r="E55" s="404"/>
      <c r="F55" s="413"/>
      <c r="G55" s="619"/>
      <c r="H55" s="404"/>
      <c r="I55" s="899"/>
      <c r="J55" s="900"/>
      <c r="K55" s="900"/>
      <c r="L55" s="900"/>
      <c r="M55" s="900"/>
      <c r="N55" s="900"/>
      <c r="O55" s="900"/>
      <c r="P55" s="901"/>
      <c r="Q55" s="552" t="str">
        <f t="shared" si="7"/>
        <v/>
      </c>
      <c r="R55" s="675"/>
    </row>
    <row r="56" spans="1:18" s="573" customFormat="1" x14ac:dyDescent="0.2">
      <c r="A56" s="572" t="s">
        <v>1111</v>
      </c>
      <c r="B56" s="899"/>
      <c r="C56" s="900"/>
      <c r="D56" s="619"/>
      <c r="E56" s="404"/>
      <c r="F56" s="413"/>
      <c r="G56" s="619"/>
      <c r="H56" s="404"/>
      <c r="I56" s="899"/>
      <c r="J56" s="900"/>
      <c r="K56" s="900"/>
      <c r="L56" s="900"/>
      <c r="M56" s="900"/>
      <c r="N56" s="900"/>
      <c r="O56" s="900"/>
      <c r="P56" s="901"/>
      <c r="Q56" s="552" t="str">
        <f t="shared" si="7"/>
        <v/>
      </c>
      <c r="R56" s="675"/>
    </row>
    <row r="57" spans="1:18" s="573" customFormat="1" x14ac:dyDescent="0.2">
      <c r="A57" s="572" t="s">
        <v>1112</v>
      </c>
      <c r="B57" s="899"/>
      <c r="C57" s="900"/>
      <c r="D57" s="619"/>
      <c r="E57" s="404"/>
      <c r="F57" s="413"/>
      <c r="G57" s="619"/>
      <c r="H57" s="404"/>
      <c r="I57" s="899"/>
      <c r="J57" s="900"/>
      <c r="K57" s="900"/>
      <c r="L57" s="900"/>
      <c r="M57" s="900"/>
      <c r="N57" s="900"/>
      <c r="O57" s="900"/>
      <c r="P57" s="901"/>
      <c r="Q57" s="552" t="str">
        <f t="shared" si="7"/>
        <v/>
      </c>
      <c r="R57" s="675"/>
    </row>
    <row r="58" spans="1:18" s="573" customFormat="1" x14ac:dyDescent="0.2">
      <c r="A58" s="572" t="s">
        <v>1113</v>
      </c>
      <c r="B58" s="902"/>
      <c r="C58" s="903"/>
      <c r="D58" s="619"/>
      <c r="E58" s="404"/>
      <c r="F58" s="413"/>
      <c r="G58" s="619"/>
      <c r="H58" s="404"/>
      <c r="I58" s="902"/>
      <c r="J58" s="903"/>
      <c r="K58" s="903"/>
      <c r="L58" s="903"/>
      <c r="M58" s="903"/>
      <c r="N58" s="903"/>
      <c r="O58" s="903"/>
      <c r="P58" s="904"/>
      <c r="Q58" s="552" t="str">
        <f t="shared" si="7"/>
        <v/>
      </c>
      <c r="R58" s="675"/>
    </row>
    <row r="59" spans="1:18" s="567" customFormat="1" x14ac:dyDescent="0.2">
      <c r="A59" s="922" t="s">
        <v>1153</v>
      </c>
      <c r="B59" s="923"/>
      <c r="C59" s="923"/>
      <c r="D59" s="923"/>
      <c r="E59" s="923"/>
      <c r="F59" s="923"/>
      <c r="G59" s="923"/>
      <c r="H59" s="923"/>
      <c r="I59" s="923"/>
      <c r="J59" s="923"/>
      <c r="K59" s="923"/>
      <c r="L59" s="923"/>
      <c r="M59" s="923"/>
      <c r="N59" s="923"/>
      <c r="O59" s="923"/>
      <c r="P59" s="924"/>
      <c r="Q59" s="552"/>
      <c r="R59" s="675"/>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918" t="s">
        <v>1127</v>
      </c>
      <c r="B76" s="918"/>
      <c r="C76" s="918"/>
      <c r="D76" s="918"/>
      <c r="E76" s="918"/>
      <c r="F76" s="918"/>
      <c r="G76" s="918"/>
      <c r="H76" s="918"/>
      <c r="I76" s="918"/>
      <c r="J76" s="918"/>
      <c r="K76" s="918"/>
      <c r="L76" s="918"/>
      <c r="M76" s="918"/>
      <c r="N76" s="918"/>
      <c r="O76" s="918"/>
      <c r="P76" s="918"/>
    </row>
    <row r="77" spans="1:253" x14ac:dyDescent="0.2">
      <c r="A77" s="919" t="s">
        <v>1128</v>
      </c>
      <c r="B77" s="919"/>
      <c r="C77" s="919"/>
      <c r="D77" s="919"/>
      <c r="E77" s="919"/>
      <c r="F77" s="919"/>
      <c r="G77" s="919"/>
      <c r="H77" s="919"/>
      <c r="I77" s="919"/>
      <c r="J77" s="919"/>
      <c r="K77" s="919"/>
      <c r="L77" s="919"/>
      <c r="M77" s="919"/>
      <c r="N77" s="919"/>
      <c r="O77" s="919"/>
      <c r="P77" s="919"/>
    </row>
    <row r="78" spans="1:253" x14ac:dyDescent="0.2">
      <c r="A78" s="920" t="s">
        <v>933</v>
      </c>
      <c r="B78" s="920"/>
      <c r="C78" s="920"/>
      <c r="D78" s="574"/>
      <c r="E78" s="574"/>
      <c r="F78" s="595"/>
      <c r="G78" s="574"/>
      <c r="H78" s="574"/>
      <c r="I78" s="574"/>
      <c r="J78" s="574"/>
      <c r="K78" s="574"/>
      <c r="L78" s="574"/>
      <c r="M78" s="574"/>
      <c r="N78" s="574"/>
      <c r="O78" s="574"/>
      <c r="P78" s="574"/>
    </row>
    <row r="79" spans="1:253" x14ac:dyDescent="0.2">
      <c r="A79" s="554" t="s">
        <v>1104</v>
      </c>
    </row>
    <row r="80" spans="1:253" x14ac:dyDescent="0.2">
      <c r="B80" s="915" t="s">
        <v>39</v>
      </c>
      <c r="C80" s="915"/>
      <c r="D80" s="577"/>
      <c r="E80" s="578"/>
      <c r="F80" s="579"/>
      <c r="H80" s="411"/>
      <c r="I80" s="411"/>
    </row>
    <row r="81" spans="2:13" x14ac:dyDescent="0.2">
      <c r="B81" s="580"/>
      <c r="C81" s="580"/>
      <c r="D81" s="577"/>
      <c r="E81" s="578"/>
      <c r="F81" s="579"/>
    </row>
    <row r="82" spans="2:13" x14ac:dyDescent="0.2">
      <c r="B82" s="921" t="s">
        <v>441</v>
      </c>
      <c r="C82" s="921"/>
      <c r="D82" s="921"/>
      <c r="E82" s="578"/>
      <c r="F82" s="579"/>
    </row>
    <row r="83" spans="2:13" x14ac:dyDescent="0.2">
      <c r="B83" s="580"/>
      <c r="C83" s="580"/>
      <c r="D83" s="577"/>
      <c r="E83" s="578"/>
      <c r="F83" s="579"/>
    </row>
    <row r="84" spans="2:13" x14ac:dyDescent="0.2">
      <c r="B84" s="580"/>
      <c r="C84" s="580"/>
      <c r="D84" s="913" t="str">
        <f>+BALANCE!D361</f>
        <v>ГҮЙЦЭТГЭХ ЗАХИРАЛ.................................................................//</v>
      </c>
      <c r="E84" s="913"/>
      <c r="F84" s="913"/>
      <c r="G84" s="913"/>
      <c r="H84" s="913"/>
      <c r="I84" s="913"/>
      <c r="J84" s="913"/>
      <c r="K84" s="581"/>
      <c r="L84" s="581"/>
      <c r="M84" s="581"/>
    </row>
    <row r="85" spans="2:13" x14ac:dyDescent="0.2">
      <c r="B85" s="580"/>
      <c r="C85" s="580"/>
      <c r="D85" s="577"/>
      <c r="E85" s="578"/>
      <c r="F85" s="579"/>
    </row>
    <row r="86" spans="2:13" x14ac:dyDescent="0.2">
      <c r="B86" s="580"/>
      <c r="C86" s="580"/>
      <c r="D86" s="913" t="str">
        <f>+BALANCE!D363</f>
        <v>ЕРӨНХИЙ НЯГТЛАН БОДОГЧ....................................................//</v>
      </c>
      <c r="E86" s="913"/>
      <c r="F86" s="913"/>
      <c r="G86" s="913"/>
      <c r="H86" s="913"/>
      <c r="I86" s="913"/>
      <c r="J86" s="913"/>
      <c r="K86" s="581"/>
      <c r="L86" s="581"/>
      <c r="M86" s="581"/>
    </row>
    <row r="87" spans="2:13" x14ac:dyDescent="0.2">
      <c r="B87" s="580"/>
      <c r="C87" s="580"/>
      <c r="D87" s="577"/>
      <c r="E87" s="578"/>
      <c r="F87" s="579"/>
    </row>
    <row r="88" spans="2:13" x14ac:dyDescent="0.2">
      <c r="B88" s="580"/>
      <c r="C88" s="580"/>
      <c r="D88" s="913">
        <f>+BALANCE!D365</f>
        <v>0</v>
      </c>
      <c r="E88" s="913"/>
      <c r="F88" s="913"/>
      <c r="G88" s="913"/>
      <c r="H88" s="913"/>
      <c r="I88" s="913"/>
      <c r="J88" s="913"/>
      <c r="K88" s="581"/>
      <c r="L88" s="581"/>
      <c r="M88" s="581"/>
    </row>
  </sheetData>
  <sheetProtection password="CA9F" sheet="1"/>
  <mergeCells count="24">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 ref="I51:P58"/>
    <mergeCell ref="A2:P2"/>
    <mergeCell ref="A3:P3"/>
    <mergeCell ref="A4:P4"/>
    <mergeCell ref="H6:J6"/>
    <mergeCell ref="O6:P6"/>
    <mergeCell ref="J7:N7"/>
    <mergeCell ref="I7:I8"/>
  </mergeCells>
  <dataValidations count="2">
    <dataValidation allowBlank="1" sqref="O67:P70 B51 B31:C50 E31:I51 D31:D58 E52:H58 D61:H65 O61:P65 J67:K70 B10:P29 J31:P50 J61:K65 D67:H70"/>
    <dataValidation type="decimal" operator="lessThanOrEqual" allowBlank="1" showInputMessage="1" showErrorMessage="1" sqref="L72:N72">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87" t="s">
        <v>934</v>
      </c>
      <c r="B2" s="887"/>
      <c r="C2" s="887"/>
      <c r="D2" s="887"/>
      <c r="E2" s="887"/>
      <c r="F2" s="887"/>
      <c r="G2" s="887"/>
      <c r="H2" s="887"/>
      <c r="I2" s="887"/>
      <c r="J2" s="887"/>
      <c r="K2" s="887"/>
      <c r="L2" s="887"/>
    </row>
    <row r="3" spans="1:12" x14ac:dyDescent="0.2">
      <c r="A3" s="711" t="str">
        <f>+BALANCE!A3</f>
        <v>БАНК БУС САНХҮҮГИЙН БАЙГУУЛЛАГЫН НЭР</v>
      </c>
      <c r="B3" s="711"/>
      <c r="C3" s="711"/>
      <c r="D3" s="711"/>
      <c r="E3" s="711"/>
      <c r="F3" s="711"/>
      <c r="G3" s="711"/>
      <c r="H3" s="711"/>
      <c r="I3" s="711"/>
      <c r="J3" s="711"/>
      <c r="K3" s="711"/>
      <c r="L3" s="711"/>
    </row>
    <row r="4" spans="1:12" x14ac:dyDescent="0.2">
      <c r="A4" s="689" t="str">
        <f>+BALANCE!A4</f>
        <v>БАНК БУС САНХҮҮГИЙН БАЙГУУЛЛАГА</v>
      </c>
      <c r="B4" s="689"/>
      <c r="C4" s="689"/>
      <c r="D4" s="689"/>
      <c r="E4" s="689"/>
      <c r="F4" s="689"/>
      <c r="G4" s="689"/>
      <c r="H4" s="689"/>
      <c r="I4" s="689"/>
      <c r="J4" s="689"/>
      <c r="K4" s="689"/>
      <c r="L4" s="689"/>
    </row>
    <row r="5" spans="1:12" x14ac:dyDescent="0.2">
      <c r="A5" s="712">
        <f>+BALANCE!A6</f>
        <v>44286</v>
      </c>
      <c r="B5" s="712"/>
      <c r="K5" s="925" t="s">
        <v>443</v>
      </c>
      <c r="L5" s="925"/>
    </row>
    <row r="6" spans="1:12" ht="15" customHeight="1" x14ac:dyDescent="0.2">
      <c r="A6" s="926" t="s">
        <v>935</v>
      </c>
      <c r="B6" s="926"/>
      <c r="C6" s="926"/>
      <c r="D6" s="926" t="s">
        <v>936</v>
      </c>
      <c r="E6" s="927" t="s">
        <v>937</v>
      </c>
      <c r="F6" s="927"/>
      <c r="G6" s="927"/>
      <c r="H6" s="927"/>
      <c r="I6" s="927"/>
      <c r="J6" s="927" t="s">
        <v>938</v>
      </c>
      <c r="K6" s="927"/>
      <c r="L6" s="926" t="s">
        <v>803</v>
      </c>
    </row>
    <row r="7" spans="1:12" ht="38.25" x14ac:dyDescent="0.2">
      <c r="A7" s="926"/>
      <c r="B7" s="926"/>
      <c r="C7" s="926"/>
      <c r="D7" s="926"/>
      <c r="E7" s="543" t="s">
        <v>939</v>
      </c>
      <c r="F7" s="543" t="s">
        <v>940</v>
      </c>
      <c r="G7" s="543" t="s">
        <v>941</v>
      </c>
      <c r="H7" s="543" t="s">
        <v>942</v>
      </c>
      <c r="I7" s="543" t="s">
        <v>943</v>
      </c>
      <c r="J7" s="543" t="s">
        <v>939</v>
      </c>
      <c r="K7" s="543" t="s">
        <v>944</v>
      </c>
      <c r="L7" s="926"/>
    </row>
    <row r="8" spans="1:12" x14ac:dyDescent="0.2">
      <c r="A8" s="928" t="s">
        <v>945</v>
      </c>
      <c r="B8" s="928"/>
      <c r="C8" s="928"/>
      <c r="D8" s="421" t="s">
        <v>946</v>
      </c>
      <c r="E8" s="544"/>
      <c r="F8" s="122"/>
      <c r="G8" s="122"/>
      <c r="H8" s="122"/>
      <c r="I8" s="122"/>
      <c r="J8" s="122"/>
      <c r="K8" s="122"/>
      <c r="L8" s="122" t="s">
        <v>947</v>
      </c>
    </row>
    <row r="9" spans="1:12" ht="15" customHeight="1" x14ac:dyDescent="0.2">
      <c r="A9" s="929" t="s">
        <v>948</v>
      </c>
      <c r="B9" s="929"/>
      <c r="C9" s="420" t="s">
        <v>949</v>
      </c>
      <c r="D9" s="421">
        <v>1</v>
      </c>
      <c r="E9" s="122">
        <v>0</v>
      </c>
      <c r="F9" s="122">
        <v>0</v>
      </c>
      <c r="G9" s="122">
        <v>0</v>
      </c>
      <c r="H9" s="122">
        <v>0</v>
      </c>
      <c r="I9" s="122">
        <v>0</v>
      </c>
      <c r="J9" s="122">
        <v>0</v>
      </c>
      <c r="K9" s="122">
        <v>0</v>
      </c>
      <c r="L9" s="123">
        <f>SUM(E9:K9)</f>
        <v>0</v>
      </c>
    </row>
    <row r="10" spans="1:12" x14ac:dyDescent="0.2">
      <c r="A10" s="929"/>
      <c r="B10" s="929"/>
      <c r="C10" s="420" t="s">
        <v>950</v>
      </c>
      <c r="D10" s="421">
        <v>2</v>
      </c>
      <c r="E10" s="122">
        <v>0</v>
      </c>
      <c r="F10" s="122">
        <v>0</v>
      </c>
      <c r="G10" s="122">
        <v>0</v>
      </c>
      <c r="H10" s="122">
        <v>0</v>
      </c>
      <c r="I10" s="122">
        <v>0</v>
      </c>
      <c r="J10" s="122">
        <v>0</v>
      </c>
      <c r="K10" s="122">
        <v>0</v>
      </c>
      <c r="L10" s="123">
        <f>SUM(E10:K10)</f>
        <v>0</v>
      </c>
    </row>
    <row r="11" spans="1:12" ht="15" customHeight="1" x14ac:dyDescent="0.2">
      <c r="A11" s="929" t="s">
        <v>951</v>
      </c>
      <c r="B11" s="930" t="s">
        <v>952</v>
      </c>
      <c r="C11" s="930"/>
      <c r="D11" s="421">
        <v>3</v>
      </c>
      <c r="E11" s="122">
        <v>0</v>
      </c>
      <c r="F11" s="122">
        <v>0</v>
      </c>
      <c r="G11" s="122">
        <v>0</v>
      </c>
      <c r="H11" s="122">
        <v>0</v>
      </c>
      <c r="I11" s="122">
        <v>0</v>
      </c>
      <c r="J11" s="122">
        <v>0</v>
      </c>
      <c r="K11" s="122">
        <v>0</v>
      </c>
      <c r="L11" s="123">
        <f t="shared" ref="L11:L35" si="0">SUM(E11:K11)</f>
        <v>0</v>
      </c>
    </row>
    <row r="12" spans="1:12" ht="15" customHeight="1" x14ac:dyDescent="0.2">
      <c r="A12" s="929"/>
      <c r="B12" s="929" t="s">
        <v>953</v>
      </c>
      <c r="C12" s="420" t="s">
        <v>954</v>
      </c>
      <c r="D12" s="421">
        <v>4</v>
      </c>
      <c r="E12" s="122">
        <v>0</v>
      </c>
      <c r="F12" s="122">
        <v>0</v>
      </c>
      <c r="G12" s="122">
        <v>0</v>
      </c>
      <c r="H12" s="122">
        <v>0</v>
      </c>
      <c r="I12" s="122">
        <v>0</v>
      </c>
      <c r="J12" s="122">
        <v>0</v>
      </c>
      <c r="K12" s="122">
        <v>0</v>
      </c>
      <c r="L12" s="123">
        <f t="shared" si="0"/>
        <v>0</v>
      </c>
    </row>
    <row r="13" spans="1:12" x14ac:dyDescent="0.2">
      <c r="A13" s="929"/>
      <c r="B13" s="929"/>
      <c r="C13" s="420" t="s">
        <v>883</v>
      </c>
      <c r="D13" s="421">
        <v>5</v>
      </c>
      <c r="E13" s="122">
        <v>0</v>
      </c>
      <c r="F13" s="122">
        <v>0</v>
      </c>
      <c r="G13" s="122">
        <v>0</v>
      </c>
      <c r="H13" s="122">
        <v>0</v>
      </c>
      <c r="I13" s="122">
        <v>0</v>
      </c>
      <c r="J13" s="122">
        <v>0</v>
      </c>
      <c r="K13" s="122">
        <v>0</v>
      </c>
      <c r="L13" s="123">
        <f t="shared" si="0"/>
        <v>0</v>
      </c>
    </row>
    <row r="14" spans="1:12" x14ac:dyDescent="0.2">
      <c r="A14" s="929"/>
      <c r="B14" s="929"/>
      <c r="C14" s="420" t="s">
        <v>955</v>
      </c>
      <c r="D14" s="421">
        <v>6</v>
      </c>
      <c r="E14" s="122">
        <v>0</v>
      </c>
      <c r="F14" s="122">
        <v>0</v>
      </c>
      <c r="G14" s="122">
        <v>0</v>
      </c>
      <c r="H14" s="122">
        <v>0</v>
      </c>
      <c r="I14" s="122">
        <v>0</v>
      </c>
      <c r="J14" s="122">
        <v>0</v>
      </c>
      <c r="K14" s="122">
        <v>0</v>
      </c>
      <c r="L14" s="123">
        <f t="shared" si="0"/>
        <v>0</v>
      </c>
    </row>
    <row r="15" spans="1:12" ht="15" customHeight="1" x14ac:dyDescent="0.2">
      <c r="A15" s="929"/>
      <c r="B15" s="929" t="s">
        <v>956</v>
      </c>
      <c r="C15" s="420" t="s">
        <v>957</v>
      </c>
      <c r="D15" s="421">
        <v>7</v>
      </c>
      <c r="E15" s="122">
        <v>0</v>
      </c>
      <c r="F15" s="122">
        <v>0</v>
      </c>
      <c r="G15" s="122">
        <v>0</v>
      </c>
      <c r="H15" s="122">
        <v>0</v>
      </c>
      <c r="I15" s="122">
        <v>0</v>
      </c>
      <c r="J15" s="122">
        <v>0</v>
      </c>
      <c r="K15" s="122">
        <v>0</v>
      </c>
      <c r="L15" s="123">
        <f t="shared" si="0"/>
        <v>0</v>
      </c>
    </row>
    <row r="16" spans="1:12" x14ac:dyDescent="0.2">
      <c r="A16" s="929"/>
      <c r="B16" s="929"/>
      <c r="C16" s="420" t="s">
        <v>958</v>
      </c>
      <c r="D16" s="421">
        <v>8</v>
      </c>
      <c r="E16" s="122">
        <v>0</v>
      </c>
      <c r="F16" s="122">
        <v>0</v>
      </c>
      <c r="G16" s="122">
        <v>0</v>
      </c>
      <c r="H16" s="122">
        <v>0</v>
      </c>
      <c r="I16" s="122">
        <v>0</v>
      </c>
      <c r="J16" s="122">
        <v>0</v>
      </c>
      <c r="K16" s="122">
        <v>0</v>
      </c>
      <c r="L16" s="123">
        <f t="shared" si="0"/>
        <v>0</v>
      </c>
    </row>
    <row r="17" spans="1:12" x14ac:dyDescent="0.2">
      <c r="A17" s="929"/>
      <c r="B17" s="930" t="s">
        <v>959</v>
      </c>
      <c r="C17" s="930"/>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8" t="s">
        <v>960</v>
      </c>
      <c r="B18" s="928"/>
      <c r="C18" s="420" t="s">
        <v>961</v>
      </c>
      <c r="D18" s="421">
        <v>10</v>
      </c>
      <c r="E18" s="122">
        <v>0</v>
      </c>
      <c r="F18" s="122">
        <v>0</v>
      </c>
      <c r="G18" s="122">
        <v>0</v>
      </c>
      <c r="H18" s="122">
        <v>0</v>
      </c>
      <c r="I18" s="122">
        <v>0</v>
      </c>
      <c r="J18" s="122">
        <v>0</v>
      </c>
      <c r="K18" s="122">
        <v>0</v>
      </c>
      <c r="L18" s="123">
        <f t="shared" si="0"/>
        <v>0</v>
      </c>
    </row>
    <row r="19" spans="1:12" x14ac:dyDescent="0.2">
      <c r="A19" s="928"/>
      <c r="B19" s="928"/>
      <c r="C19" s="420" t="s">
        <v>962</v>
      </c>
      <c r="D19" s="421">
        <v>11</v>
      </c>
      <c r="E19" s="122">
        <v>0</v>
      </c>
      <c r="F19" s="122">
        <v>0</v>
      </c>
      <c r="G19" s="122">
        <v>0</v>
      </c>
      <c r="H19" s="122">
        <v>0</v>
      </c>
      <c r="I19" s="122">
        <v>0</v>
      </c>
      <c r="J19" s="122">
        <v>0</v>
      </c>
      <c r="K19" s="122">
        <v>0</v>
      </c>
      <c r="L19" s="123">
        <f t="shared" si="0"/>
        <v>0</v>
      </c>
    </row>
    <row r="20" spans="1:12" ht="15" customHeight="1" x14ac:dyDescent="0.2">
      <c r="A20" s="929" t="s">
        <v>963</v>
      </c>
      <c r="B20" s="928" t="s">
        <v>964</v>
      </c>
      <c r="C20" s="928"/>
      <c r="D20" s="421">
        <v>12</v>
      </c>
      <c r="E20" s="122">
        <v>0</v>
      </c>
      <c r="F20" s="122">
        <v>0</v>
      </c>
      <c r="G20" s="122">
        <v>0</v>
      </c>
      <c r="H20" s="122">
        <v>0</v>
      </c>
      <c r="I20" s="122">
        <v>0</v>
      </c>
      <c r="J20" s="122">
        <v>0</v>
      </c>
      <c r="K20" s="122">
        <v>0</v>
      </c>
      <c r="L20" s="123">
        <f t="shared" si="0"/>
        <v>0</v>
      </c>
    </row>
    <row r="21" spans="1:12" x14ac:dyDescent="0.2">
      <c r="A21" s="929"/>
      <c r="B21" s="928" t="s">
        <v>965</v>
      </c>
      <c r="C21" s="928"/>
      <c r="D21" s="421">
        <v>13</v>
      </c>
      <c r="E21" s="122">
        <v>0</v>
      </c>
      <c r="F21" s="122">
        <v>0</v>
      </c>
      <c r="G21" s="122">
        <v>0</v>
      </c>
      <c r="H21" s="122">
        <v>0</v>
      </c>
      <c r="I21" s="122">
        <v>0</v>
      </c>
      <c r="J21" s="122">
        <v>0</v>
      </c>
      <c r="K21" s="122">
        <v>0</v>
      </c>
      <c r="L21" s="123">
        <f t="shared" si="0"/>
        <v>0</v>
      </c>
    </row>
    <row r="22" spans="1:12" ht="15" customHeight="1" x14ac:dyDescent="0.2">
      <c r="A22" s="929"/>
      <c r="B22" s="929" t="s">
        <v>966</v>
      </c>
      <c r="C22" s="420" t="s">
        <v>967</v>
      </c>
      <c r="D22" s="421">
        <v>14</v>
      </c>
      <c r="E22" s="122">
        <v>0</v>
      </c>
      <c r="F22" s="122">
        <v>0</v>
      </c>
      <c r="G22" s="122">
        <v>0</v>
      </c>
      <c r="H22" s="122">
        <v>0</v>
      </c>
      <c r="I22" s="122">
        <v>0</v>
      </c>
      <c r="J22" s="122">
        <v>0</v>
      </c>
      <c r="K22" s="122">
        <v>0</v>
      </c>
      <c r="L22" s="123">
        <f t="shared" si="0"/>
        <v>0</v>
      </c>
    </row>
    <row r="23" spans="1:12" x14ac:dyDescent="0.2">
      <c r="A23" s="929"/>
      <c r="B23" s="929"/>
      <c r="C23" s="420" t="s">
        <v>968</v>
      </c>
      <c r="D23" s="421">
        <v>15</v>
      </c>
      <c r="E23" s="122">
        <v>0</v>
      </c>
      <c r="F23" s="122">
        <v>0</v>
      </c>
      <c r="G23" s="122">
        <v>0</v>
      </c>
      <c r="H23" s="122">
        <v>0</v>
      </c>
      <c r="I23" s="122">
        <v>0</v>
      </c>
      <c r="J23" s="122">
        <v>0</v>
      </c>
      <c r="K23" s="122">
        <v>0</v>
      </c>
      <c r="L23" s="123">
        <f t="shared" si="0"/>
        <v>0</v>
      </c>
    </row>
    <row r="24" spans="1:12" ht="15" customHeight="1" x14ac:dyDescent="0.2">
      <c r="A24" s="929" t="s">
        <v>969</v>
      </c>
      <c r="B24" s="929"/>
      <c r="C24" s="421" t="s">
        <v>964</v>
      </c>
      <c r="D24" s="421">
        <v>16</v>
      </c>
      <c r="E24" s="124">
        <v>0</v>
      </c>
      <c r="F24" s="124">
        <v>0</v>
      </c>
      <c r="G24" s="124">
        <v>0</v>
      </c>
      <c r="H24" s="124">
        <v>0</v>
      </c>
      <c r="I24" s="124">
        <v>0</v>
      </c>
      <c r="J24" s="124">
        <v>0</v>
      </c>
      <c r="K24" s="124">
        <v>0</v>
      </c>
      <c r="L24" s="545">
        <f t="shared" si="0"/>
        <v>0</v>
      </c>
    </row>
    <row r="25" spans="1:12" x14ac:dyDescent="0.2">
      <c r="A25" s="929"/>
      <c r="B25" s="929"/>
      <c r="C25" s="421" t="s">
        <v>965</v>
      </c>
      <c r="D25" s="421">
        <v>17</v>
      </c>
      <c r="E25" s="124">
        <v>0</v>
      </c>
      <c r="F25" s="124">
        <v>0</v>
      </c>
      <c r="G25" s="124">
        <v>0</v>
      </c>
      <c r="H25" s="124">
        <v>0</v>
      </c>
      <c r="I25" s="124">
        <v>0</v>
      </c>
      <c r="J25" s="124">
        <v>0</v>
      </c>
      <c r="K25" s="124">
        <v>0</v>
      </c>
      <c r="L25" s="545">
        <f t="shared" si="0"/>
        <v>0</v>
      </c>
    </row>
    <row r="26" spans="1:12" x14ac:dyDescent="0.2">
      <c r="A26" s="929"/>
      <c r="B26" s="929"/>
      <c r="C26" s="421" t="s">
        <v>966</v>
      </c>
      <c r="D26" s="421">
        <v>18</v>
      </c>
      <c r="E26" s="124">
        <v>0</v>
      </c>
      <c r="F26" s="124">
        <v>0</v>
      </c>
      <c r="G26" s="124">
        <v>0</v>
      </c>
      <c r="H26" s="124">
        <v>0</v>
      </c>
      <c r="I26" s="124">
        <v>0</v>
      </c>
      <c r="J26" s="124">
        <v>0</v>
      </c>
      <c r="K26" s="124">
        <v>0</v>
      </c>
      <c r="L26" s="545">
        <f t="shared" si="0"/>
        <v>0</v>
      </c>
    </row>
    <row r="27" spans="1:12" ht="15" customHeight="1" x14ac:dyDescent="0.2">
      <c r="A27" s="929" t="s">
        <v>970</v>
      </c>
      <c r="B27" s="929"/>
      <c r="C27" s="420" t="s">
        <v>971</v>
      </c>
      <c r="D27" s="421">
        <v>19</v>
      </c>
      <c r="E27" s="122">
        <v>0</v>
      </c>
      <c r="F27" s="122">
        <v>0</v>
      </c>
      <c r="G27" s="122">
        <v>0</v>
      </c>
      <c r="H27" s="122">
        <v>0</v>
      </c>
      <c r="I27" s="122">
        <v>0</v>
      </c>
      <c r="J27" s="122">
        <v>0</v>
      </c>
      <c r="K27" s="122">
        <v>0</v>
      </c>
      <c r="L27" s="123">
        <f t="shared" si="0"/>
        <v>0</v>
      </c>
    </row>
    <row r="28" spans="1:12" x14ac:dyDescent="0.2">
      <c r="A28" s="929"/>
      <c r="B28" s="929"/>
      <c r="C28" s="420" t="s">
        <v>972</v>
      </c>
      <c r="D28" s="421">
        <v>20</v>
      </c>
      <c r="E28" s="122">
        <v>0</v>
      </c>
      <c r="F28" s="122">
        <v>0</v>
      </c>
      <c r="G28" s="122">
        <v>0</v>
      </c>
      <c r="H28" s="122">
        <v>0</v>
      </c>
      <c r="I28" s="122">
        <v>0</v>
      </c>
      <c r="J28" s="122">
        <v>0</v>
      </c>
      <c r="K28" s="122">
        <v>0</v>
      </c>
      <c r="L28" s="123">
        <f t="shared" si="0"/>
        <v>0</v>
      </c>
    </row>
    <row r="29" spans="1:12" ht="15" customHeight="1" x14ac:dyDescent="0.2">
      <c r="A29" s="929" t="s">
        <v>1183</v>
      </c>
      <c r="B29" s="928" t="s">
        <v>973</v>
      </c>
      <c r="C29" s="928"/>
      <c r="D29" s="421">
        <v>21</v>
      </c>
      <c r="E29" s="122">
        <v>0</v>
      </c>
      <c r="F29" s="122">
        <v>0</v>
      </c>
      <c r="G29" s="122">
        <v>0</v>
      </c>
      <c r="H29" s="122">
        <v>0</v>
      </c>
      <c r="I29" s="122">
        <v>0</v>
      </c>
      <c r="J29" s="122">
        <v>0</v>
      </c>
      <c r="K29" s="122">
        <v>0</v>
      </c>
      <c r="L29" s="123">
        <f t="shared" si="0"/>
        <v>0</v>
      </c>
    </row>
    <row r="30" spans="1:12" x14ac:dyDescent="0.2">
      <c r="A30" s="929"/>
      <c r="B30" s="928" t="s">
        <v>974</v>
      </c>
      <c r="C30" s="928"/>
      <c r="D30" s="421">
        <v>22</v>
      </c>
      <c r="E30" s="122">
        <v>0</v>
      </c>
      <c r="F30" s="122">
        <v>0</v>
      </c>
      <c r="G30" s="122">
        <v>0</v>
      </c>
      <c r="H30" s="122">
        <v>0</v>
      </c>
      <c r="I30" s="122">
        <v>0</v>
      </c>
      <c r="J30" s="122">
        <v>0</v>
      </c>
      <c r="K30" s="122">
        <v>0</v>
      </c>
      <c r="L30" s="123">
        <f t="shared" si="0"/>
        <v>0</v>
      </c>
    </row>
    <row r="31" spans="1:12" x14ac:dyDescent="0.2">
      <c r="A31" s="929"/>
      <c r="B31" s="928" t="s">
        <v>975</v>
      </c>
      <c r="C31" s="420" t="s">
        <v>1169</v>
      </c>
      <c r="D31" s="421">
        <v>23</v>
      </c>
      <c r="E31" s="122">
        <v>0</v>
      </c>
      <c r="F31" s="122">
        <v>0</v>
      </c>
      <c r="G31" s="122">
        <v>0</v>
      </c>
      <c r="H31" s="122">
        <v>0</v>
      </c>
      <c r="I31" s="122">
        <v>0</v>
      </c>
      <c r="J31" s="122">
        <v>0</v>
      </c>
      <c r="K31" s="122">
        <v>0</v>
      </c>
      <c r="L31" s="123">
        <f t="shared" si="0"/>
        <v>0</v>
      </c>
    </row>
    <row r="32" spans="1:12" x14ac:dyDescent="0.2">
      <c r="A32" s="929"/>
      <c r="B32" s="928"/>
      <c r="C32" s="420" t="s">
        <v>485</v>
      </c>
      <c r="D32" s="421">
        <v>24</v>
      </c>
      <c r="E32" s="122">
        <v>0</v>
      </c>
      <c r="F32" s="122">
        <v>0</v>
      </c>
      <c r="G32" s="122">
        <v>0</v>
      </c>
      <c r="H32" s="122">
        <v>0</v>
      </c>
      <c r="I32" s="122">
        <v>0</v>
      </c>
      <c r="J32" s="122">
        <v>0</v>
      </c>
      <c r="K32" s="122">
        <v>0</v>
      </c>
      <c r="L32" s="123">
        <f t="shared" si="0"/>
        <v>0</v>
      </c>
    </row>
    <row r="33" spans="1:12" x14ac:dyDescent="0.2">
      <c r="A33" s="929"/>
      <c r="B33" s="928"/>
      <c r="C33" s="420" t="s">
        <v>478</v>
      </c>
      <c r="D33" s="421">
        <v>25</v>
      </c>
      <c r="E33" s="122">
        <v>0</v>
      </c>
      <c r="F33" s="122">
        <v>0</v>
      </c>
      <c r="G33" s="122">
        <v>0</v>
      </c>
      <c r="H33" s="122">
        <v>0</v>
      </c>
      <c r="I33" s="122">
        <v>0</v>
      </c>
      <c r="J33" s="122">
        <v>0</v>
      </c>
      <c r="K33" s="122">
        <v>0</v>
      </c>
      <c r="L33" s="123">
        <f t="shared" si="0"/>
        <v>0</v>
      </c>
    </row>
    <row r="34" spans="1:12" x14ac:dyDescent="0.2">
      <c r="A34" s="929"/>
      <c r="B34" s="928"/>
      <c r="C34" s="420" t="s">
        <v>976</v>
      </c>
      <c r="D34" s="421">
        <v>26</v>
      </c>
      <c r="E34" s="122">
        <v>0</v>
      </c>
      <c r="F34" s="122">
        <v>0</v>
      </c>
      <c r="G34" s="122">
        <v>0</v>
      </c>
      <c r="H34" s="122">
        <v>0</v>
      </c>
      <c r="I34" s="122">
        <v>0</v>
      </c>
      <c r="J34" s="122">
        <v>0</v>
      </c>
      <c r="K34" s="122">
        <v>0</v>
      </c>
      <c r="L34" s="123">
        <f t="shared" si="0"/>
        <v>0</v>
      </c>
    </row>
    <row r="35" spans="1:12" ht="15" customHeight="1" x14ac:dyDescent="0.2">
      <c r="A35" s="929" t="s">
        <v>977</v>
      </c>
      <c r="B35" s="929"/>
      <c r="C35" s="420" t="s">
        <v>978</v>
      </c>
      <c r="D35" s="421">
        <v>27</v>
      </c>
      <c r="E35" s="122">
        <v>0</v>
      </c>
      <c r="F35" s="122">
        <v>0</v>
      </c>
      <c r="G35" s="122">
        <v>0</v>
      </c>
      <c r="H35" s="122">
        <v>0</v>
      </c>
      <c r="I35" s="122">
        <v>0</v>
      </c>
      <c r="J35" s="122">
        <v>0</v>
      </c>
      <c r="K35" s="122">
        <v>0</v>
      </c>
      <c r="L35" s="123">
        <f t="shared" si="0"/>
        <v>0</v>
      </c>
    </row>
    <row r="36" spans="1:12" x14ac:dyDescent="0.2">
      <c r="A36" s="929"/>
      <c r="B36" s="929"/>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822" t="str">
        <f>+BALANCE!D361</f>
        <v>ГҮЙЦЭТГЭХ ЗАХИРАЛ.................................................................//</v>
      </c>
      <c r="D42" s="822"/>
      <c r="E42" s="822"/>
      <c r="F42" s="822"/>
      <c r="G42" s="822"/>
      <c r="H42" s="822"/>
      <c r="I42" s="822"/>
      <c r="J42" s="822"/>
    </row>
    <row r="43" spans="1:12" x14ac:dyDescent="0.2">
      <c r="B43" s="15"/>
      <c r="C43" s="16"/>
      <c r="D43" s="137"/>
      <c r="E43" s="140"/>
      <c r="F43" s="140"/>
      <c r="G43" s="140"/>
    </row>
    <row r="44" spans="1:12" ht="15" customHeight="1" x14ac:dyDescent="0.2">
      <c r="B44" s="15"/>
      <c r="C44" s="822" t="str">
        <f>+BALANCE!D363</f>
        <v>ЕРӨНХИЙ НЯГТЛАН БОДОГЧ....................................................//</v>
      </c>
      <c r="D44" s="822"/>
      <c r="E44" s="822"/>
      <c r="F44" s="822"/>
      <c r="G44" s="822"/>
      <c r="H44" s="822"/>
      <c r="I44" s="822"/>
      <c r="J44" s="822"/>
    </row>
    <row r="45" spans="1:12" x14ac:dyDescent="0.2">
      <c r="B45" s="15"/>
      <c r="C45" s="16"/>
      <c r="D45" s="137"/>
      <c r="E45" s="140"/>
      <c r="F45" s="140"/>
      <c r="G45" s="140"/>
    </row>
    <row r="46" spans="1:12" ht="15" customHeight="1" x14ac:dyDescent="0.2">
      <c r="B46" s="15"/>
      <c r="C46" s="822">
        <f>+BALANCE!D365</f>
        <v>0</v>
      </c>
      <c r="D46" s="822"/>
      <c r="E46" s="822"/>
      <c r="F46" s="822"/>
      <c r="G46" s="822"/>
      <c r="H46" s="822"/>
      <c r="I46" s="822"/>
      <c r="J46" s="822"/>
    </row>
  </sheetData>
  <sheetProtection password="CA9F" sheet="1"/>
  <mergeCells count="32">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 ref="A8:C8"/>
    <mergeCell ref="A9:B10"/>
    <mergeCell ref="A11:A17"/>
    <mergeCell ref="B11:C11"/>
    <mergeCell ref="B12:B14"/>
    <mergeCell ref="B15:B16"/>
    <mergeCell ref="B17:C17"/>
    <mergeCell ref="A2:L2"/>
    <mergeCell ref="A3:L3"/>
    <mergeCell ref="A5:B5"/>
    <mergeCell ref="K5:L5"/>
    <mergeCell ref="A6:C7"/>
    <mergeCell ref="D6:D7"/>
    <mergeCell ref="E6:I6"/>
    <mergeCell ref="J6:K6"/>
    <mergeCell ref="L6:L7"/>
  </mergeCells>
  <dataValidations count="1">
    <dataValidation type="decimal" operator="notEqual" allowBlank="1" showErrorMessage="1" error="This is an invalid value!" sqref="E8:K16 E18:K36">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89" t="s">
        <v>980</v>
      </c>
      <c r="B2" s="689"/>
      <c r="C2" s="689"/>
      <c r="D2" s="689"/>
      <c r="E2" s="689"/>
      <c r="F2" s="689"/>
      <c r="G2" s="689"/>
      <c r="H2" s="689"/>
      <c r="I2" s="689"/>
    </row>
    <row r="3" spans="1:9" x14ac:dyDescent="0.2">
      <c r="A3" s="711" t="str">
        <f>+BALANCE!A3</f>
        <v>БАНК БУС САНХҮҮГИЙН БАЙГУУЛЛАГЫН НЭР</v>
      </c>
      <c r="B3" s="711"/>
      <c r="C3" s="711"/>
      <c r="D3" s="711"/>
      <c r="E3" s="711"/>
      <c r="F3" s="711"/>
      <c r="G3" s="711"/>
      <c r="H3" s="711"/>
      <c r="I3" s="711"/>
    </row>
    <row r="4" spans="1:9" x14ac:dyDescent="0.2">
      <c r="A4" s="689" t="str">
        <f>+BALANCE!A4</f>
        <v>БАНК БУС САНХҮҮГИЙН БАЙГУУЛЛАГА</v>
      </c>
      <c r="B4" s="689"/>
      <c r="C4" s="689"/>
      <c r="D4" s="689"/>
      <c r="E4" s="689"/>
      <c r="F4" s="689"/>
      <c r="G4" s="689"/>
      <c r="H4" s="689"/>
      <c r="I4" s="689"/>
    </row>
    <row r="5" spans="1:9" ht="15.75" customHeight="1" x14ac:dyDescent="0.2">
      <c r="A5" s="712">
        <f>+BALANCE!A6</f>
        <v>44286</v>
      </c>
      <c r="B5" s="712"/>
      <c r="H5" s="835" t="s">
        <v>443</v>
      </c>
      <c r="I5" s="835"/>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59" t="s">
        <v>829</v>
      </c>
      <c r="B27" s="859"/>
      <c r="C27" s="203">
        <f>+SUM(C7:C26)</f>
        <v>0</v>
      </c>
      <c r="D27" s="129"/>
      <c r="E27" s="129"/>
      <c r="F27" s="316">
        <f>+SUM(F7:F26)</f>
        <v>0</v>
      </c>
      <c r="G27" s="316">
        <f>+SUM(G7:G26)</f>
        <v>0</v>
      </c>
      <c r="H27" s="317">
        <f>SUM(H7:H26)</f>
        <v>0</v>
      </c>
      <c r="I27" s="318" t="e">
        <f>SUM(I7:I26)</f>
        <v>#DIV/0!</v>
      </c>
    </row>
    <row r="28" spans="1:9" ht="15.75" customHeight="1" x14ac:dyDescent="0.2">
      <c r="A28" s="931" t="s">
        <v>988</v>
      </c>
      <c r="B28" s="931"/>
      <c r="C28" s="931"/>
      <c r="D28" s="931"/>
      <c r="E28" s="931"/>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695" t="s">
        <v>441</v>
      </c>
      <c r="D32" s="695"/>
      <c r="E32" s="138"/>
      <c r="F32" s="17"/>
      <c r="G32" s="3"/>
    </row>
    <row r="33" spans="3:8" x14ac:dyDescent="0.2">
      <c r="C33" s="16"/>
      <c r="D33" s="137"/>
      <c r="E33" s="136"/>
      <c r="F33" s="13"/>
      <c r="G33" s="14"/>
    </row>
    <row r="34" spans="3:8" x14ac:dyDescent="0.2">
      <c r="C34" s="178"/>
      <c r="D34" s="178"/>
      <c r="E34" s="822" t="str">
        <f>+BALANCE!D361</f>
        <v>ГҮЙЦЭТГЭХ ЗАХИРАЛ.................................................................//</v>
      </c>
      <c r="F34" s="822"/>
      <c r="G34" s="822"/>
      <c r="H34" s="822"/>
    </row>
    <row r="35" spans="3:8" x14ac:dyDescent="0.2">
      <c r="C35" s="139"/>
      <c r="D35" s="139"/>
      <c r="E35" s="139"/>
      <c r="F35" s="139"/>
      <c r="G35" s="139"/>
    </row>
    <row r="36" spans="3:8" x14ac:dyDescent="0.2">
      <c r="C36" s="178"/>
      <c r="D36" s="178"/>
      <c r="E36" s="822" t="str">
        <f>+BALANCE!D363</f>
        <v>ЕРӨНХИЙ НЯГТЛАН БОДОГЧ....................................................//</v>
      </c>
      <c r="F36" s="822"/>
      <c r="G36" s="822"/>
      <c r="H36" s="822"/>
    </row>
    <row r="37" spans="3:8" x14ac:dyDescent="0.2">
      <c r="C37" s="139"/>
      <c r="D37" s="139"/>
      <c r="E37" s="139"/>
      <c r="F37" s="139"/>
      <c r="G37" s="139"/>
    </row>
    <row r="38" spans="3:8" x14ac:dyDescent="0.2">
      <c r="C38" s="178"/>
      <c r="D38" s="178"/>
      <c r="E38" s="822">
        <f>+BALANCE!D365</f>
        <v>0</v>
      </c>
      <c r="F38" s="822"/>
      <c r="G38" s="822"/>
      <c r="H38" s="822"/>
    </row>
  </sheetData>
  <sheetProtection password="CA9F" sheet="1"/>
  <mergeCells count="11">
    <mergeCell ref="A2:I2"/>
    <mergeCell ref="A3:I3"/>
    <mergeCell ref="A4:I4"/>
    <mergeCell ref="A5:B5"/>
    <mergeCell ref="H5:I5"/>
    <mergeCell ref="E38:H38"/>
    <mergeCell ref="A27:B27"/>
    <mergeCell ref="A28:E28"/>
    <mergeCell ref="C32:D32"/>
    <mergeCell ref="E34:H34"/>
    <mergeCell ref="E36:H36"/>
  </mergeCells>
  <dataValidations count="1">
    <dataValidation type="date" allowBlank="1" showInputMessage="1" showErrorMessage="1" sqref="D7:E26">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89" t="s">
        <v>989</v>
      </c>
      <c r="B2" s="689"/>
      <c r="C2" s="689"/>
      <c r="D2" s="689"/>
      <c r="E2" s="689"/>
      <c r="F2" s="689"/>
      <c r="G2" s="689"/>
      <c r="H2" s="689"/>
      <c r="I2" s="689"/>
      <c r="J2" s="689"/>
    </row>
    <row r="3" spans="1:12" x14ac:dyDescent="0.2">
      <c r="A3" s="711" t="str">
        <f>BALANCE!A3</f>
        <v>БАНК БУС САНХҮҮГИЙН БАЙГУУЛЛАГЫН НЭР</v>
      </c>
      <c r="B3" s="711"/>
      <c r="C3" s="711"/>
      <c r="D3" s="711"/>
      <c r="E3" s="711"/>
      <c r="F3" s="711"/>
      <c r="G3" s="711"/>
      <c r="H3" s="711"/>
      <c r="I3" s="711"/>
      <c r="J3" s="711"/>
    </row>
    <row r="4" spans="1:12" x14ac:dyDescent="0.2">
      <c r="A4" s="689" t="str">
        <f>BALANCE!A4</f>
        <v>БАНК БУС САНХҮҮГИЙН БАЙГУУЛЛАГА</v>
      </c>
      <c r="B4" s="689"/>
      <c r="C4" s="689"/>
      <c r="D4" s="689"/>
      <c r="E4" s="689"/>
      <c r="F4" s="689"/>
      <c r="G4" s="689"/>
      <c r="H4" s="689"/>
      <c r="I4" s="689"/>
      <c r="J4" s="689"/>
    </row>
    <row r="5" spans="1:12" x14ac:dyDescent="0.2">
      <c r="A5" s="712">
        <f>BALANCE!A6</f>
        <v>44286</v>
      </c>
      <c r="B5" s="712"/>
      <c r="C5" s="444"/>
      <c r="I5" s="934" t="s">
        <v>443</v>
      </c>
      <c r="J5" s="934"/>
    </row>
    <row r="6" spans="1:12" ht="25.5" customHeight="1" x14ac:dyDescent="0.2">
      <c r="A6" s="880" t="s">
        <v>2</v>
      </c>
      <c r="B6" s="882" t="s">
        <v>1067</v>
      </c>
      <c r="C6" s="883"/>
      <c r="D6" s="863" t="s">
        <v>990</v>
      </c>
      <c r="E6" s="865" t="s">
        <v>1073</v>
      </c>
      <c r="F6" s="878" t="s">
        <v>1074</v>
      </c>
      <c r="G6" s="880" t="s">
        <v>991</v>
      </c>
      <c r="H6" s="880" t="s">
        <v>821</v>
      </c>
      <c r="I6" s="932" t="s">
        <v>763</v>
      </c>
      <c r="J6" s="865" t="s">
        <v>992</v>
      </c>
    </row>
    <row r="7" spans="1:12" x14ac:dyDescent="0.2">
      <c r="A7" s="881"/>
      <c r="B7" s="449" t="s">
        <v>1061</v>
      </c>
      <c r="C7" s="449" t="s">
        <v>1062</v>
      </c>
      <c r="D7" s="864"/>
      <c r="E7" s="866"/>
      <c r="F7" s="879"/>
      <c r="G7" s="881"/>
      <c r="H7" s="881"/>
      <c r="I7" s="933"/>
      <c r="J7" s="866"/>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59" t="s">
        <v>829</v>
      </c>
      <c r="B28" s="859"/>
      <c r="C28" s="447"/>
      <c r="D28" s="203">
        <f>+SUM(D8:D27)</f>
        <v>0</v>
      </c>
      <c r="E28" s="326"/>
      <c r="F28" s="447"/>
      <c r="G28" s="129"/>
      <c r="H28" s="129"/>
      <c r="I28" s="203">
        <f>SUM(I8:I27)</f>
        <v>0</v>
      </c>
      <c r="J28" s="326"/>
      <c r="K28" s="613"/>
    </row>
    <row r="29" spans="1:11" x14ac:dyDescent="0.2">
      <c r="H29" s="890" t="s">
        <v>993</v>
      </c>
      <c r="I29" s="890"/>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695" t="s">
        <v>441</v>
      </c>
      <c r="C33" s="695"/>
      <c r="D33" s="695"/>
      <c r="E33" s="695"/>
      <c r="F33" s="695"/>
    </row>
    <row r="34" spans="2:9" x14ac:dyDescent="0.2">
      <c r="B34" s="16"/>
      <c r="C34" s="16"/>
      <c r="D34" s="137"/>
      <c r="E34" s="136"/>
      <c r="F34" s="16"/>
      <c r="G34" s="14"/>
    </row>
    <row r="35" spans="2:9" ht="15" customHeight="1" x14ac:dyDescent="0.2">
      <c r="B35" s="178"/>
      <c r="C35" s="178"/>
      <c r="D35" s="822" t="str">
        <f>BALANCE!D361</f>
        <v>ГҮЙЦЭТГЭХ ЗАХИРАЛ.................................................................//</v>
      </c>
      <c r="E35" s="822"/>
      <c r="F35" s="822"/>
      <c r="G35" s="822"/>
      <c r="H35" s="822"/>
      <c r="I35" s="822"/>
    </row>
    <row r="36" spans="2:9" x14ac:dyDescent="0.2">
      <c r="B36" s="446"/>
      <c r="C36" s="446"/>
      <c r="D36" s="446"/>
      <c r="E36" s="311"/>
      <c r="F36" s="446"/>
      <c r="G36" s="446"/>
    </row>
    <row r="37" spans="2:9" ht="15" customHeight="1" x14ac:dyDescent="0.2">
      <c r="B37" s="178"/>
      <c r="C37" s="178"/>
      <c r="D37" s="822" t="str">
        <f>BALANCE!D363</f>
        <v>ЕРӨНХИЙ НЯГТЛАН БОДОГЧ....................................................//</v>
      </c>
      <c r="E37" s="822"/>
      <c r="F37" s="822"/>
      <c r="G37" s="822"/>
      <c r="H37" s="822"/>
      <c r="I37" s="822"/>
    </row>
    <row r="38" spans="2:9" x14ac:dyDescent="0.2">
      <c r="B38" s="446"/>
      <c r="C38" s="446"/>
      <c r="D38" s="446"/>
      <c r="E38" s="311"/>
      <c r="F38" s="446"/>
      <c r="G38" s="446"/>
    </row>
    <row r="39" spans="2:9" ht="15" customHeight="1" x14ac:dyDescent="0.2">
      <c r="B39" s="178"/>
      <c r="C39" s="178"/>
      <c r="D39" s="822">
        <f>BALANCE!D365</f>
        <v>0</v>
      </c>
      <c r="E39" s="822"/>
      <c r="F39" s="822"/>
      <c r="G39" s="822"/>
      <c r="H39" s="822"/>
      <c r="I39" s="822"/>
    </row>
  </sheetData>
  <sheetProtection password="CA9F" sheet="1"/>
  <mergeCells count="20">
    <mergeCell ref="J6:J7"/>
    <mergeCell ref="I6:I7"/>
    <mergeCell ref="A2:J2"/>
    <mergeCell ref="A3:J3"/>
    <mergeCell ref="A4:J4"/>
    <mergeCell ref="A5:B5"/>
    <mergeCell ref="I5:J5"/>
    <mergeCell ref="B33:F33"/>
    <mergeCell ref="D35:I35"/>
    <mergeCell ref="D37:I37"/>
    <mergeCell ref="D39:I39"/>
    <mergeCell ref="A6:A7"/>
    <mergeCell ref="D6:D7"/>
    <mergeCell ref="A28:B28"/>
    <mergeCell ref="H29:I29"/>
    <mergeCell ref="H6:H7"/>
    <mergeCell ref="G6:G7"/>
    <mergeCell ref="F6:F7"/>
    <mergeCell ref="E6:E7"/>
    <mergeCell ref="B6:C6"/>
  </mergeCells>
  <dataValidations count="1">
    <dataValidation type="date" allowBlank="1" showInputMessage="1" showErrorMessage="1" sqref="G8:H2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89" t="s">
        <v>994</v>
      </c>
      <c r="B2" s="689"/>
      <c r="C2" s="689"/>
      <c r="D2" s="689"/>
      <c r="E2" s="689"/>
      <c r="F2" s="689"/>
      <c r="G2" s="689"/>
      <c r="H2" s="689"/>
      <c r="I2" s="689"/>
      <c r="J2" s="689"/>
      <c r="K2" s="689"/>
      <c r="L2" s="2"/>
    </row>
    <row r="3" spans="1:12" x14ac:dyDescent="0.2">
      <c r="A3" s="711" t="str">
        <f>+BALANCE!A3</f>
        <v>БАНК БУС САНХҮҮГИЙН БАЙГУУЛЛАГЫН НЭР</v>
      </c>
      <c r="B3" s="711"/>
      <c r="C3" s="711"/>
      <c r="D3" s="711"/>
      <c r="E3" s="711"/>
      <c r="F3" s="711"/>
      <c r="G3" s="711"/>
      <c r="H3" s="711"/>
      <c r="I3" s="711"/>
      <c r="J3" s="711"/>
      <c r="K3" s="711"/>
      <c r="L3" s="105"/>
    </row>
    <row r="4" spans="1:12" x14ac:dyDescent="0.2">
      <c r="A4" s="689" t="str">
        <f>+BALANCE!A4</f>
        <v>БАНК БУС САНХҮҮГИЙН БАЙГУУЛЛАГА</v>
      </c>
      <c r="B4" s="689"/>
      <c r="C4" s="689"/>
      <c r="D4" s="689"/>
      <c r="E4" s="689"/>
      <c r="F4" s="689"/>
      <c r="G4" s="689"/>
      <c r="H4" s="689"/>
      <c r="I4" s="689"/>
      <c r="J4" s="689"/>
      <c r="K4" s="689"/>
      <c r="L4" s="2"/>
    </row>
    <row r="5" spans="1:12" ht="15" customHeight="1" x14ac:dyDescent="0.2">
      <c r="A5" s="712">
        <f>+BALANCE!A6</f>
        <v>44286</v>
      </c>
      <c r="B5" s="712"/>
      <c r="C5" s="351"/>
      <c r="J5" s="925" t="s">
        <v>443</v>
      </c>
      <c r="K5" s="925"/>
      <c r="L5" s="2"/>
    </row>
    <row r="6" spans="1:12" ht="38.25" customHeight="1" x14ac:dyDescent="0.2">
      <c r="A6" s="878" t="s">
        <v>2</v>
      </c>
      <c r="B6" s="892" t="s">
        <v>1069</v>
      </c>
      <c r="C6" s="893"/>
      <c r="D6" s="863" t="s">
        <v>995</v>
      </c>
      <c r="E6" s="878" t="s">
        <v>996</v>
      </c>
      <c r="F6" s="878" t="s">
        <v>1070</v>
      </c>
      <c r="G6" s="878" t="s">
        <v>997</v>
      </c>
      <c r="H6" s="878" t="s">
        <v>821</v>
      </c>
      <c r="I6" s="878" t="s">
        <v>874</v>
      </c>
      <c r="J6" s="863" t="s">
        <v>1105</v>
      </c>
      <c r="K6" s="865" t="s">
        <v>828</v>
      </c>
      <c r="L6" s="51"/>
    </row>
    <row r="7" spans="1:12" x14ac:dyDescent="0.2">
      <c r="A7" s="879"/>
      <c r="B7" s="355" t="s">
        <v>1061</v>
      </c>
      <c r="C7" s="355" t="s">
        <v>1062</v>
      </c>
      <c r="D7" s="864"/>
      <c r="E7" s="879"/>
      <c r="F7" s="879"/>
      <c r="G7" s="879"/>
      <c r="H7" s="879"/>
      <c r="I7" s="879"/>
      <c r="J7" s="864"/>
      <c r="K7" s="866"/>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30" t="s">
        <v>829</v>
      </c>
      <c r="B28" s="830"/>
      <c r="C28" s="353"/>
      <c r="D28" s="203">
        <f>+SUM(D8:D27)</f>
        <v>0</v>
      </c>
      <c r="E28" s="129"/>
      <c r="F28" s="129"/>
      <c r="G28" s="129"/>
      <c r="H28" s="129"/>
      <c r="I28" s="129"/>
      <c r="J28" s="203">
        <f>SUM(J8:J27)</f>
        <v>0</v>
      </c>
      <c r="K28" s="326"/>
    </row>
    <row r="29" spans="1:12" x14ac:dyDescent="0.2">
      <c r="I29" s="890" t="s">
        <v>993</v>
      </c>
      <c r="J29" s="890"/>
      <c r="K29" s="325" t="e">
        <f>+MAX(K8:K27)</f>
        <v>#DIV/0!</v>
      </c>
    </row>
    <row r="30" spans="1:12" x14ac:dyDescent="0.2">
      <c r="J30" s="598"/>
    </row>
    <row r="32" spans="1:12" x14ac:dyDescent="0.2">
      <c r="A32" s="849" t="s">
        <v>39</v>
      </c>
      <c r="B32" s="849"/>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822" t="str">
        <f>+BALANCE!D361</f>
        <v>ГҮЙЦЭТГЭХ ЗАХИРАЛ.................................................................//</v>
      </c>
      <c r="F36" s="822"/>
      <c r="G36" s="822"/>
      <c r="H36" s="822"/>
      <c r="I36" s="822"/>
      <c r="J36" s="822"/>
    </row>
    <row r="37" spans="2:10" x14ac:dyDescent="0.2">
      <c r="B37" s="139"/>
      <c r="C37" s="352"/>
      <c r="D37" s="139"/>
      <c r="E37" s="139"/>
      <c r="F37" s="352"/>
      <c r="G37" s="139"/>
      <c r="H37" s="139"/>
    </row>
    <row r="38" spans="2:10" x14ac:dyDescent="0.2">
      <c r="B38" s="178"/>
      <c r="C38" s="178"/>
      <c r="D38" s="178"/>
      <c r="E38" s="822" t="str">
        <f>+BALANCE!D363</f>
        <v>ЕРӨНХИЙ НЯГТЛАН БОДОГЧ....................................................//</v>
      </c>
      <c r="F38" s="822"/>
      <c r="G38" s="822"/>
      <c r="H38" s="822"/>
      <c r="I38" s="822"/>
      <c r="J38" s="822"/>
    </row>
    <row r="39" spans="2:10" x14ac:dyDescent="0.2">
      <c r="B39" s="139"/>
      <c r="C39" s="352"/>
      <c r="D39" s="139"/>
      <c r="E39" s="139"/>
      <c r="F39" s="352"/>
      <c r="G39" s="139"/>
      <c r="H39" s="139"/>
    </row>
    <row r="40" spans="2:10" x14ac:dyDescent="0.2">
      <c r="B40" s="178"/>
      <c r="C40" s="178"/>
      <c r="D40" s="178"/>
      <c r="E40" s="822">
        <f>+BALANCE!D365</f>
        <v>0</v>
      </c>
      <c r="F40" s="822"/>
      <c r="G40" s="822"/>
      <c r="H40" s="822"/>
      <c r="I40" s="822"/>
      <c r="J40" s="822"/>
    </row>
  </sheetData>
  <sheetProtection password="CA9F" sheet="1"/>
  <mergeCells count="21">
    <mergeCell ref="K6:K7"/>
    <mergeCell ref="E36:J36"/>
    <mergeCell ref="I29:J29"/>
    <mergeCell ref="A2:K2"/>
    <mergeCell ref="A3:K3"/>
    <mergeCell ref="A4:K4"/>
    <mergeCell ref="A5:B5"/>
    <mergeCell ref="J5:K5"/>
    <mergeCell ref="E40:J40"/>
    <mergeCell ref="B6:C6"/>
    <mergeCell ref="I6:I7"/>
    <mergeCell ref="H6:H7"/>
    <mergeCell ref="G6:G7"/>
    <mergeCell ref="A32:B32"/>
    <mergeCell ref="A28:B28"/>
    <mergeCell ref="E38:J38"/>
    <mergeCell ref="J6:J7"/>
    <mergeCell ref="A6:A7"/>
    <mergeCell ref="F6:F7"/>
    <mergeCell ref="D6:D7"/>
    <mergeCell ref="E6:E7"/>
  </mergeCells>
  <dataValidations count="1">
    <dataValidation type="date" allowBlank="1" showInputMessage="1" showErrorMessage="1" sqref="G8:I27">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89" t="s">
        <v>998</v>
      </c>
      <c r="B2" s="689"/>
      <c r="C2" s="689"/>
      <c r="D2" s="689"/>
      <c r="E2" s="689"/>
      <c r="F2" s="689"/>
      <c r="G2" s="689"/>
      <c r="H2" s="689"/>
      <c r="I2" s="689"/>
      <c r="J2" s="689"/>
      <c r="K2" s="689"/>
      <c r="L2" s="689"/>
      <c r="M2" s="689"/>
      <c r="N2" s="689"/>
      <c r="O2" s="689"/>
    </row>
    <row r="3" spans="1:15" x14ac:dyDescent="0.2">
      <c r="A3" s="711" t="str">
        <f>+BALANCE!A3</f>
        <v>БАНК БУС САНХҮҮГИЙН БАЙГУУЛЛАГЫН НЭР</v>
      </c>
      <c r="B3" s="711"/>
      <c r="C3" s="711"/>
      <c r="D3" s="711"/>
      <c r="E3" s="711"/>
      <c r="F3" s="711"/>
      <c r="G3" s="711"/>
      <c r="H3" s="711"/>
      <c r="I3" s="711"/>
      <c r="J3" s="711"/>
      <c r="K3" s="711"/>
      <c r="L3" s="711"/>
      <c r="M3" s="711"/>
      <c r="N3" s="711"/>
      <c r="O3" s="711"/>
    </row>
    <row r="4" spans="1:15" x14ac:dyDescent="0.2">
      <c r="A4" s="689" t="str">
        <f>+BALANCE!A4</f>
        <v>БАНК БУС САНХҮҮГИЙН БАЙГУУЛЛАГА</v>
      </c>
      <c r="B4" s="689"/>
      <c r="C4" s="689"/>
      <c r="D4" s="689"/>
      <c r="E4" s="689"/>
      <c r="F4" s="689"/>
      <c r="G4" s="689"/>
      <c r="H4" s="689"/>
      <c r="I4" s="689"/>
      <c r="J4" s="689"/>
      <c r="K4" s="689"/>
      <c r="L4" s="689"/>
      <c r="M4" s="689"/>
      <c r="N4" s="689"/>
      <c r="O4" s="689"/>
    </row>
    <row r="5" spans="1:15" x14ac:dyDescent="0.2">
      <c r="A5" s="1"/>
      <c r="B5" s="1"/>
      <c r="C5" s="1"/>
      <c r="D5" s="1"/>
      <c r="E5" s="1"/>
      <c r="F5" s="1"/>
      <c r="G5" s="1"/>
      <c r="H5" s="1"/>
      <c r="I5" s="1"/>
      <c r="J5" s="1"/>
      <c r="K5" s="1"/>
      <c r="L5" s="1"/>
      <c r="M5" s="1"/>
      <c r="N5" s="1"/>
      <c r="O5" s="1"/>
    </row>
    <row r="6" spans="1:15" x14ac:dyDescent="0.2">
      <c r="A6" s="935">
        <f>+BALANCE!A6</f>
        <v>44286</v>
      </c>
      <c r="B6" s="935"/>
      <c r="N6" s="925" t="s">
        <v>443</v>
      </c>
      <c r="O6" s="925"/>
    </row>
    <row r="7" spans="1:15" ht="21" customHeight="1" x14ac:dyDescent="0.2">
      <c r="A7" s="936" t="s">
        <v>2</v>
      </c>
      <c r="B7" s="937" t="s">
        <v>51</v>
      </c>
      <c r="C7" s="936" t="s">
        <v>999</v>
      </c>
      <c r="D7" s="936" t="s">
        <v>1000</v>
      </c>
      <c r="E7" s="936" t="s">
        <v>1001</v>
      </c>
      <c r="F7" s="937" t="s">
        <v>1002</v>
      </c>
      <c r="G7" s="936" t="s">
        <v>1003</v>
      </c>
      <c r="H7" s="936" t="s">
        <v>1000</v>
      </c>
      <c r="I7" s="937" t="s">
        <v>1004</v>
      </c>
      <c r="J7" s="936" t="s">
        <v>1005</v>
      </c>
      <c r="K7" s="936"/>
      <c r="L7" s="936"/>
      <c r="M7" s="941" t="s">
        <v>1006</v>
      </c>
      <c r="N7" s="941"/>
      <c r="O7" s="939" t="s">
        <v>828</v>
      </c>
    </row>
    <row r="8" spans="1:15" ht="21" customHeight="1" x14ac:dyDescent="0.2">
      <c r="A8" s="936"/>
      <c r="B8" s="937"/>
      <c r="C8" s="936"/>
      <c r="D8" s="936"/>
      <c r="E8" s="936"/>
      <c r="F8" s="937"/>
      <c r="G8" s="936"/>
      <c r="H8" s="936"/>
      <c r="I8" s="937"/>
      <c r="J8" s="126" t="s">
        <v>1007</v>
      </c>
      <c r="K8" s="126" t="s">
        <v>1008</v>
      </c>
      <c r="L8" s="126" t="s">
        <v>1009</v>
      </c>
      <c r="M8" s="314" t="s">
        <v>736</v>
      </c>
      <c r="N8" s="314" t="s">
        <v>844</v>
      </c>
      <c r="O8" s="939"/>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8" t="s">
        <v>3</v>
      </c>
      <c r="B14" s="938"/>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8" t="s">
        <v>3</v>
      </c>
      <c r="B20" s="938"/>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8" t="s">
        <v>3</v>
      </c>
      <c r="B26" s="938"/>
      <c r="C26" s="132"/>
      <c r="D26" s="132"/>
      <c r="E26" s="132"/>
      <c r="F26" s="132"/>
      <c r="G26" s="132"/>
      <c r="H26" s="132"/>
      <c r="I26" s="132"/>
      <c r="J26" s="132"/>
      <c r="K26" s="132"/>
      <c r="L26" s="132"/>
      <c r="M26" s="327">
        <f>+SUM(M21:M25)</f>
        <v>0</v>
      </c>
      <c r="N26" s="327">
        <f>+SUM(N21:N25)</f>
        <v>0</v>
      </c>
      <c r="O26" s="313"/>
    </row>
    <row r="27" spans="1:15" x14ac:dyDescent="0.2">
      <c r="A27" s="830" t="s">
        <v>829</v>
      </c>
      <c r="B27" s="830"/>
      <c r="C27" s="129"/>
      <c r="D27" s="129"/>
      <c r="E27" s="129"/>
      <c r="F27" s="129"/>
      <c r="G27" s="129"/>
      <c r="H27" s="129"/>
      <c r="I27" s="129"/>
      <c r="J27" s="129"/>
      <c r="K27" s="129"/>
      <c r="L27" s="129"/>
      <c r="M27" s="328">
        <f>+SUM(M14,M20,M26)</f>
        <v>0</v>
      </c>
      <c r="N27" s="328">
        <f>+SUM(N14,N20,N26)</f>
        <v>0</v>
      </c>
      <c r="O27" s="326"/>
    </row>
    <row r="28" spans="1:15" x14ac:dyDescent="0.2">
      <c r="M28" s="940" t="s">
        <v>993</v>
      </c>
      <c r="N28" s="940"/>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695" t="s">
        <v>441</v>
      </c>
      <c r="E32" s="695"/>
      <c r="F32" s="17"/>
    </row>
    <row r="33" spans="3:9" x14ac:dyDescent="0.2">
      <c r="C33" s="16"/>
      <c r="D33" s="137"/>
      <c r="E33" s="136"/>
      <c r="F33" s="13"/>
      <c r="G33" s="14"/>
    </row>
    <row r="34" spans="3:9" ht="15" customHeight="1" x14ac:dyDescent="0.2">
      <c r="C34" s="178"/>
      <c r="D34" s="178"/>
      <c r="E34" s="822" t="str">
        <f>+BALANCE!D361</f>
        <v>ГҮЙЦЭТГЭХ ЗАХИРАЛ.................................................................//</v>
      </c>
      <c r="F34" s="822"/>
      <c r="G34" s="822"/>
      <c r="H34" s="822"/>
      <c r="I34" s="822"/>
    </row>
    <row r="35" spans="3:9" x14ac:dyDescent="0.2">
      <c r="C35" s="139"/>
      <c r="D35" s="139"/>
      <c r="E35" s="139"/>
      <c r="F35" s="139"/>
      <c r="G35" s="139"/>
    </row>
    <row r="36" spans="3:9" ht="15" customHeight="1" x14ac:dyDescent="0.2">
      <c r="C36" s="178"/>
      <c r="D36" s="178"/>
      <c r="E36" s="822" t="str">
        <f>+BALANCE!D363</f>
        <v>ЕРӨНХИЙ НЯГТЛАН БОДОГЧ....................................................//</v>
      </c>
      <c r="F36" s="822"/>
      <c r="G36" s="822"/>
      <c r="H36" s="822"/>
      <c r="I36" s="822"/>
    </row>
    <row r="37" spans="3:9" x14ac:dyDescent="0.2">
      <c r="C37" s="139"/>
      <c r="D37" s="139"/>
      <c r="E37" s="139"/>
      <c r="F37" s="139"/>
      <c r="G37" s="139"/>
    </row>
    <row r="38" spans="3:9" ht="15" customHeight="1" x14ac:dyDescent="0.2">
      <c r="C38" s="178"/>
      <c r="D38" s="178"/>
      <c r="E38" s="822">
        <f>+BALANCE!D365</f>
        <v>0</v>
      </c>
      <c r="F38" s="822"/>
      <c r="G38" s="822"/>
      <c r="H38" s="822"/>
      <c r="I38" s="822"/>
    </row>
  </sheetData>
  <sheetProtection password="CA9F" sheet="1"/>
  <mergeCells count="26">
    <mergeCell ref="D32:E32"/>
    <mergeCell ref="O7:O8"/>
    <mergeCell ref="H7:H8"/>
    <mergeCell ref="A20:B20"/>
    <mergeCell ref="A26:B26"/>
    <mergeCell ref="A27:B27"/>
    <mergeCell ref="M28:N28"/>
    <mergeCell ref="I7:I8"/>
    <mergeCell ref="J7:L7"/>
    <mergeCell ref="M7:N7"/>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s>
  <dataValidations count="1">
    <dataValidation type="date" allowBlank="1" showInputMessage="1" showErrorMessage="1" sqref="J9:L26">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N64"/>
  <sheetViews>
    <sheetView workbookViewId="0"/>
  </sheetViews>
  <sheetFormatPr defaultColWidth="9.140625" defaultRowHeight="12.75" x14ac:dyDescent="0.2"/>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89" t="s">
        <v>0</v>
      </c>
      <c r="B2" s="689"/>
      <c r="C2" s="689"/>
      <c r="D2" s="653"/>
      <c r="E2" s="653"/>
      <c r="F2" s="2"/>
      <c r="G2" s="2"/>
      <c r="H2" s="2"/>
      <c r="I2" s="2"/>
      <c r="J2" s="2"/>
    </row>
    <row r="3" spans="1:14" x14ac:dyDescent="0.2">
      <c r="A3" s="690" t="s">
        <v>1088</v>
      </c>
      <c r="B3" s="690"/>
      <c r="C3" s="690"/>
      <c r="D3" s="654"/>
      <c r="E3" s="654"/>
      <c r="F3" s="4"/>
      <c r="G3" s="4"/>
      <c r="H3" s="4"/>
      <c r="I3" s="4"/>
      <c r="J3" s="4"/>
    </row>
    <row r="4" spans="1:14" x14ac:dyDescent="0.2">
      <c r="A4" s="691" t="str">
        <f>+BALANCE!A4</f>
        <v>БАНК БУС САНХҮҮГИЙН БАЙГУУЛЛАГА</v>
      </c>
      <c r="B4" s="691"/>
      <c r="C4" s="691"/>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92">
        <v>44286</v>
      </c>
      <c r="B7" s="692"/>
      <c r="C7" s="7"/>
      <c r="D7" s="8"/>
      <c r="E7" s="8"/>
      <c r="F7" s="8"/>
      <c r="G7" s="8"/>
      <c r="H7" s="626"/>
      <c r="I7" s="8"/>
      <c r="J7" s="8"/>
    </row>
    <row r="8" spans="1:14" x14ac:dyDescent="0.2">
      <c r="A8" s="441" t="s">
        <v>2</v>
      </c>
      <c r="B8" s="441" t="s">
        <v>0</v>
      </c>
      <c r="C8" s="21" t="s">
        <v>3</v>
      </c>
      <c r="H8" s="627" t="s">
        <v>4</v>
      </c>
    </row>
    <row r="9" spans="1:14" x14ac:dyDescent="0.2">
      <c r="A9" s="441" t="s">
        <v>5</v>
      </c>
      <c r="B9" s="693" t="s">
        <v>6</v>
      </c>
      <c r="C9" s="693"/>
      <c r="H9" s="628" t="s">
        <v>7</v>
      </c>
    </row>
    <row r="10" spans="1:14" x14ac:dyDescent="0.2">
      <c r="A10" s="683">
        <v>1</v>
      </c>
      <c r="B10" s="23" t="s">
        <v>8</v>
      </c>
      <c r="C10" s="24">
        <f>SUM(C11:C13)</f>
        <v>0</v>
      </c>
      <c r="D10" s="10" t="str">
        <f>+IF(C10&gt;0,"","Утга нөхөх")</f>
        <v>Утга нөхөх</v>
      </c>
      <c r="E10" s="10"/>
      <c r="F10" s="10"/>
      <c r="H10" s="629"/>
    </row>
    <row r="11" spans="1:14" x14ac:dyDescent="0.2">
      <c r="A11" s="683"/>
      <c r="B11" s="25" t="s">
        <v>9</v>
      </c>
      <c r="C11" s="26"/>
      <c r="D11" s="10" t="str">
        <f>+IF(C11&gt;0,"","Утга нөхөх")</f>
        <v>Утга нөхөх</v>
      </c>
      <c r="E11" s="10"/>
      <c r="F11" s="10"/>
      <c r="H11" s="630" t="s">
        <v>10</v>
      </c>
    </row>
    <row r="12" spans="1:14" x14ac:dyDescent="0.2">
      <c r="A12" s="683"/>
      <c r="B12" s="25" t="s">
        <v>1085</v>
      </c>
      <c r="C12" s="26"/>
      <c r="D12" s="10"/>
      <c r="E12" s="10"/>
      <c r="F12" s="10"/>
      <c r="H12" s="629" t="s">
        <v>12</v>
      </c>
    </row>
    <row r="13" spans="1:14" x14ac:dyDescent="0.2">
      <c r="A13" s="683"/>
      <c r="B13" s="25" t="s">
        <v>11</v>
      </c>
      <c r="C13" s="26"/>
      <c r="F13" s="10"/>
      <c r="H13" s="629"/>
    </row>
    <row r="14" spans="1:14" x14ac:dyDescent="0.2">
      <c r="A14" s="683"/>
      <c r="B14" s="25" t="s">
        <v>46</v>
      </c>
      <c r="C14" s="26"/>
      <c r="D14" s="10" t="str">
        <f>IF(BALANCE!H11&gt;0,IF(Statistic!C14&gt;0,"","Утга нөхөх"),"")</f>
        <v/>
      </c>
      <c r="E14" s="10"/>
      <c r="F14" s="10"/>
      <c r="H14" s="629"/>
    </row>
    <row r="15" spans="1:14" x14ac:dyDescent="0.2">
      <c r="A15" s="683"/>
      <c r="B15" s="25" t="s">
        <v>47</v>
      </c>
      <c r="C15" s="26"/>
      <c r="D15" s="10" t="str">
        <f>IF(BALANCE!H75&gt;0,IF(Statistic!C15&gt;0,"","Утга нөхөх"),"")</f>
        <v/>
      </c>
      <c r="E15" s="10"/>
      <c r="F15" s="10"/>
      <c r="H15" s="626"/>
    </row>
    <row r="16" spans="1:14" x14ac:dyDescent="0.2">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84"/>
      <c r="B17" s="28" t="s">
        <v>14</v>
      </c>
      <c r="C17" s="29"/>
      <c r="F17" s="10"/>
    </row>
    <row r="18" spans="1:6" x14ac:dyDescent="0.2">
      <c r="A18" s="684"/>
      <c r="B18" s="28" t="s">
        <v>1169</v>
      </c>
      <c r="C18" s="29"/>
      <c r="F18" s="10"/>
    </row>
    <row r="19" spans="1:6" x14ac:dyDescent="0.2">
      <c r="A19" s="684"/>
      <c r="B19" s="30" t="s">
        <v>15</v>
      </c>
      <c r="C19" s="435">
        <f>SUM(C20:C22)</f>
        <v>0</v>
      </c>
      <c r="F19" s="10"/>
    </row>
    <row r="20" spans="1:6" x14ac:dyDescent="0.2">
      <c r="A20" s="684"/>
      <c r="B20" s="28" t="s">
        <v>16</v>
      </c>
      <c r="C20" s="29"/>
      <c r="F20" s="10"/>
    </row>
    <row r="21" spans="1:6" x14ac:dyDescent="0.2">
      <c r="A21" s="684"/>
      <c r="B21" s="28" t="s">
        <v>17</v>
      </c>
      <c r="C21" s="29"/>
      <c r="F21" s="10"/>
    </row>
    <row r="22" spans="1:6" x14ac:dyDescent="0.2">
      <c r="A22" s="684"/>
      <c r="B22" s="28" t="s">
        <v>18</v>
      </c>
      <c r="C22" s="29"/>
      <c r="F22" s="10"/>
    </row>
    <row r="23" spans="1:6" ht="13.5" x14ac:dyDescent="0.25">
      <c r="A23" s="684">
        <v>3</v>
      </c>
      <c r="B23" s="31" t="s">
        <v>19</v>
      </c>
      <c r="C23" s="434">
        <f>SUM(C24:C27)</f>
        <v>0</v>
      </c>
      <c r="D23" s="10" t="str">
        <f>+IF(C23=C28,"","Зээлдэгчийн боловсролын судалгааг нөхнө үү")</f>
        <v/>
      </c>
      <c r="E23" s="10"/>
      <c r="F23" s="10"/>
    </row>
    <row r="24" spans="1:6" x14ac:dyDescent="0.2">
      <c r="A24" s="684"/>
      <c r="B24" s="32" t="s">
        <v>20</v>
      </c>
      <c r="C24" s="29"/>
      <c r="F24" s="10"/>
    </row>
    <row r="25" spans="1:6" x14ac:dyDescent="0.2">
      <c r="A25" s="684"/>
      <c r="B25" s="32" t="s">
        <v>21</v>
      </c>
      <c r="C25" s="29"/>
      <c r="F25" s="10"/>
    </row>
    <row r="26" spans="1:6" x14ac:dyDescent="0.2">
      <c r="A26" s="684"/>
      <c r="B26" s="28" t="s">
        <v>22</v>
      </c>
      <c r="C26" s="29"/>
      <c r="F26" s="10"/>
    </row>
    <row r="27" spans="1:6" x14ac:dyDescent="0.2">
      <c r="A27" s="684"/>
      <c r="B27" s="28" t="s">
        <v>23</v>
      </c>
      <c r="C27" s="29"/>
      <c r="F27" s="10"/>
    </row>
    <row r="28" spans="1:6" ht="13.5" x14ac:dyDescent="0.25">
      <c r="A28" s="684">
        <v>4</v>
      </c>
      <c r="B28" s="31" t="s">
        <v>24</v>
      </c>
      <c r="C28" s="434">
        <f>SUM(C29:C33)</f>
        <v>0</v>
      </c>
      <c r="D28" s="10" t="str">
        <f>IF(SUM(C24:C27)=SUM(C29:C33),"","Зээлдэгчдийн насжилт болон боловсролын утга тэнцүү байх шаардлагатай")</f>
        <v/>
      </c>
      <c r="F28" s="10"/>
    </row>
    <row r="29" spans="1:6" x14ac:dyDescent="0.2">
      <c r="A29" s="684"/>
      <c r="B29" s="33" t="s">
        <v>25</v>
      </c>
      <c r="C29" s="29"/>
      <c r="F29" s="10"/>
    </row>
    <row r="30" spans="1:6" x14ac:dyDescent="0.2">
      <c r="A30" s="684"/>
      <c r="B30" s="33" t="s">
        <v>26</v>
      </c>
      <c r="C30" s="29"/>
      <c r="F30" s="10"/>
    </row>
    <row r="31" spans="1:6" x14ac:dyDescent="0.2">
      <c r="A31" s="684"/>
      <c r="B31" s="33" t="s">
        <v>27</v>
      </c>
      <c r="C31" s="29"/>
      <c r="F31" s="10"/>
    </row>
    <row r="32" spans="1:6" x14ac:dyDescent="0.2">
      <c r="A32" s="684"/>
      <c r="B32" s="33" t="s">
        <v>28</v>
      </c>
      <c r="C32" s="29"/>
      <c r="F32" s="10"/>
    </row>
    <row r="33" spans="1:6" x14ac:dyDescent="0.2">
      <c r="A33" s="684"/>
      <c r="B33" s="33" t="s">
        <v>29</v>
      </c>
      <c r="C33" s="29"/>
    </row>
    <row r="34" spans="1:6" x14ac:dyDescent="0.2">
      <c r="A34" s="441" t="s">
        <v>30</v>
      </c>
      <c r="B34" s="685" t="s">
        <v>31</v>
      </c>
      <c r="C34" s="685"/>
    </row>
    <row r="35" spans="1:6" x14ac:dyDescent="0.2">
      <c r="A35" s="686">
        <v>7</v>
      </c>
      <c r="B35" s="34" t="s">
        <v>32</v>
      </c>
      <c r="C35" s="36"/>
      <c r="D35" s="10" t="str">
        <f>+IF(C35&gt;0,"","Утга нөхөх")</f>
        <v>Утга нөхөх</v>
      </c>
      <c r="E35" s="10"/>
    </row>
    <row r="36" spans="1:6" x14ac:dyDescent="0.2">
      <c r="A36" s="686"/>
      <c r="B36" s="37" t="s">
        <v>33</v>
      </c>
      <c r="C36" s="35"/>
      <c r="D36" s="10" t="str">
        <f>+IF(C36&gt;0,IF(C36&lt;=C35,"","Зөвхөн эмэгтэй ажилтнуудын тоог оруулна уу!"),"Утга нөхөх")</f>
        <v>Утга нөхөх</v>
      </c>
      <c r="E36" s="10"/>
    </row>
    <row r="37" spans="1:6" x14ac:dyDescent="0.2">
      <c r="A37" s="679">
        <v>9</v>
      </c>
      <c r="B37" s="27" t="s">
        <v>35</v>
      </c>
      <c r="C37" s="41"/>
      <c r="D37" s="10" t="str">
        <f>+IF(C37&gt;0,"","Сонгох")</f>
        <v>Сонгох</v>
      </c>
      <c r="E37" s="10"/>
    </row>
    <row r="38" spans="1:6" x14ac:dyDescent="0.2">
      <c r="A38" s="679"/>
      <c r="B38" s="42" t="s">
        <v>41</v>
      </c>
      <c r="C38" s="39"/>
      <c r="D38" s="10" t="str">
        <f>+IF(C38&gt;0,"","Утга нөхөх")</f>
        <v>Утга нөхөх</v>
      </c>
      <c r="E38" s="10"/>
    </row>
    <row r="39" spans="1:6" x14ac:dyDescent="0.2">
      <c r="A39" s="679"/>
      <c r="B39" s="42" t="s">
        <v>43</v>
      </c>
      <c r="C39" s="39"/>
      <c r="D39" s="10" t="str">
        <f>+IF(C39&gt;0,"","Утга нөхөх")</f>
        <v>Утга нөхөх</v>
      </c>
      <c r="E39" s="10"/>
    </row>
    <row r="40" spans="1:6" x14ac:dyDescent="0.2">
      <c r="A40" s="679">
        <v>10</v>
      </c>
      <c r="B40" s="687" t="s">
        <v>1151</v>
      </c>
      <c r="C40" s="688"/>
      <c r="D40" s="10"/>
      <c r="E40" s="10"/>
    </row>
    <row r="41" spans="1:6" x14ac:dyDescent="0.2">
      <c r="A41" s="679"/>
      <c r="B41" s="49" t="s">
        <v>44</v>
      </c>
      <c r="C41" s="120"/>
      <c r="D41" s="10" t="str">
        <f>IF(C41&gt;200000,"","Заавал нөхнө үү!")</f>
        <v>Заавал нөхнө үү!</v>
      </c>
      <c r="E41" s="10"/>
    </row>
    <row r="42" spans="1:6" ht="15" x14ac:dyDescent="0.25">
      <c r="A42" s="679"/>
      <c r="B42" s="49" t="s">
        <v>45</v>
      </c>
      <c r="C42" s="438"/>
      <c r="D42" s="10" t="str">
        <f>IF(C42&gt;0,"","Заавал нөхнө үү!")</f>
        <v>Заавал нөхнө үү!</v>
      </c>
      <c r="E42" s="10"/>
    </row>
    <row r="43" spans="1:6" x14ac:dyDescent="0.2">
      <c r="A43" s="679"/>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80">
        <v>17</v>
      </c>
      <c r="B46" s="681" t="s">
        <v>37</v>
      </c>
      <c r="C46" s="681"/>
    </row>
    <row r="47" spans="1:6" x14ac:dyDescent="0.2">
      <c r="A47" s="680"/>
      <c r="B47" s="46" t="s">
        <v>1120</v>
      </c>
      <c r="C47" s="47"/>
      <c r="D47" s="10" t="str">
        <f>IF(C47&gt;0,IF(C50&gt;0,"","C50 нүдэнд харгалзах дүнг оруулна уу"),"")</f>
        <v/>
      </c>
      <c r="E47" s="10"/>
    </row>
    <row r="48" spans="1:6" x14ac:dyDescent="0.2">
      <c r="A48" s="680"/>
      <c r="B48" s="46" t="s">
        <v>1121</v>
      </c>
      <c r="C48" s="47"/>
      <c r="D48" s="10" t="str">
        <f>IF(C48&gt;0,IF(C51&gt;0,"","C51 нүдэнд харгалзах дүнг оруулна уу"),"")</f>
        <v/>
      </c>
      <c r="E48" s="10"/>
    </row>
    <row r="49" spans="1:7" x14ac:dyDescent="0.2">
      <c r="A49" s="680"/>
      <c r="B49" s="681" t="s">
        <v>38</v>
      </c>
      <c r="C49" s="681"/>
      <c r="D49" s="10"/>
      <c r="E49" s="10"/>
    </row>
    <row r="50" spans="1:7" x14ac:dyDescent="0.2">
      <c r="A50" s="680"/>
      <c r="B50" s="46" t="s">
        <v>1122</v>
      </c>
      <c r="C50" s="48"/>
      <c r="D50" s="10"/>
      <c r="E50" s="10"/>
    </row>
    <row r="51" spans="1:7" x14ac:dyDescent="0.2">
      <c r="A51" s="680"/>
      <c r="B51" s="46" t="s">
        <v>1123</v>
      </c>
      <c r="C51" s="48"/>
      <c r="D51" s="10"/>
      <c r="E51" s="10"/>
    </row>
    <row r="52" spans="1:7" ht="25.5" x14ac:dyDescent="0.2">
      <c r="A52" s="640">
        <v>18</v>
      </c>
      <c r="B52" s="672" t="s">
        <v>1170</v>
      </c>
      <c r="C52" s="673"/>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82" t="s">
        <v>39</v>
      </c>
      <c r="B56" s="682"/>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78" t="s">
        <v>1101</v>
      </c>
      <c r="C60" s="678"/>
    </row>
    <row r="61" spans="1:7" x14ac:dyDescent="0.2">
      <c r="A61" s="51"/>
      <c r="B61" s="19"/>
      <c r="C61" s="19"/>
    </row>
    <row r="62" spans="1:7" x14ac:dyDescent="0.2">
      <c r="A62" s="51"/>
      <c r="B62" s="678" t="s">
        <v>1102</v>
      </c>
      <c r="C62" s="678"/>
    </row>
    <row r="63" spans="1:7" x14ac:dyDescent="0.2">
      <c r="A63" s="51"/>
      <c r="B63" s="19"/>
      <c r="C63" s="19"/>
    </row>
    <row r="64" spans="1:7" x14ac:dyDescent="0.2">
      <c r="A64" s="51"/>
      <c r="B64" s="678"/>
      <c r="C64" s="678"/>
    </row>
  </sheetData>
  <sheetProtection password="CA9F" sheet="1" objects="1" scenarios="1"/>
  <mergeCells count="21">
    <mergeCell ref="A2:C2"/>
    <mergeCell ref="A3:C3"/>
    <mergeCell ref="A4:C4"/>
    <mergeCell ref="A7:B7"/>
    <mergeCell ref="B9:C9"/>
    <mergeCell ref="A10:A15"/>
    <mergeCell ref="A16:A22"/>
    <mergeCell ref="A23:A27"/>
    <mergeCell ref="A28:A33"/>
    <mergeCell ref="B60:C60"/>
    <mergeCell ref="B34:C34"/>
    <mergeCell ref="A35:A36"/>
    <mergeCell ref="B40:C40"/>
    <mergeCell ref="B62:C62"/>
    <mergeCell ref="B64:C64"/>
    <mergeCell ref="A37:A39"/>
    <mergeCell ref="A40:A43"/>
    <mergeCell ref="A46:A51"/>
    <mergeCell ref="B46:C46"/>
    <mergeCell ref="B49:C49"/>
    <mergeCell ref="A56:B56"/>
  </mergeCells>
  <dataValidations count="7">
    <dataValidation type="list" allowBlank="1" showInputMessage="1" showErrorMessage="1" errorTitle="Сонгох" error="Тохирох утгыг сонгох_x000a_" sqref="C37">
      <formula1>$H$11:$H$12</formula1>
    </dataValidation>
    <dataValidation type="whole" allowBlank="1" showInputMessage="1" showErrorMessage="1" error="Зөвхөн эмэгтэй ажилтны тоог оруулна уу!" sqref="C36">
      <formula1>0</formula1>
      <formula2>C35</formula2>
    </dataValidation>
    <dataValidation type="whole" allowBlank="1" showInputMessage="1" showErrorMessage="1" error="СМА-д хүргүүлсэн гүйлгээний ТООг оруулна уу" sqref="C47:C48">
      <formula1>1</formula1>
      <formula2>10000</formula2>
    </dataValidation>
    <dataValidation type="decimal" allowBlank="1" showInputMessage="1" showErrorMessage="1" error="20 сая төгрөгөөс дээш бэлэн мөнгөний гүйлгээний ДҮНг оруулна уу!" sqref="C50">
      <formula1>20000000</formula1>
      <formula2>1E+37</formula2>
    </dataValidation>
    <dataValidation type="decimal" allowBlank="1" showInputMessage="1" showErrorMessage="1" error="Сэжигтэй гүйлгээний ДҮНг оруулна уу." sqref="C51">
      <formula1>1000000</formula1>
      <formula2>1E+34</formula2>
    </dataValidation>
    <dataValidation type="whole" allowBlank="1" showInputMessage="1" showErrorMessage="1" error="Харилцагчдийн тоог оруулна уу." sqref="C11:C15">
      <formula1>0</formula1>
      <formula2>2000000</formula2>
    </dataValidation>
    <dataValidation type="whole" allowBlank="1" showInputMessage="1" showErrorMessage="1" error="Зээлдэгчдийн тоог оруулна уу." sqref="C17:C18 C20:C22 C24:C27 C29:C33">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89" t="s">
        <v>1010</v>
      </c>
      <c r="B2" s="689"/>
      <c r="C2" s="689"/>
      <c r="D2" s="689"/>
      <c r="E2" s="689"/>
      <c r="F2" s="689"/>
      <c r="G2" s="689"/>
      <c r="H2" s="689"/>
      <c r="I2" s="330"/>
      <c r="J2" s="2"/>
      <c r="K2" s="2"/>
      <c r="L2" s="2"/>
      <c r="M2" s="2"/>
      <c r="N2" s="2"/>
      <c r="O2" s="2"/>
      <c r="P2" s="2"/>
      <c r="Q2" s="2"/>
      <c r="R2" s="2"/>
      <c r="S2" s="2"/>
      <c r="T2" s="2"/>
      <c r="U2" s="2"/>
      <c r="V2" s="2"/>
      <c r="W2" s="2"/>
      <c r="X2" s="2"/>
      <c r="Y2" s="2"/>
      <c r="Z2" s="2"/>
    </row>
    <row r="3" spans="1:26" x14ac:dyDescent="0.2">
      <c r="A3" s="711" t="str">
        <f>+BALANCE!A3</f>
        <v>БАНК БУС САНХҮҮГИЙН БАЙГУУЛЛАГЫН НЭР</v>
      </c>
      <c r="B3" s="711"/>
      <c r="C3" s="711"/>
      <c r="D3" s="711"/>
      <c r="E3" s="711"/>
      <c r="F3" s="711"/>
      <c r="G3" s="711"/>
      <c r="H3" s="711"/>
      <c r="I3" s="331"/>
      <c r="J3" s="105"/>
      <c r="K3" s="105"/>
      <c r="L3" s="105"/>
      <c r="M3" s="105"/>
      <c r="N3" s="105"/>
      <c r="O3" s="105"/>
      <c r="P3" s="105"/>
      <c r="Q3" s="105"/>
      <c r="R3" s="105"/>
      <c r="S3" s="105"/>
      <c r="T3" s="105"/>
      <c r="U3" s="105"/>
      <c r="V3" s="105"/>
      <c r="W3" s="105"/>
      <c r="X3" s="105"/>
      <c r="Y3" s="105"/>
      <c r="Z3" s="105"/>
    </row>
    <row r="4" spans="1:26" x14ac:dyDescent="0.2">
      <c r="A4" s="689" t="str">
        <f>+BALANCE!A4</f>
        <v>БАНК БУС САНХҮҮГИЙН БАЙГУУЛЛАГА</v>
      </c>
      <c r="B4" s="689"/>
      <c r="C4" s="689"/>
      <c r="D4" s="689"/>
      <c r="E4" s="689"/>
      <c r="F4" s="689"/>
      <c r="G4" s="689"/>
      <c r="H4" s="689"/>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2">
        <f>+BALANCE!A6</f>
        <v>44286</v>
      </c>
      <c r="B6" s="712"/>
      <c r="H6" s="835" t="s">
        <v>443</v>
      </c>
      <c r="I6" s="835"/>
    </row>
    <row r="7" spans="1:26" ht="14.25" customHeight="1" x14ac:dyDescent="0.2">
      <c r="A7" s="937" t="s">
        <v>2</v>
      </c>
      <c r="B7" s="937" t="s">
        <v>1011</v>
      </c>
      <c r="C7" s="944" t="s">
        <v>1012</v>
      </c>
      <c r="D7" s="944"/>
      <c r="E7" s="944"/>
      <c r="F7" s="944"/>
      <c r="G7" s="944"/>
      <c r="H7" s="944"/>
      <c r="I7" s="944"/>
    </row>
    <row r="8" spans="1:26" x14ac:dyDescent="0.2">
      <c r="A8" s="937"/>
      <c r="B8" s="937"/>
      <c r="C8" s="943" t="s">
        <v>1013</v>
      </c>
      <c r="D8" s="943"/>
      <c r="E8" s="943"/>
      <c r="F8" s="944" t="s">
        <v>1014</v>
      </c>
      <c r="G8" s="944"/>
      <c r="H8" s="944"/>
      <c r="I8" s="945" t="s">
        <v>534</v>
      </c>
    </row>
    <row r="9" spans="1:26" s="16" customFormat="1" x14ac:dyDescent="0.25">
      <c r="A9" s="937"/>
      <c r="B9" s="937"/>
      <c r="C9" s="946" t="s">
        <v>1015</v>
      </c>
      <c r="D9" s="875" t="s">
        <v>1016</v>
      </c>
      <c r="E9" s="875" t="s">
        <v>1017</v>
      </c>
      <c r="F9" s="946" t="s">
        <v>1015</v>
      </c>
      <c r="G9" s="875" t="s">
        <v>1016</v>
      </c>
      <c r="H9" s="875" t="s">
        <v>1017</v>
      </c>
      <c r="I9" s="945"/>
    </row>
    <row r="10" spans="1:26" s="16" customFormat="1" ht="15.75" customHeight="1" x14ac:dyDescent="0.25">
      <c r="A10" s="937"/>
      <c r="B10" s="937"/>
      <c r="C10" s="946"/>
      <c r="D10" s="875"/>
      <c r="E10" s="875"/>
      <c r="F10" s="946"/>
      <c r="G10" s="875"/>
      <c r="H10" s="875"/>
      <c r="I10" s="945"/>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42" t="s">
        <v>829</v>
      </c>
      <c r="B20" s="942"/>
      <c r="C20" s="417">
        <f t="shared" ref="C20:H20" si="0">+SUM(C11:C19)</f>
        <v>0</v>
      </c>
      <c r="D20" s="417">
        <f t="shared" si="0"/>
        <v>0</v>
      </c>
      <c r="E20" s="418">
        <f>+SUM(E11:E19)</f>
        <v>0</v>
      </c>
      <c r="F20" s="418">
        <f t="shared" si="0"/>
        <v>0</v>
      </c>
      <c r="G20" s="418">
        <f t="shared" si="0"/>
        <v>0</v>
      </c>
      <c r="H20" s="418">
        <f t="shared" si="0"/>
        <v>0</v>
      </c>
      <c r="I20" s="419"/>
    </row>
    <row r="21" spans="1:9" x14ac:dyDescent="0.2">
      <c r="G21" s="940" t="s">
        <v>993</v>
      </c>
      <c r="H21" s="940"/>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822" t="str">
        <f>+BALANCE!D361</f>
        <v>ГҮЙЦЭТГЭХ ЗАХИРАЛ.................................................................//</v>
      </c>
      <c r="E28" s="822"/>
      <c r="F28" s="822"/>
      <c r="G28" s="822"/>
    </row>
    <row r="29" spans="1:9" x14ac:dyDescent="0.2">
      <c r="B29" s="139"/>
      <c r="C29" s="139"/>
      <c r="D29" s="139"/>
      <c r="E29" s="139"/>
      <c r="F29" s="139"/>
    </row>
    <row r="30" spans="1:9" x14ac:dyDescent="0.2">
      <c r="B30" s="178"/>
      <c r="C30" s="178"/>
      <c r="D30" s="822" t="str">
        <f>+BALANCE!D363</f>
        <v>ЕРӨНХИЙ НЯГТЛАН БОДОГЧ....................................................//</v>
      </c>
      <c r="E30" s="822"/>
      <c r="F30" s="822"/>
      <c r="G30" s="822"/>
    </row>
    <row r="31" spans="1:9" x14ac:dyDescent="0.2">
      <c r="B31" s="139"/>
      <c r="C31" s="139"/>
      <c r="D31" s="139"/>
      <c r="E31" s="139"/>
      <c r="F31" s="139"/>
    </row>
    <row r="32" spans="1:9" x14ac:dyDescent="0.2">
      <c r="B32" s="178"/>
      <c r="C32" s="178"/>
      <c r="D32" s="822">
        <f>+BALANCE!D365</f>
        <v>0</v>
      </c>
      <c r="E32" s="822"/>
      <c r="F32" s="822"/>
      <c r="G32" s="822"/>
    </row>
  </sheetData>
  <sheetProtection password="CA9F" sheet="1"/>
  <mergeCells count="22">
    <mergeCell ref="D32:G32"/>
    <mergeCell ref="D30:G30"/>
    <mergeCell ref="D28:G28"/>
    <mergeCell ref="I8:I10"/>
    <mergeCell ref="C9:C10"/>
    <mergeCell ref="D9:D10"/>
    <mergeCell ref="E9:E10"/>
    <mergeCell ref="F9:F10"/>
    <mergeCell ref="A20:B20"/>
    <mergeCell ref="G21:H21"/>
    <mergeCell ref="C8:E8"/>
    <mergeCell ref="F8:H8"/>
    <mergeCell ref="G9:G10"/>
    <mergeCell ref="H9:H10"/>
    <mergeCell ref="A7:A10"/>
    <mergeCell ref="B7:B10"/>
    <mergeCell ref="C7:I7"/>
    <mergeCell ref="A2:H2"/>
    <mergeCell ref="A3:H3"/>
    <mergeCell ref="A4:H4"/>
    <mergeCell ref="A6:B6"/>
    <mergeCell ref="H6:I6"/>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89" t="s">
        <v>1022</v>
      </c>
      <c r="B2" s="689"/>
      <c r="C2" s="689"/>
      <c r="D2" s="689"/>
      <c r="E2" s="689"/>
    </row>
    <row r="3" spans="1:5" x14ac:dyDescent="0.2">
      <c r="A3" s="711" t="str">
        <f>+BALANCE!A3</f>
        <v>БАНК БУС САНХҮҮГИЙН БАЙГУУЛЛАГЫН НЭР</v>
      </c>
      <c r="B3" s="711"/>
      <c r="C3" s="711"/>
      <c r="D3" s="711"/>
      <c r="E3" s="711"/>
    </row>
    <row r="4" spans="1:5" x14ac:dyDescent="0.2">
      <c r="A4" s="689" t="str">
        <f>+BALANCE!A4</f>
        <v>БАНК БУС САНХҮҮГИЙН БАЙГУУЛЛАГА</v>
      </c>
      <c r="B4" s="689"/>
      <c r="C4" s="689"/>
      <c r="D4" s="689"/>
      <c r="E4" s="689"/>
    </row>
    <row r="5" spans="1:5" x14ac:dyDescent="0.2">
      <c r="A5" s="1"/>
      <c r="B5" s="1"/>
      <c r="C5" s="1"/>
      <c r="D5" s="1"/>
      <c r="E5" s="18"/>
    </row>
    <row r="6" spans="1:5" x14ac:dyDescent="0.2">
      <c r="A6" s="948">
        <f>+BALANCE!A6</f>
        <v>44286</v>
      </c>
      <c r="B6" s="948"/>
    </row>
    <row r="7" spans="1:5" x14ac:dyDescent="0.2">
      <c r="A7" s="335" t="s">
        <v>2</v>
      </c>
      <c r="B7" s="22" t="s">
        <v>1023</v>
      </c>
      <c r="C7" s="335" t="s">
        <v>1024</v>
      </c>
      <c r="D7" s="336" t="s">
        <v>1025</v>
      </c>
      <c r="E7" s="335" t="s">
        <v>1026</v>
      </c>
    </row>
    <row r="8" spans="1:5" x14ac:dyDescent="0.2">
      <c r="A8" s="335" t="s">
        <v>767</v>
      </c>
      <c r="B8" s="693" t="s">
        <v>1027</v>
      </c>
      <c r="C8" s="693"/>
      <c r="D8" s="693"/>
      <c r="E8" s="693"/>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93" t="s">
        <v>1030</v>
      </c>
      <c r="C12" s="693"/>
      <c r="D12" s="693"/>
      <c r="E12" s="693"/>
    </row>
    <row r="13" spans="1:5" x14ac:dyDescent="0.2">
      <c r="A13" s="45">
        <v>4</v>
      </c>
      <c r="B13" s="40" t="s">
        <v>1030</v>
      </c>
      <c r="C13" s="45" t="s">
        <v>1031</v>
      </c>
      <c r="D13" s="341" t="str">
        <f>+Liquidity!E27</f>
        <v>-</v>
      </c>
      <c r="E13" s="359" t="str">
        <f>+Liquidity!E28</f>
        <v>-</v>
      </c>
    </row>
    <row r="14" spans="1:5" x14ac:dyDescent="0.2">
      <c r="A14" s="335" t="s">
        <v>778</v>
      </c>
      <c r="B14" s="693" t="s">
        <v>1032</v>
      </c>
      <c r="C14" s="693"/>
      <c r="D14" s="693"/>
      <c r="E14" s="693"/>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93" t="s">
        <v>1046</v>
      </c>
      <c r="C25" s="693"/>
      <c r="D25" s="693"/>
      <c r="E25" s="693"/>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93" t="s">
        <v>1076</v>
      </c>
      <c r="C27" s="693"/>
      <c r="D27" s="693"/>
      <c r="E27" s="693"/>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93" t="s">
        <v>1051</v>
      </c>
      <c r="C30" s="693"/>
      <c r="D30" s="693"/>
      <c r="E30" s="693"/>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93" t="s">
        <v>1056</v>
      </c>
      <c r="C32" s="693"/>
      <c r="D32" s="693"/>
      <c r="E32" s="693"/>
    </row>
    <row r="33" spans="1:5" ht="15.75" customHeight="1" x14ac:dyDescent="0.2">
      <c r="A33" s="45">
        <v>19</v>
      </c>
      <c r="B33" s="40" t="s">
        <v>1057</v>
      </c>
      <c r="C33" s="947" t="e">
        <f>+INCOME!E140/((Statistic!C44+BALANCESHEET!C116)/2)</f>
        <v>#DIV/0!</v>
      </c>
      <c r="D33" s="947"/>
      <c r="E33" s="947"/>
    </row>
    <row r="34" spans="1:5" ht="15.75" customHeight="1" x14ac:dyDescent="0.2">
      <c r="A34" s="45">
        <v>20</v>
      </c>
      <c r="B34" s="40" t="s">
        <v>1058</v>
      </c>
      <c r="C34" s="947" t="e">
        <f>+INCOME!E140/((Statistic!C45+BALANCESHEET!G82)/2)</f>
        <v>#DIV/0!</v>
      </c>
      <c r="D34" s="947"/>
      <c r="E34" s="947"/>
    </row>
    <row r="37" spans="1:5" x14ac:dyDescent="0.2">
      <c r="A37" s="682" t="s">
        <v>39</v>
      </c>
      <c r="B37" s="682"/>
      <c r="C37" s="136"/>
      <c r="D37" s="13"/>
      <c r="E37" s="51"/>
    </row>
    <row r="38" spans="1:5" x14ac:dyDescent="0.2">
      <c r="A38" s="71"/>
      <c r="B38" s="137"/>
      <c r="C38" s="136"/>
      <c r="D38" s="13"/>
      <c r="E38" s="51"/>
    </row>
    <row r="39" spans="1:5" x14ac:dyDescent="0.2">
      <c r="A39" s="134"/>
      <c r="B39" s="17" t="s">
        <v>441</v>
      </c>
      <c r="C39" s="138"/>
      <c r="D39" s="17"/>
    </row>
    <row r="41" spans="1:5" x14ac:dyDescent="0.2">
      <c r="B41" s="949" t="str">
        <f>+BALANCE!D361</f>
        <v>ГҮЙЦЭТГЭХ ЗАХИРАЛ.................................................................//</v>
      </c>
      <c r="C41" s="949"/>
      <c r="D41" s="949"/>
    </row>
    <row r="43" spans="1:5" x14ac:dyDescent="0.2">
      <c r="B43" s="949" t="str">
        <f>+BALANCE!D363</f>
        <v>ЕРӨНХИЙ НЯГТЛАН БОДОГЧ....................................................//</v>
      </c>
      <c r="C43" s="949"/>
      <c r="D43" s="949"/>
    </row>
    <row r="45" spans="1:5" x14ac:dyDescent="0.2">
      <c r="B45" s="949">
        <f>+BALANCE!D365</f>
        <v>0</v>
      </c>
      <c r="C45" s="949"/>
      <c r="D45" s="949"/>
    </row>
  </sheetData>
  <sheetProtection password="CA9F" sheet="1"/>
  <mergeCells count="17">
    <mergeCell ref="C34:E34"/>
    <mergeCell ref="A37:B37"/>
    <mergeCell ref="B41:D41"/>
    <mergeCell ref="B43:D43"/>
    <mergeCell ref="B45:D45"/>
    <mergeCell ref="C33:E33"/>
    <mergeCell ref="A2:E2"/>
    <mergeCell ref="A3:E3"/>
    <mergeCell ref="A4:E4"/>
    <mergeCell ref="A6:B6"/>
    <mergeCell ref="B8:E8"/>
    <mergeCell ref="B12:E12"/>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2:I365"/>
  <sheetViews>
    <sheetView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695" t="s">
        <v>48</v>
      </c>
      <c r="B2" s="695"/>
      <c r="C2" s="695"/>
      <c r="D2" s="695"/>
      <c r="E2" s="695"/>
      <c r="F2" s="695"/>
      <c r="G2" s="695"/>
      <c r="H2" s="695"/>
    </row>
    <row r="3" spans="1:9" x14ac:dyDescent="0.25">
      <c r="A3" s="696" t="str">
        <f>+Statistic!A3</f>
        <v>БАНК БУС САНХҮҮГИЙН БАЙГУУЛЛАГЫН НЭР</v>
      </c>
      <c r="B3" s="696"/>
      <c r="C3" s="696"/>
      <c r="D3" s="696"/>
      <c r="E3" s="696"/>
      <c r="F3" s="696"/>
      <c r="G3" s="696"/>
      <c r="H3" s="696"/>
    </row>
    <row r="4" spans="1:9" ht="13.5" customHeight="1" x14ac:dyDescent="0.25">
      <c r="A4" s="697" t="s">
        <v>1</v>
      </c>
      <c r="B4" s="697"/>
      <c r="C4" s="697"/>
      <c r="D4" s="697"/>
      <c r="E4" s="697"/>
      <c r="F4" s="697"/>
      <c r="G4" s="697"/>
      <c r="H4" s="697"/>
    </row>
    <row r="5" spans="1:9" ht="13.5" customHeight="1" x14ac:dyDescent="0.25">
      <c r="A5" s="55"/>
      <c r="B5" s="55"/>
      <c r="C5" s="55"/>
      <c r="D5" s="55"/>
      <c r="E5" s="55"/>
      <c r="F5" s="55"/>
      <c r="G5" s="55"/>
      <c r="H5" s="55"/>
    </row>
    <row r="6" spans="1:9" x14ac:dyDescent="0.25">
      <c r="A6" s="698">
        <f>+Statistic!A7</f>
        <v>44286</v>
      </c>
      <c r="B6" s="698"/>
      <c r="H6" s="362" t="s">
        <v>49</v>
      </c>
    </row>
    <row r="7" spans="1:9" ht="15.75" customHeight="1" x14ac:dyDescent="0.25">
      <c r="A7" s="680" t="s">
        <v>50</v>
      </c>
      <c r="B7" s="680"/>
      <c r="C7" s="699" t="s">
        <v>51</v>
      </c>
      <c r="D7" s="700"/>
      <c r="E7" s="680" t="s">
        <v>52</v>
      </c>
      <c r="F7" s="680"/>
      <c r="G7" s="699" t="s">
        <v>51</v>
      </c>
      <c r="H7" s="700"/>
    </row>
    <row r="8" spans="1:9" x14ac:dyDescent="0.25">
      <c r="A8" s="680"/>
      <c r="B8" s="680"/>
      <c r="C8" s="699"/>
      <c r="D8" s="700"/>
      <c r="E8" s="680"/>
      <c r="F8" s="680"/>
      <c r="G8" s="699"/>
      <c r="H8" s="700"/>
    </row>
    <row r="9" spans="1:9" ht="15.75" customHeight="1" x14ac:dyDescent="0.25">
      <c r="A9" s="701" t="s">
        <v>53</v>
      </c>
      <c r="B9" s="701"/>
      <c r="C9" s="701"/>
      <c r="D9" s="452">
        <f>SUM(D10,D34,D52,D136,D155,D174,D186,D230)</f>
        <v>0</v>
      </c>
      <c r="E9" s="701" t="s">
        <v>54</v>
      </c>
      <c r="F9" s="701"/>
      <c r="G9" s="701"/>
      <c r="H9" s="452">
        <f>SUM(H10,H14,H59,H75,H78,H105)</f>
        <v>0</v>
      </c>
    </row>
    <row r="10" spans="1:9" ht="15.75" customHeight="1" x14ac:dyDescent="0.25">
      <c r="A10" s="694" t="s">
        <v>55</v>
      </c>
      <c r="B10" s="694"/>
      <c r="C10" s="453"/>
      <c r="D10" s="452">
        <f>SUM(D11,D18,D23,D28,D31)</f>
        <v>0</v>
      </c>
      <c r="E10" s="694" t="s">
        <v>56</v>
      </c>
      <c r="F10" s="694"/>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702" t="s">
        <v>64</v>
      </c>
      <c r="F14" s="702"/>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4" t="s">
        <v>97</v>
      </c>
      <c r="B34" s="694"/>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4" t="s">
        <v>117</v>
      </c>
      <c r="B52" s="694"/>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4" t="s">
        <v>131</v>
      </c>
      <c r="F59" s="694"/>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4" t="s">
        <v>149</v>
      </c>
      <c r="F75" s="694"/>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4" t="s">
        <v>152</v>
      </c>
      <c r="F78" s="694"/>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4" t="s">
        <v>172</v>
      </c>
      <c r="F105" s="694"/>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701" t="s">
        <v>198</v>
      </c>
      <c r="F132" s="701"/>
      <c r="G132" s="701"/>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702" t="s">
        <v>203</v>
      </c>
      <c r="B136" s="702"/>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701" t="s">
        <v>226</v>
      </c>
      <c r="F151" s="701"/>
      <c r="G151" s="701"/>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702" t="s">
        <v>231</v>
      </c>
      <c r="B155" s="702"/>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702" t="s">
        <v>243</v>
      </c>
      <c r="B174" s="702"/>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702" t="s">
        <v>261</v>
      </c>
      <c r="B186" s="702"/>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702" t="s">
        <v>320</v>
      </c>
      <c r="B230" s="702"/>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701" t="s">
        <v>323</v>
      </c>
      <c r="B241" s="701"/>
      <c r="C241" s="701"/>
      <c r="D241" s="452">
        <f>D242</f>
        <v>0</v>
      </c>
      <c r="F241" s="56"/>
      <c r="G241" s="57"/>
      <c r="H241" s="478"/>
    </row>
    <row r="242" spans="1:8" x14ac:dyDescent="0.25">
      <c r="A242" s="694" t="s">
        <v>324</v>
      </c>
      <c r="B242" s="694"/>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701" t="s">
        <v>335</v>
      </c>
      <c r="B253" s="701"/>
      <c r="C253" s="701"/>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701" t="s">
        <v>404</v>
      </c>
      <c r="B326" s="701"/>
      <c r="C326" s="701"/>
      <c r="D326" s="452">
        <f>SUM(D9,D241,D253)</f>
        <v>0</v>
      </c>
      <c r="E326" s="701" t="s">
        <v>404</v>
      </c>
      <c r="F326" s="701"/>
      <c r="G326" s="701"/>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702" t="s">
        <v>405</v>
      </c>
      <c r="C329" s="704" t="s">
        <v>406</v>
      </c>
      <c r="D329" s="705"/>
      <c r="F329" s="706" t="s">
        <v>407</v>
      </c>
      <c r="G329" s="706"/>
      <c r="H329" s="137">
        <f>+H330-H331</f>
        <v>0</v>
      </c>
    </row>
    <row r="330" spans="1:8" ht="15.75" customHeight="1" x14ac:dyDescent="0.25">
      <c r="B330" s="702"/>
      <c r="C330" s="704"/>
      <c r="D330" s="705"/>
      <c r="F330" s="707" t="s">
        <v>408</v>
      </c>
      <c r="G330" s="707"/>
      <c r="H330" s="137">
        <f>+H151</f>
        <v>0</v>
      </c>
    </row>
    <row r="331" spans="1:8" ht="15.75" customHeight="1" x14ac:dyDescent="0.25">
      <c r="B331" s="471" t="s">
        <v>409</v>
      </c>
      <c r="C331" s="453"/>
      <c r="D331" s="479">
        <f>SUM(D332:D333)</f>
        <v>0</v>
      </c>
      <c r="F331" s="707" t="s">
        <v>410</v>
      </c>
      <c r="G331" s="707"/>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2849.63</v>
      </c>
    </row>
    <row r="336" spans="1:8" x14ac:dyDescent="0.2">
      <c r="B336" s="458" t="s">
        <v>418</v>
      </c>
      <c r="C336" s="442">
        <v>9912</v>
      </c>
      <c r="D336" s="480"/>
      <c r="F336" s="60"/>
      <c r="G336" s="483" t="s">
        <v>419</v>
      </c>
      <c r="H336" s="650">
        <v>3343.76</v>
      </c>
    </row>
    <row r="337" spans="2:8" x14ac:dyDescent="0.2">
      <c r="B337" s="458" t="s">
        <v>420</v>
      </c>
      <c r="C337" s="442">
        <v>9913</v>
      </c>
      <c r="D337" s="480"/>
      <c r="F337" s="60"/>
      <c r="G337" s="483" t="s">
        <v>421</v>
      </c>
      <c r="H337" s="650">
        <v>25.85</v>
      </c>
    </row>
    <row r="338" spans="2:8" x14ac:dyDescent="0.2">
      <c r="B338" s="458" t="s">
        <v>422</v>
      </c>
      <c r="C338" s="442">
        <v>9914</v>
      </c>
      <c r="D338" s="480"/>
      <c r="F338" s="60"/>
      <c r="G338" s="483" t="s">
        <v>423</v>
      </c>
      <c r="H338" s="651">
        <v>3024.44</v>
      </c>
    </row>
    <row r="339" spans="2:8" x14ac:dyDescent="0.2">
      <c r="B339" s="458" t="s">
        <v>424</v>
      </c>
      <c r="C339" s="442">
        <v>9915</v>
      </c>
      <c r="D339" s="480"/>
      <c r="F339" s="60"/>
      <c r="G339" s="483" t="s">
        <v>425</v>
      </c>
      <c r="H339" s="650">
        <v>3919.81</v>
      </c>
    </row>
    <row r="340" spans="2:8" x14ac:dyDescent="0.2">
      <c r="B340" s="458" t="s">
        <v>426</v>
      </c>
      <c r="C340" s="442">
        <v>9916</v>
      </c>
      <c r="D340" s="480"/>
      <c r="F340" s="60"/>
      <c r="G340" s="483" t="s">
        <v>427</v>
      </c>
      <c r="H340" s="650">
        <v>433.59</v>
      </c>
    </row>
    <row r="341" spans="2:8" x14ac:dyDescent="0.2">
      <c r="B341" s="458" t="s">
        <v>428</v>
      </c>
      <c r="C341" s="442">
        <v>9917</v>
      </c>
      <c r="D341" s="480"/>
      <c r="F341" s="60"/>
      <c r="G341" s="483" t="s">
        <v>429</v>
      </c>
      <c r="H341" s="650">
        <v>37.619999999999997</v>
      </c>
    </row>
    <row r="342" spans="2:8" x14ac:dyDescent="0.2">
      <c r="B342" s="458" t="s">
        <v>132</v>
      </c>
      <c r="C342" s="442">
        <v>9918</v>
      </c>
      <c r="D342" s="480"/>
      <c r="F342" s="60"/>
      <c r="G342" s="483" t="s">
        <v>430</v>
      </c>
      <c r="H342" s="650">
        <v>2.5099999999999998</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708" t="s">
        <v>39</v>
      </c>
      <c r="C357" s="709"/>
    </row>
    <row r="359" spans="2:6" ht="15" customHeight="1" x14ac:dyDescent="0.25">
      <c r="B359" s="710" t="s">
        <v>441</v>
      </c>
      <c r="C359" s="710"/>
      <c r="D359" s="710"/>
    </row>
    <row r="361" spans="2:6" x14ac:dyDescent="0.25">
      <c r="D361" s="703" t="str">
        <f>+Statistic!B60</f>
        <v>ГҮЙЦЭТГЭХ ЗАХИРАЛ.................................................................//</v>
      </c>
      <c r="E361" s="703"/>
      <c r="F361" s="703"/>
    </row>
    <row r="362" spans="2:6" x14ac:dyDescent="0.25">
      <c r="D362" s="437"/>
      <c r="E362" s="437"/>
      <c r="F362" s="437"/>
    </row>
    <row r="363" spans="2:6" x14ac:dyDescent="0.25">
      <c r="D363" s="703" t="str">
        <f>+Statistic!B62</f>
        <v>ЕРӨНХИЙ НЯГТЛАН БОДОГЧ....................................................//</v>
      </c>
      <c r="E363" s="703"/>
      <c r="F363" s="703"/>
    </row>
    <row r="364" spans="2:6" x14ac:dyDescent="0.25">
      <c r="D364" s="437"/>
      <c r="E364" s="437"/>
      <c r="F364" s="437"/>
    </row>
    <row r="365" spans="2:6" x14ac:dyDescent="0.25">
      <c r="D365" s="703">
        <f>+Statistic!B64</f>
        <v>0</v>
      </c>
      <c r="E365" s="703"/>
      <c r="F365" s="703"/>
    </row>
  </sheetData>
  <sheetProtection password="CA9F" sheet="1"/>
  <mergeCells count="44">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 ref="A230:B230"/>
    <mergeCell ref="A52:B52"/>
    <mergeCell ref="E59:F59"/>
    <mergeCell ref="E75:F75"/>
    <mergeCell ref="E78:F78"/>
    <mergeCell ref="E105:F105"/>
    <mergeCell ref="E132:G132"/>
    <mergeCell ref="A136:B136"/>
    <mergeCell ref="E151:G151"/>
    <mergeCell ref="A155:B155"/>
    <mergeCell ref="A174:B174"/>
    <mergeCell ref="A186:B186"/>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formula1>5</formula1>
      <formula2>50</formula2>
    </dataValidation>
    <dataValidation operator="greaterThanOrEqual" allowBlank="1" showInputMessage="1" showErrorMessage="1" errorTitle="Огноо буруу" promptTitle="Огноог нөхөх" sqref="C6"/>
    <dataValidation operator="greaterThanOrEqual" allowBlank="1" showInputMessage="1" showErrorMessage="1" sqref="A6:B6"/>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89" t="s">
        <v>442</v>
      </c>
      <c r="B2" s="689"/>
      <c r="C2" s="689"/>
      <c r="D2" s="689"/>
      <c r="E2" s="689"/>
      <c r="F2" s="689"/>
      <c r="G2" s="689"/>
      <c r="H2" s="689"/>
    </row>
    <row r="3" spans="1:8" x14ac:dyDescent="0.2">
      <c r="A3" s="711" t="str">
        <f>+BALANCE!A3</f>
        <v>БАНК БУС САНХҮҮГИЙН БАЙГУУЛЛАГЫН НЭР</v>
      </c>
      <c r="B3" s="711"/>
      <c r="C3" s="711"/>
      <c r="D3" s="711"/>
      <c r="E3" s="711"/>
      <c r="F3" s="711"/>
      <c r="G3" s="711"/>
      <c r="H3" s="711"/>
    </row>
    <row r="4" spans="1:8" x14ac:dyDescent="0.2">
      <c r="A4" s="689" t="str">
        <f>+BALANCE!A4</f>
        <v>БАНК БУС САНХҮҮГИЙН БАЙГУУЛЛАГА</v>
      </c>
      <c r="B4" s="689"/>
      <c r="C4" s="689"/>
      <c r="D4" s="689"/>
      <c r="E4" s="689"/>
      <c r="F4" s="689"/>
      <c r="G4" s="689"/>
      <c r="H4" s="689"/>
    </row>
    <row r="5" spans="1:8" x14ac:dyDescent="0.2">
      <c r="A5" s="1"/>
      <c r="B5" s="1"/>
      <c r="C5" s="1"/>
      <c r="D5" s="1"/>
      <c r="E5" s="1"/>
      <c r="F5" s="1"/>
      <c r="G5" s="1"/>
      <c r="H5" s="1"/>
    </row>
    <row r="6" spans="1:8" ht="15.75" customHeight="1" x14ac:dyDescent="0.2">
      <c r="A6" s="712">
        <f>+BALANCE!A6</f>
        <v>44286</v>
      </c>
      <c r="B6" s="712"/>
      <c r="G6" s="713" t="s">
        <v>443</v>
      </c>
      <c r="H6" s="713"/>
    </row>
    <row r="7" spans="1:8" ht="17.25" customHeight="1" x14ac:dyDescent="0.2">
      <c r="A7" s="719" t="s">
        <v>444</v>
      </c>
      <c r="B7" s="719"/>
      <c r="C7" s="720">
        <f>+BALANCE!D7</f>
        <v>0</v>
      </c>
      <c r="D7" s="714" t="s">
        <v>445</v>
      </c>
      <c r="E7" s="719" t="s">
        <v>446</v>
      </c>
      <c r="F7" s="719"/>
      <c r="G7" s="720">
        <f>+BALANCE!H7</f>
        <v>0</v>
      </c>
      <c r="H7" s="714" t="s">
        <v>445</v>
      </c>
    </row>
    <row r="8" spans="1:8" x14ac:dyDescent="0.2">
      <c r="A8" s="719"/>
      <c r="B8" s="719"/>
      <c r="C8" s="720"/>
      <c r="D8" s="714"/>
      <c r="E8" s="719"/>
      <c r="F8" s="719"/>
      <c r="G8" s="720"/>
      <c r="H8" s="714"/>
    </row>
    <row r="9" spans="1:8" x14ac:dyDescent="0.2">
      <c r="A9" s="715" t="s">
        <v>447</v>
      </c>
      <c r="B9" s="715"/>
      <c r="C9" s="211">
        <f>+C10+C16+C31+C48+C65+C82+C86+C111</f>
        <v>0</v>
      </c>
      <c r="D9" s="212" t="e">
        <f>+C9/C116</f>
        <v>#DIV/0!</v>
      </c>
      <c r="E9" s="716" t="s">
        <v>448</v>
      </c>
      <c r="F9" s="716"/>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16" t="s">
        <v>507</v>
      </c>
      <c r="F82" s="716"/>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17" t="s">
        <v>526</v>
      </c>
      <c r="B112" s="717"/>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18" t="s">
        <v>530</v>
      </c>
      <c r="B116" s="718"/>
      <c r="C116" s="211">
        <f>+C9+C112</f>
        <v>0</v>
      </c>
      <c r="D116" s="212" t="e">
        <f>+C116/C116</f>
        <v>#DIV/0!</v>
      </c>
      <c r="E116" s="718" t="s">
        <v>531</v>
      </c>
      <c r="F116" s="718"/>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78" t="str">
        <f>+BALANCE!D361</f>
        <v>ГҮЙЦЭТГЭХ ЗАХИРАЛ.................................................................//</v>
      </c>
      <c r="D123" s="678"/>
      <c r="E123" s="678"/>
      <c r="F123" s="678"/>
    </row>
    <row r="124" spans="1:8" ht="15" customHeight="1" x14ac:dyDescent="0.2">
      <c r="B124" s="15"/>
      <c r="C124" s="70"/>
      <c r="D124" s="70"/>
      <c r="E124" s="70"/>
      <c r="F124" s="70"/>
    </row>
    <row r="125" spans="1:8" ht="15" customHeight="1" x14ac:dyDescent="0.2">
      <c r="B125" s="15"/>
      <c r="C125" s="678" t="str">
        <f>+BALANCE!D363</f>
        <v>ЕРӨНХИЙ НЯГТЛАН БОДОГЧ....................................................//</v>
      </c>
      <c r="D125" s="678"/>
      <c r="E125" s="678"/>
      <c r="F125" s="678"/>
    </row>
    <row r="126" spans="1:8" ht="15" customHeight="1" x14ac:dyDescent="0.2">
      <c r="B126" s="15"/>
      <c r="C126" s="70"/>
      <c r="D126" s="70"/>
      <c r="E126" s="70"/>
      <c r="F126" s="70"/>
    </row>
    <row r="127" spans="1:8" ht="15" customHeight="1" x14ac:dyDescent="0.2">
      <c r="B127" s="15"/>
      <c r="C127" s="678">
        <f>+BALANCE!D365</f>
        <v>0</v>
      </c>
      <c r="D127" s="678"/>
      <c r="E127" s="678"/>
      <c r="F127" s="678"/>
    </row>
  </sheetData>
  <sheetProtection password="CA9F" sheet="1"/>
  <mergeCells count="20">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 ref="A2:H2"/>
    <mergeCell ref="A3:H3"/>
    <mergeCell ref="A4:H4"/>
    <mergeCell ref="A6:B6"/>
    <mergeCell ref="G6:H6"/>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25" t="s">
        <v>532</v>
      </c>
      <c r="B2" s="725"/>
      <c r="C2" s="725"/>
      <c r="D2" s="725"/>
      <c r="E2" s="725"/>
      <c r="F2" s="725"/>
    </row>
    <row r="3" spans="1:6" x14ac:dyDescent="0.2">
      <c r="A3" s="726" t="str">
        <f>+BALANCE!A3</f>
        <v>БАНК БУС САНХҮҮГИЙН БАЙГУУЛЛАГЫН НЭР</v>
      </c>
      <c r="B3" s="726"/>
      <c r="C3" s="726"/>
      <c r="D3" s="726"/>
      <c r="E3" s="726"/>
      <c r="F3" s="726"/>
    </row>
    <row r="4" spans="1:6" x14ac:dyDescent="0.2">
      <c r="A4" s="725" t="str">
        <f>+BALANCE!A4</f>
        <v>БАНК БУС САНХҮҮГИЙН БАЙГУУЛЛАГА</v>
      </c>
      <c r="B4" s="725"/>
      <c r="C4" s="725"/>
      <c r="D4" s="725"/>
      <c r="E4" s="725"/>
      <c r="F4" s="725"/>
    </row>
    <row r="5" spans="1:6" ht="12.75" customHeight="1" x14ac:dyDescent="0.2">
      <c r="A5" s="727">
        <f>+BALANCE!A6</f>
        <v>44286</v>
      </c>
      <c r="B5" s="727"/>
      <c r="C5" s="727"/>
      <c r="D5" s="728" t="s">
        <v>443</v>
      </c>
      <c r="E5" s="728"/>
      <c r="F5" s="728"/>
    </row>
    <row r="6" spans="1:6" ht="15" customHeight="1" x14ac:dyDescent="0.2">
      <c r="A6" s="721" t="s">
        <v>533</v>
      </c>
      <c r="B6" s="721"/>
      <c r="C6" s="721"/>
      <c r="D6" s="722" t="s">
        <v>51</v>
      </c>
      <c r="E6" s="723">
        <f>BALANCE!D7</f>
        <v>0</v>
      </c>
      <c r="F6" s="724" t="s">
        <v>534</v>
      </c>
    </row>
    <row r="7" spans="1:6" x14ac:dyDescent="0.2">
      <c r="A7" s="721"/>
      <c r="B7" s="721"/>
      <c r="C7" s="721"/>
      <c r="D7" s="722"/>
      <c r="E7" s="723"/>
      <c r="F7" s="724"/>
    </row>
    <row r="8" spans="1:6" ht="15" customHeight="1" x14ac:dyDescent="0.2">
      <c r="A8" s="508" t="s">
        <v>5</v>
      </c>
      <c r="B8" s="730" t="s">
        <v>535</v>
      </c>
      <c r="C8" s="730"/>
      <c r="D8" s="730"/>
      <c r="E8" s="485">
        <f>+SUM(E9,E17,E25,E31)</f>
        <v>0</v>
      </c>
      <c r="F8" s="486" t="e">
        <f>+E8/E138</f>
        <v>#DIV/0!</v>
      </c>
    </row>
    <row r="9" spans="1:6" ht="15.75" customHeight="1" x14ac:dyDescent="0.2">
      <c r="A9" s="487"/>
      <c r="B9" s="488">
        <v>1.1000000000000001</v>
      </c>
      <c r="C9" s="731" t="s">
        <v>536</v>
      </c>
      <c r="D9" s="731"/>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32" t="s">
        <v>545</v>
      </c>
      <c r="D17" s="732"/>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31" t="s">
        <v>553</v>
      </c>
      <c r="D25" s="731"/>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31" t="s">
        <v>559</v>
      </c>
      <c r="D31" s="731"/>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29" t="s">
        <v>572</v>
      </c>
      <c r="C39" s="729"/>
      <c r="D39" s="729"/>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29" t="s">
        <v>577</v>
      </c>
      <c r="C45" s="729"/>
      <c r="D45" s="729"/>
      <c r="E45" s="485">
        <f>+E8-E39</f>
        <v>0</v>
      </c>
      <c r="F45" s="486" t="e">
        <f>+E45/E138</f>
        <v>#DIV/0!</v>
      </c>
    </row>
    <row r="46" spans="1:6" ht="15.75" customHeight="1" x14ac:dyDescent="0.2">
      <c r="A46" s="508" t="s">
        <v>578</v>
      </c>
      <c r="B46" s="729" t="s">
        <v>579</v>
      </c>
      <c r="C46" s="729"/>
      <c r="D46" s="729"/>
      <c r="E46" s="485">
        <f>+SUM(E47,E50,E53)</f>
        <v>0</v>
      </c>
      <c r="F46" s="486" t="e">
        <f>+E46/E138</f>
        <v>#DIV/0!</v>
      </c>
    </row>
    <row r="47" spans="1:6" ht="15" customHeight="1" x14ac:dyDescent="0.2">
      <c r="A47" s="487"/>
      <c r="B47" s="488">
        <v>4.0999999999999996</v>
      </c>
      <c r="C47" s="732" t="s">
        <v>580</v>
      </c>
      <c r="D47" s="732"/>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32" t="s">
        <v>584</v>
      </c>
      <c r="D50" s="732"/>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32" t="s">
        <v>587</v>
      </c>
      <c r="D53" s="732"/>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29" t="s">
        <v>596</v>
      </c>
      <c r="C61" s="729"/>
      <c r="D61" s="729"/>
      <c r="E61" s="485">
        <f>+SUM(E62,E67,E77)</f>
        <v>0</v>
      </c>
      <c r="F61" s="486" t="e">
        <f>+E61/E139</f>
        <v>#DIV/0!</v>
      </c>
    </row>
    <row r="62" spans="1:6" ht="15" customHeight="1" x14ac:dyDescent="0.2">
      <c r="A62" s="491"/>
      <c r="B62" s="488">
        <v>5.0999999999999996</v>
      </c>
      <c r="C62" s="732" t="s">
        <v>597</v>
      </c>
      <c r="D62" s="732"/>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31" t="s">
        <v>603</v>
      </c>
      <c r="D67" s="731"/>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31" t="s">
        <v>614</v>
      </c>
      <c r="D77" s="731"/>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29" t="s">
        <v>652</v>
      </c>
      <c r="C107" s="729"/>
      <c r="D107" s="729"/>
      <c r="E107" s="485">
        <f>+E46-E61</f>
        <v>0</v>
      </c>
      <c r="F107" s="486"/>
    </row>
    <row r="108" spans="1:6" ht="25.5" customHeight="1" x14ac:dyDescent="0.2">
      <c r="A108" s="508" t="s">
        <v>653</v>
      </c>
      <c r="B108" s="734" t="s">
        <v>654</v>
      </c>
      <c r="C108" s="734"/>
      <c r="D108" s="734"/>
      <c r="E108" s="485">
        <f>+E45+E107</f>
        <v>0</v>
      </c>
      <c r="F108" s="486"/>
    </row>
    <row r="109" spans="1:6" ht="15.75" customHeight="1" x14ac:dyDescent="0.2">
      <c r="A109" s="508" t="s">
        <v>655</v>
      </c>
      <c r="B109" s="729" t="s">
        <v>656</v>
      </c>
      <c r="C109" s="729"/>
      <c r="D109" s="729"/>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29" t="s">
        <v>659</v>
      </c>
      <c r="C116" s="729"/>
      <c r="D116" s="729"/>
      <c r="E116" s="485">
        <f>+E108-E109</f>
        <v>0</v>
      </c>
      <c r="F116" s="486"/>
    </row>
    <row r="117" spans="1:6" ht="15.75" customHeight="1" x14ac:dyDescent="0.2">
      <c r="A117" s="508" t="s">
        <v>660</v>
      </c>
      <c r="B117" s="729" t="s">
        <v>661</v>
      </c>
      <c r="C117" s="729"/>
      <c r="D117" s="729"/>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29" t="s">
        <v>663</v>
      </c>
      <c r="C124" s="729"/>
      <c r="D124" s="729"/>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29" t="s">
        <v>665</v>
      </c>
      <c r="C131" s="729"/>
      <c r="D131" s="729"/>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35" t="s">
        <v>667</v>
      </c>
      <c r="C134" s="735"/>
      <c r="D134" s="735"/>
      <c r="E134" s="485">
        <f>+E131+E132-E133</f>
        <v>0</v>
      </c>
      <c r="F134" s="486"/>
    </row>
    <row r="135" spans="1:6" x14ac:dyDescent="0.2">
      <c r="A135" s="509"/>
      <c r="B135" s="733" t="s">
        <v>403</v>
      </c>
      <c r="C135" s="733"/>
      <c r="D135" s="510">
        <v>5701</v>
      </c>
      <c r="E135" s="511">
        <f>+BALANCE!D325/1000</f>
        <v>0</v>
      </c>
      <c r="F135" s="495" t="e">
        <f>+E135/E139</f>
        <v>#DIV/0!</v>
      </c>
    </row>
    <row r="136" spans="1:6" ht="15.75" customHeight="1" x14ac:dyDescent="0.2">
      <c r="A136" s="508" t="s">
        <v>668</v>
      </c>
      <c r="B136" s="735" t="s">
        <v>669</v>
      </c>
      <c r="C136" s="735"/>
      <c r="D136" s="735"/>
      <c r="E136" s="485">
        <f>+E134-E135</f>
        <v>0</v>
      </c>
      <c r="F136" s="486"/>
    </row>
    <row r="138" spans="1:6" ht="15.75" customHeight="1" x14ac:dyDescent="0.2">
      <c r="C138" s="737" t="s">
        <v>670</v>
      </c>
      <c r="D138" s="737"/>
      <c r="E138" s="512">
        <f>+E8+E46+E117+E132</f>
        <v>0</v>
      </c>
      <c r="F138" s="513">
        <v>1</v>
      </c>
    </row>
    <row r="139" spans="1:6" ht="15.75" customHeight="1" x14ac:dyDescent="0.2">
      <c r="C139" s="737" t="s">
        <v>671</v>
      </c>
      <c r="D139" s="737"/>
      <c r="E139" s="512">
        <f>+E39+E61+E109+E124++E133+E135</f>
        <v>0</v>
      </c>
      <c r="F139" s="513">
        <v>1</v>
      </c>
    </row>
    <row r="140" spans="1:6" ht="15.75" customHeight="1" x14ac:dyDescent="0.2">
      <c r="C140" s="738" t="s">
        <v>672</v>
      </c>
      <c r="D140" s="738"/>
      <c r="E140" s="512">
        <f>E138-E139</f>
        <v>0</v>
      </c>
      <c r="F140" s="513">
        <v>1</v>
      </c>
    </row>
    <row r="143" spans="1:6" x14ac:dyDescent="0.2">
      <c r="A143" s="739" t="s">
        <v>39</v>
      </c>
      <c r="B143" s="740"/>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36" t="str">
        <f>+BALANCE!D361</f>
        <v>ГҮЙЦЭТГЭХ ЗАХИРАЛ.................................................................//</v>
      </c>
      <c r="D148" s="736"/>
      <c r="E148" s="736"/>
      <c r="F148" s="736"/>
    </row>
    <row r="149" spans="1:6" x14ac:dyDescent="0.2">
      <c r="A149" s="518"/>
      <c r="B149" s="61"/>
      <c r="C149" s="520"/>
      <c r="D149" s="520"/>
      <c r="E149" s="520"/>
      <c r="F149" s="520"/>
    </row>
    <row r="150" spans="1:6" x14ac:dyDescent="0.2">
      <c r="A150" s="518"/>
      <c r="B150" s="61"/>
      <c r="C150" s="736" t="str">
        <f>+BALANCE!D363</f>
        <v>ЕРӨНХИЙ НЯГТЛАН БОДОГЧ....................................................//</v>
      </c>
      <c r="D150" s="736"/>
      <c r="E150" s="736"/>
      <c r="F150" s="736"/>
    </row>
    <row r="151" spans="1:6" x14ac:dyDescent="0.2">
      <c r="A151" s="518"/>
      <c r="B151" s="61"/>
      <c r="C151" s="520"/>
      <c r="D151" s="520"/>
      <c r="E151" s="520"/>
      <c r="F151" s="520"/>
    </row>
    <row r="152" spans="1:6" x14ac:dyDescent="0.2">
      <c r="A152" s="518"/>
      <c r="B152" s="61"/>
      <c r="C152" s="736">
        <f>+BALANCE!D365</f>
        <v>0</v>
      </c>
      <c r="D152" s="736"/>
      <c r="E152" s="736"/>
      <c r="F152" s="736"/>
    </row>
  </sheetData>
  <sheetProtection password="CA9F" sheet="1"/>
  <mergeCells count="41">
    <mergeCell ref="C148:F148"/>
    <mergeCell ref="C150:F150"/>
    <mergeCell ref="C152:F152"/>
    <mergeCell ref="B136:D136"/>
    <mergeCell ref="C138:D138"/>
    <mergeCell ref="C139:D139"/>
    <mergeCell ref="C140:D140"/>
    <mergeCell ref="A143:B143"/>
    <mergeCell ref="B135:C135"/>
    <mergeCell ref="C62:D62"/>
    <mergeCell ref="C67:D67"/>
    <mergeCell ref="C77:D77"/>
    <mergeCell ref="B107:D107"/>
    <mergeCell ref="B108:D108"/>
    <mergeCell ref="B109:D109"/>
    <mergeCell ref="B116:D116"/>
    <mergeCell ref="B117:D117"/>
    <mergeCell ref="B124:D124"/>
    <mergeCell ref="B131:D131"/>
    <mergeCell ref="B134:D134"/>
    <mergeCell ref="B61:D61"/>
    <mergeCell ref="B8:D8"/>
    <mergeCell ref="C9:D9"/>
    <mergeCell ref="C17:D17"/>
    <mergeCell ref="C25:D25"/>
    <mergeCell ref="C31:D31"/>
    <mergeCell ref="B39:D39"/>
    <mergeCell ref="B45:D45"/>
    <mergeCell ref="B46:D46"/>
    <mergeCell ref="C47:D47"/>
    <mergeCell ref="C50:D50"/>
    <mergeCell ref="C53:D53"/>
    <mergeCell ref="A6:C7"/>
    <mergeCell ref="D6:D7"/>
    <mergeCell ref="E6:E7"/>
    <mergeCell ref="F6:F7"/>
    <mergeCell ref="A2:F2"/>
    <mergeCell ref="A3:F3"/>
    <mergeCell ref="A4:F4"/>
    <mergeCell ref="A5:C5"/>
    <mergeCell ref="D5:F5"/>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741" t="s">
        <v>673</v>
      </c>
      <c r="B2" s="741"/>
      <c r="C2" s="741"/>
      <c r="D2" s="741"/>
      <c r="E2" s="741"/>
    </row>
    <row r="3" spans="1:5" x14ac:dyDescent="0.2">
      <c r="A3" s="742" t="str">
        <f>+BALANCE!A3</f>
        <v>БАНК БУС САНХҮҮГИЙН БАЙГУУЛЛАГЫН НЭР</v>
      </c>
      <c r="B3" s="742"/>
      <c r="C3" s="742"/>
      <c r="D3" s="742"/>
      <c r="E3" s="742"/>
    </row>
    <row r="4" spans="1:5" ht="15" customHeight="1" x14ac:dyDescent="0.2">
      <c r="A4" s="743" t="str">
        <f>+BALANCE!A4</f>
        <v>БАНК БУС САНХҮҮГИЙН БАЙГУУЛЛАГА</v>
      </c>
      <c r="B4" s="743"/>
      <c r="C4" s="743"/>
      <c r="D4" s="743"/>
      <c r="E4" s="743"/>
    </row>
    <row r="5" spans="1:5" ht="15" customHeight="1" x14ac:dyDescent="0.2">
      <c r="A5" s="74"/>
      <c r="B5" s="74"/>
      <c r="C5" s="74"/>
      <c r="D5" s="74"/>
      <c r="E5" s="74"/>
    </row>
    <row r="6" spans="1:5" ht="13.5" thickBot="1" x14ac:dyDescent="0.25">
      <c r="A6" s="744">
        <f>+BALANCE!A6</f>
        <v>44286</v>
      </c>
      <c r="B6" s="745"/>
      <c r="C6" s="75"/>
      <c r="D6" s="141"/>
      <c r="E6" s="142" t="s">
        <v>443</v>
      </c>
    </row>
    <row r="7" spans="1:5" ht="13.5" thickTop="1" x14ac:dyDescent="0.2">
      <c r="A7" s="76"/>
      <c r="B7" s="746" t="s">
        <v>533</v>
      </c>
      <c r="C7" s="747"/>
      <c r="D7" s="748" t="s">
        <v>674</v>
      </c>
      <c r="E7" s="749"/>
    </row>
    <row r="8" spans="1:5" x14ac:dyDescent="0.2">
      <c r="A8" s="77" t="s">
        <v>675</v>
      </c>
      <c r="B8" s="750" t="s">
        <v>676</v>
      </c>
      <c r="C8" s="751"/>
      <c r="D8" s="752">
        <f>+SUM(D9,D19)-D17</f>
        <v>0</v>
      </c>
      <c r="E8" s="753"/>
    </row>
    <row r="9" spans="1:5" x14ac:dyDescent="0.2">
      <c r="A9" s="754" t="s">
        <v>677</v>
      </c>
      <c r="B9" s="755"/>
      <c r="C9" s="755"/>
      <c r="D9" s="756">
        <f>+SUM(D10,-D11,D12:E16)</f>
        <v>0</v>
      </c>
      <c r="E9" s="757"/>
    </row>
    <row r="10" spans="1:5" x14ac:dyDescent="0.2">
      <c r="A10" s="78">
        <v>1</v>
      </c>
      <c r="B10" s="758" t="s">
        <v>678</v>
      </c>
      <c r="C10" s="759"/>
      <c r="D10" s="760">
        <f>+BALANCESHEET!G84</f>
        <v>0</v>
      </c>
      <c r="E10" s="761"/>
    </row>
    <row r="11" spans="1:5" x14ac:dyDescent="0.2">
      <c r="A11" s="79">
        <v>2</v>
      </c>
      <c r="B11" s="762" t="s">
        <v>204</v>
      </c>
      <c r="C11" s="763"/>
      <c r="D11" s="764">
        <f>+BALANCESHEET!G86</f>
        <v>0</v>
      </c>
      <c r="E11" s="765"/>
    </row>
    <row r="12" spans="1:5" x14ac:dyDescent="0.2">
      <c r="A12" s="80">
        <v>3</v>
      </c>
      <c r="B12" s="766" t="s">
        <v>679</v>
      </c>
      <c r="C12" s="767"/>
      <c r="D12" s="764">
        <f>+BALANCESHEET!G88</f>
        <v>0</v>
      </c>
      <c r="E12" s="768"/>
    </row>
    <row r="13" spans="1:5" x14ac:dyDescent="0.2">
      <c r="A13" s="80">
        <v>4</v>
      </c>
      <c r="B13" s="766" t="s">
        <v>211</v>
      </c>
      <c r="C13" s="763"/>
      <c r="D13" s="764">
        <f>+BALANCESHEET!G90</f>
        <v>0</v>
      </c>
      <c r="E13" s="768"/>
    </row>
    <row r="14" spans="1:5" x14ac:dyDescent="0.2">
      <c r="A14" s="80">
        <v>5</v>
      </c>
      <c r="B14" s="766" t="s">
        <v>680</v>
      </c>
      <c r="C14" s="769"/>
      <c r="D14" s="764">
        <f>+BALANCESHEET!G92</f>
        <v>0</v>
      </c>
      <c r="E14" s="768"/>
    </row>
    <row r="15" spans="1:5" x14ac:dyDescent="0.2">
      <c r="A15" s="80">
        <v>6</v>
      </c>
      <c r="B15" s="770" t="s">
        <v>519</v>
      </c>
      <c r="C15" s="771"/>
      <c r="D15" s="764">
        <f>+BALANCESHEET!G95</f>
        <v>0</v>
      </c>
      <c r="E15" s="768"/>
    </row>
    <row r="16" spans="1:5" x14ac:dyDescent="0.2">
      <c r="A16" s="81">
        <v>7</v>
      </c>
      <c r="B16" s="772" t="s">
        <v>520</v>
      </c>
      <c r="C16" s="773"/>
      <c r="D16" s="774">
        <f>+BALANCESHEET!G96</f>
        <v>0</v>
      </c>
      <c r="E16" s="775"/>
    </row>
    <row r="17" spans="1:6" x14ac:dyDescent="0.2">
      <c r="A17" s="80">
        <v>8</v>
      </c>
      <c r="B17" s="776" t="s">
        <v>681</v>
      </c>
      <c r="C17" s="777"/>
      <c r="D17" s="778"/>
      <c r="E17" s="779"/>
    </row>
    <row r="18" spans="1:6" ht="15" customHeight="1" x14ac:dyDescent="0.2">
      <c r="A18" s="780" t="s">
        <v>682</v>
      </c>
      <c r="B18" s="781"/>
      <c r="C18" s="782"/>
      <c r="D18" s="783">
        <f>+SUM(D9+D17)</f>
        <v>0</v>
      </c>
      <c r="E18" s="784"/>
    </row>
    <row r="19" spans="1:6" x14ac:dyDescent="0.2">
      <c r="A19" s="785" t="s">
        <v>683</v>
      </c>
      <c r="B19" s="786"/>
      <c r="C19" s="787"/>
      <c r="D19" s="788">
        <f>+SUM(D20:E23)</f>
        <v>0</v>
      </c>
      <c r="E19" s="789"/>
    </row>
    <row r="20" spans="1:6" x14ac:dyDescent="0.2">
      <c r="A20" s="79">
        <v>9</v>
      </c>
      <c r="B20" s="758" t="s">
        <v>202</v>
      </c>
      <c r="C20" s="790"/>
      <c r="D20" s="791">
        <f>+BALANCESHEET!G85</f>
        <v>0</v>
      </c>
      <c r="E20" s="792"/>
    </row>
    <row r="21" spans="1:6" x14ac:dyDescent="0.2">
      <c r="A21" s="79">
        <v>10</v>
      </c>
      <c r="B21" s="762" t="s">
        <v>210</v>
      </c>
      <c r="C21" s="793"/>
      <c r="D21" s="791">
        <f>+BALANCESHEET!G89</f>
        <v>0</v>
      </c>
      <c r="E21" s="792"/>
    </row>
    <row r="22" spans="1:6" x14ac:dyDescent="0.2">
      <c r="A22" s="79">
        <v>11</v>
      </c>
      <c r="B22" s="766" t="s">
        <v>215</v>
      </c>
      <c r="C22" s="763"/>
      <c r="D22" s="791">
        <f>+BALANCESHEET!G93</f>
        <v>0</v>
      </c>
      <c r="E22" s="792"/>
    </row>
    <row r="23" spans="1:6" x14ac:dyDescent="0.2">
      <c r="A23" s="83">
        <v>12</v>
      </c>
      <c r="B23" s="797" t="s">
        <v>684</v>
      </c>
      <c r="C23" s="798"/>
      <c r="D23" s="791">
        <f>+BALANCESHEET!G97</f>
        <v>0</v>
      </c>
      <c r="E23" s="792"/>
    </row>
    <row r="24" spans="1:6" ht="15" customHeight="1" x14ac:dyDescent="0.2">
      <c r="A24" s="799" t="s">
        <v>685</v>
      </c>
      <c r="B24" s="801" t="s">
        <v>686</v>
      </c>
      <c r="C24" s="803" t="s">
        <v>687</v>
      </c>
      <c r="D24" s="805" t="s">
        <v>688</v>
      </c>
      <c r="E24" s="143">
        <f>+SUM(E26,E44,D17,E46,E47)</f>
        <v>0</v>
      </c>
    </row>
    <row r="25" spans="1:6" ht="25.5" x14ac:dyDescent="0.2">
      <c r="A25" s="800"/>
      <c r="B25" s="802"/>
      <c r="C25" s="804"/>
      <c r="D25" s="806"/>
      <c r="E25" s="144" t="s">
        <v>689</v>
      </c>
    </row>
    <row r="26" spans="1:6" ht="13.5" customHeight="1" x14ac:dyDescent="0.2">
      <c r="A26" s="807" t="s">
        <v>690</v>
      </c>
      <c r="B26" s="808"/>
      <c r="C26" s="809"/>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810" t="s">
        <v>705</v>
      </c>
      <c r="B44" s="811"/>
      <c r="C44" s="811"/>
      <c r="D44" s="812"/>
      <c r="E44" s="156">
        <f>+E45</f>
        <v>0</v>
      </c>
    </row>
    <row r="45" spans="1:6" x14ac:dyDescent="0.2">
      <c r="A45" s="91">
        <v>18</v>
      </c>
      <c r="B45" s="92" t="s">
        <v>706</v>
      </c>
      <c r="C45" s="93">
        <v>1</v>
      </c>
      <c r="D45" s="157">
        <f>+SUM(BALANCE!D332,BALANCE!D333)/1000</f>
        <v>0</v>
      </c>
      <c r="E45" s="158">
        <f>+C45*D45</f>
        <v>0</v>
      </c>
    </row>
    <row r="46" spans="1:6" x14ac:dyDescent="0.2">
      <c r="A46" s="94" t="s">
        <v>576</v>
      </c>
      <c r="B46" s="813" t="s">
        <v>707</v>
      </c>
      <c r="C46" s="814"/>
      <c r="D46" s="815"/>
      <c r="E46" s="159">
        <f>ABS(Forex!M26)</f>
        <v>0</v>
      </c>
      <c r="F46" s="85"/>
    </row>
    <row r="47" spans="1:6" x14ac:dyDescent="0.2">
      <c r="A47" s="95" t="s">
        <v>578</v>
      </c>
      <c r="B47" s="816" t="s">
        <v>708</v>
      </c>
      <c r="C47" s="817"/>
      <c r="D47" s="818"/>
      <c r="E47" s="160">
        <f>Statistic!C52*0.15/0.2</f>
        <v>0</v>
      </c>
      <c r="F47" s="9"/>
    </row>
    <row r="48" spans="1:6" x14ac:dyDescent="0.2">
      <c r="A48" s="96" t="s">
        <v>709</v>
      </c>
      <c r="B48" s="819" t="s">
        <v>710</v>
      </c>
      <c r="C48" s="820"/>
      <c r="D48" s="821"/>
      <c r="E48" s="161" t="s">
        <v>711</v>
      </c>
      <c r="F48" s="85"/>
    </row>
    <row r="49" spans="1:6" x14ac:dyDescent="0.2">
      <c r="A49" s="97">
        <v>1</v>
      </c>
      <c r="B49" s="794" t="s">
        <v>712</v>
      </c>
      <c r="C49" s="795"/>
      <c r="D49" s="796"/>
      <c r="E49" s="162" t="e">
        <f>+D9/E24*100%</f>
        <v>#DIV/0!</v>
      </c>
      <c r="F49" s="85"/>
    </row>
    <row r="50" spans="1:6" x14ac:dyDescent="0.2">
      <c r="A50" s="98">
        <v>2</v>
      </c>
      <c r="B50" s="823" t="s">
        <v>713</v>
      </c>
      <c r="C50" s="824"/>
      <c r="D50" s="825"/>
      <c r="E50" s="163" t="e">
        <f>IF(E49&lt;0.1,"Хангаагүй","Хангасан")</f>
        <v>#DIV/0!</v>
      </c>
    </row>
    <row r="51" spans="1:6" ht="12.75" customHeight="1" x14ac:dyDescent="0.2">
      <c r="A51" s="96" t="s">
        <v>714</v>
      </c>
      <c r="B51" s="819" t="s">
        <v>715</v>
      </c>
      <c r="C51" s="820"/>
      <c r="D51" s="821"/>
      <c r="E51" s="164" t="s">
        <v>716</v>
      </c>
    </row>
    <row r="52" spans="1:6" x14ac:dyDescent="0.2">
      <c r="A52" s="91">
        <v>1</v>
      </c>
      <c r="B52" s="823" t="s">
        <v>712</v>
      </c>
      <c r="C52" s="824"/>
      <c r="D52" s="825"/>
      <c r="E52" s="367" t="e">
        <f>+BALANCESHEET!G82/E24</f>
        <v>#DIV/0!</v>
      </c>
    </row>
    <row r="53" spans="1:6" x14ac:dyDescent="0.2">
      <c r="A53" s="91">
        <v>2</v>
      </c>
      <c r="B53" s="823" t="s">
        <v>713</v>
      </c>
      <c r="C53" s="824"/>
      <c r="D53" s="825"/>
      <c r="E53" s="163" t="e">
        <f>+IF(E52&lt;0.2,"Хангаагүй","Хангасан")</f>
        <v>#DIV/0!</v>
      </c>
    </row>
    <row r="54" spans="1:6" ht="12.75" customHeight="1" x14ac:dyDescent="0.2">
      <c r="A54" s="99" t="s">
        <v>717</v>
      </c>
      <c r="B54" s="819" t="s">
        <v>718</v>
      </c>
      <c r="C54" s="820"/>
      <c r="D54" s="821"/>
      <c r="E54" s="164" t="s">
        <v>711</v>
      </c>
    </row>
    <row r="55" spans="1:6" x14ac:dyDescent="0.2">
      <c r="A55" s="98">
        <v>1</v>
      </c>
      <c r="B55" s="823" t="s">
        <v>712</v>
      </c>
      <c r="C55" s="824"/>
      <c r="D55" s="825"/>
      <c r="E55" s="165" t="e">
        <f>+D9/BALANCESHEET!C116</f>
        <v>#DIV/0!</v>
      </c>
    </row>
    <row r="56" spans="1:6" ht="13.5" thickBot="1" x14ac:dyDescent="0.25">
      <c r="A56" s="100">
        <v>2</v>
      </c>
      <c r="B56" s="826" t="s">
        <v>713</v>
      </c>
      <c r="C56" s="827"/>
      <c r="D56" s="828"/>
      <c r="E56" s="166" t="e">
        <f>+IF(E55&lt;0.1,"Хангаагүй","Хангасан")</f>
        <v>#DIV/0!</v>
      </c>
    </row>
    <row r="57" spans="1:6" ht="13.5" thickTop="1" x14ac:dyDescent="0.2"/>
    <row r="59" spans="1:6" x14ac:dyDescent="0.2">
      <c r="A59" s="682" t="s">
        <v>39</v>
      </c>
      <c r="B59" s="682"/>
      <c r="C59" s="136"/>
      <c r="D59" s="13"/>
      <c r="E59" s="14"/>
    </row>
    <row r="60" spans="1:6" x14ac:dyDescent="0.2">
      <c r="A60" s="71"/>
      <c r="B60" s="137"/>
      <c r="C60" s="136"/>
      <c r="D60" s="13"/>
      <c r="E60" s="14"/>
    </row>
    <row r="61" spans="1:6" ht="15" customHeight="1" x14ac:dyDescent="0.2">
      <c r="A61" s="695" t="s">
        <v>441</v>
      </c>
      <c r="B61" s="695"/>
      <c r="C61" s="138"/>
      <c r="D61" s="17"/>
      <c r="E61" s="3"/>
    </row>
    <row r="62" spans="1:6" x14ac:dyDescent="0.2">
      <c r="A62" s="16"/>
      <c r="B62" s="137"/>
      <c r="C62" s="136"/>
      <c r="D62" s="13"/>
      <c r="E62" s="14"/>
    </row>
    <row r="63" spans="1:6" x14ac:dyDescent="0.2">
      <c r="A63" s="822" t="str">
        <f>+BALANCE!D361</f>
        <v>ГҮЙЦЭТГЭХ ЗАХИРАЛ.................................................................//</v>
      </c>
      <c r="B63" s="822"/>
      <c r="C63" s="822"/>
      <c r="D63" s="822"/>
      <c r="E63" s="822"/>
    </row>
    <row r="64" spans="1:6" x14ac:dyDescent="0.2">
      <c r="A64" s="451"/>
      <c r="B64" s="451"/>
      <c r="C64" s="451"/>
      <c r="D64" s="451"/>
      <c r="E64" s="451"/>
    </row>
    <row r="65" spans="1:5" x14ac:dyDescent="0.2">
      <c r="A65" s="822" t="str">
        <f>+BALANCE!D363</f>
        <v>ЕРӨНХИЙ НЯГТЛАН БОДОГЧ....................................................//</v>
      </c>
      <c r="B65" s="822"/>
      <c r="C65" s="822"/>
      <c r="D65" s="822"/>
      <c r="E65" s="822"/>
    </row>
    <row r="66" spans="1:5" x14ac:dyDescent="0.2">
      <c r="A66" s="451"/>
      <c r="B66" s="451"/>
      <c r="C66" s="451"/>
      <c r="D66" s="451"/>
      <c r="E66" s="451"/>
    </row>
    <row r="67" spans="1:5" x14ac:dyDescent="0.2">
      <c r="A67" s="822">
        <f>+BALANCE!D365</f>
        <v>0</v>
      </c>
      <c r="B67" s="822"/>
      <c r="C67" s="822"/>
      <c r="D67" s="822"/>
      <c r="E67" s="822"/>
    </row>
    <row r="68" spans="1:5" x14ac:dyDescent="0.2">
      <c r="A68" s="134"/>
      <c r="B68" s="134"/>
      <c r="C68" s="135"/>
      <c r="D68" s="3"/>
      <c r="E68" s="3"/>
    </row>
  </sheetData>
  <sheetProtection password="CA9F" sheet="1"/>
  <mergeCells count="60">
    <mergeCell ref="A67:E67"/>
    <mergeCell ref="B50:D50"/>
    <mergeCell ref="B51:D51"/>
    <mergeCell ref="B52:D52"/>
    <mergeCell ref="B53:D53"/>
    <mergeCell ref="B54:D54"/>
    <mergeCell ref="B55:D55"/>
    <mergeCell ref="B56:D56"/>
    <mergeCell ref="A59:B59"/>
    <mergeCell ref="A61:B61"/>
    <mergeCell ref="A63:E63"/>
    <mergeCell ref="A65:E65"/>
    <mergeCell ref="B49:D49"/>
    <mergeCell ref="B23:C23"/>
    <mergeCell ref="D23:E23"/>
    <mergeCell ref="A24:A25"/>
    <mergeCell ref="B24:B25"/>
    <mergeCell ref="C24:C25"/>
    <mergeCell ref="D24:D25"/>
    <mergeCell ref="A26:C26"/>
    <mergeCell ref="A44:D44"/>
    <mergeCell ref="B46:D46"/>
    <mergeCell ref="B47:D47"/>
    <mergeCell ref="B48:D48"/>
    <mergeCell ref="B20:C20"/>
    <mergeCell ref="D20:E20"/>
    <mergeCell ref="B21:C21"/>
    <mergeCell ref="D21:E21"/>
    <mergeCell ref="B22:C22"/>
    <mergeCell ref="D22:E22"/>
    <mergeCell ref="B17:C17"/>
    <mergeCell ref="D17:E17"/>
    <mergeCell ref="A18:C18"/>
    <mergeCell ref="D18:E18"/>
    <mergeCell ref="A19:C19"/>
    <mergeCell ref="D19:E19"/>
    <mergeCell ref="B14:C14"/>
    <mergeCell ref="D14:E14"/>
    <mergeCell ref="B15:C15"/>
    <mergeCell ref="D15:E15"/>
    <mergeCell ref="B16:C16"/>
    <mergeCell ref="D16:E16"/>
    <mergeCell ref="B11:C11"/>
    <mergeCell ref="D11:E11"/>
    <mergeCell ref="B12:C12"/>
    <mergeCell ref="D12:E12"/>
    <mergeCell ref="B13:C13"/>
    <mergeCell ref="D13:E13"/>
    <mergeCell ref="B8:C8"/>
    <mergeCell ref="D8:E8"/>
    <mergeCell ref="A9:C9"/>
    <mergeCell ref="D9:E9"/>
    <mergeCell ref="B10:C10"/>
    <mergeCell ref="D10:E10"/>
    <mergeCell ref="A2:E2"/>
    <mergeCell ref="A3:E3"/>
    <mergeCell ref="A4:E4"/>
    <mergeCell ref="A6:B6"/>
    <mergeCell ref="B7:C7"/>
    <mergeCell ref="D7:E7"/>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89" t="s">
        <v>719</v>
      </c>
      <c r="B2" s="689"/>
      <c r="C2" s="689"/>
      <c r="D2" s="689"/>
      <c r="E2" s="689"/>
    </row>
    <row r="3" spans="1:5" x14ac:dyDescent="0.2">
      <c r="A3" s="711" t="str">
        <f>BALANCE!A3</f>
        <v>БАНК БУС САНХҮҮГИЙН БАЙГУУЛЛАГЫН НЭР</v>
      </c>
      <c r="B3" s="711"/>
      <c r="C3" s="711"/>
      <c r="D3" s="711"/>
      <c r="E3" s="711"/>
    </row>
    <row r="4" spans="1:5" x14ac:dyDescent="0.2">
      <c r="A4" s="689" t="str">
        <f>BALANCE!A4</f>
        <v>БАНК БУС САНХҮҮГИЙН БАЙГУУЛЛАГА</v>
      </c>
      <c r="B4" s="689"/>
      <c r="C4" s="689"/>
      <c r="D4" s="689"/>
      <c r="E4" s="689"/>
    </row>
    <row r="5" spans="1:5" x14ac:dyDescent="0.2">
      <c r="A5" s="1"/>
      <c r="B5" s="1"/>
      <c r="C5" s="1"/>
      <c r="D5" s="1"/>
      <c r="E5" s="1"/>
    </row>
    <row r="6" spans="1:5" x14ac:dyDescent="0.2">
      <c r="A6" s="712">
        <f>BALANCE!A6</f>
        <v>44286</v>
      </c>
      <c r="B6" s="712"/>
      <c r="C6" s="167"/>
      <c r="D6" s="167"/>
      <c r="E6" s="168" t="s">
        <v>443</v>
      </c>
    </row>
    <row r="7" spans="1:5" x14ac:dyDescent="0.2">
      <c r="A7" s="830" t="s">
        <v>533</v>
      </c>
      <c r="B7" s="830"/>
      <c r="C7" s="246" t="s">
        <v>720</v>
      </c>
      <c r="D7" s="246" t="s">
        <v>721</v>
      </c>
      <c r="E7" s="246" t="s">
        <v>674</v>
      </c>
    </row>
    <row r="8" spans="1:5" x14ac:dyDescent="0.2">
      <c r="A8" s="831" t="s">
        <v>722</v>
      </c>
      <c r="B8" s="831"/>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31" t="s">
        <v>725</v>
      </c>
      <c r="B14" s="831"/>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32" t="s">
        <v>732</v>
      </c>
      <c r="B26" s="832"/>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82" t="s">
        <v>39</v>
      </c>
      <c r="B30" s="682"/>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9" t="str">
        <f>+BALANCE!D361</f>
        <v>ГҮЙЦЭТГЭХ ЗАХИРАЛ.................................................................//</v>
      </c>
      <c r="C34" s="829"/>
      <c r="D34" s="829"/>
      <c r="E34" s="829"/>
      <c r="F34" s="140"/>
    </row>
    <row r="35" spans="1:8" x14ac:dyDescent="0.2">
      <c r="A35" s="15"/>
      <c r="B35" s="450"/>
      <c r="C35" s="174"/>
      <c r="D35" s="174"/>
      <c r="E35" s="450"/>
      <c r="F35" s="140"/>
    </row>
    <row r="36" spans="1:8" x14ac:dyDescent="0.2">
      <c r="A36" s="15"/>
      <c r="B36" s="829" t="str">
        <f>BALANCE!D363</f>
        <v>ЕРӨНХИЙ НЯГТЛАН БОДОГЧ....................................................//</v>
      </c>
      <c r="C36" s="829"/>
      <c r="D36" s="829"/>
      <c r="E36" s="829"/>
      <c r="F36" s="140"/>
    </row>
    <row r="37" spans="1:8" x14ac:dyDescent="0.2">
      <c r="A37" s="15"/>
      <c r="B37" s="450"/>
      <c r="C37" s="174"/>
      <c r="D37" s="174"/>
      <c r="E37" s="450"/>
      <c r="F37" s="140"/>
    </row>
    <row r="38" spans="1:8" x14ac:dyDescent="0.2">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M45"/>
  <sheetViews>
    <sheetView workbookViewId="0">
      <selection activeCell="M15" sqref="M15"/>
    </sheetView>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89" t="s">
        <v>733</v>
      </c>
      <c r="B2" s="689"/>
      <c r="C2" s="689"/>
      <c r="D2" s="689"/>
      <c r="E2" s="689"/>
      <c r="F2" s="689"/>
      <c r="G2" s="689"/>
      <c r="H2" s="689"/>
      <c r="I2" s="689"/>
      <c r="J2" s="689"/>
      <c r="K2" s="689"/>
      <c r="L2" s="689"/>
      <c r="M2" s="689"/>
    </row>
    <row r="3" spans="1:13" x14ac:dyDescent="0.2">
      <c r="A3" s="711" t="str">
        <f>BALANCE!A3</f>
        <v>БАНК БУС САНХҮҮГИЙН БАЙГУУЛЛАГЫН НЭР</v>
      </c>
      <c r="B3" s="711"/>
      <c r="C3" s="711"/>
      <c r="D3" s="711"/>
      <c r="E3" s="711"/>
      <c r="F3" s="711"/>
      <c r="G3" s="711"/>
      <c r="H3" s="711"/>
      <c r="I3" s="711"/>
      <c r="J3" s="711"/>
      <c r="K3" s="711"/>
      <c r="L3" s="711"/>
      <c r="M3" s="711"/>
    </row>
    <row r="4" spans="1:13" ht="13.5" customHeight="1" x14ac:dyDescent="0.2">
      <c r="A4" s="689" t="str">
        <f>BALANCE!A4</f>
        <v>БАНК БУС САНХҮҮГИЙН БАЙГУУЛЛАГА</v>
      </c>
      <c r="B4" s="689"/>
      <c r="C4" s="689"/>
      <c r="D4" s="689"/>
      <c r="E4" s="689"/>
      <c r="F4" s="689"/>
      <c r="G4" s="689"/>
      <c r="H4" s="689"/>
      <c r="I4" s="689"/>
      <c r="J4" s="689"/>
      <c r="K4" s="689"/>
      <c r="L4" s="689"/>
      <c r="M4" s="689"/>
    </row>
    <row r="5" spans="1:13" ht="13.5" customHeight="1" x14ac:dyDescent="0.2">
      <c r="A5" s="391"/>
      <c r="B5" s="391"/>
      <c r="C5" s="391"/>
      <c r="D5" s="391"/>
      <c r="E5" s="391"/>
      <c r="F5" s="391"/>
      <c r="G5" s="391"/>
      <c r="H5" s="391"/>
      <c r="I5" s="391"/>
      <c r="J5" s="391"/>
      <c r="K5" s="391"/>
      <c r="L5" s="391"/>
      <c r="M5" s="391"/>
    </row>
    <row r="6" spans="1:13" x14ac:dyDescent="0.2">
      <c r="A6" s="834">
        <f>BALANCE!A6</f>
        <v>44286</v>
      </c>
      <c r="B6" s="834"/>
      <c r="L6" s="835" t="s">
        <v>443</v>
      </c>
      <c r="M6" s="835"/>
    </row>
    <row r="7" spans="1:13" x14ac:dyDescent="0.2">
      <c r="A7" s="836" t="s">
        <v>533</v>
      </c>
      <c r="B7" s="836"/>
      <c r="C7" s="837" t="s">
        <v>734</v>
      </c>
      <c r="D7" s="837"/>
      <c r="E7" s="837"/>
      <c r="F7" s="837"/>
      <c r="G7" s="837"/>
      <c r="H7" s="837"/>
      <c r="I7" s="837"/>
      <c r="J7" s="837"/>
      <c r="K7" s="837"/>
      <c r="L7" s="837" t="s">
        <v>674</v>
      </c>
      <c r="M7" s="837"/>
    </row>
    <row r="8" spans="1:13" x14ac:dyDescent="0.2">
      <c r="A8" s="836"/>
      <c r="B8" s="836"/>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3" t="s">
        <v>737</v>
      </c>
      <c r="B9" s="833"/>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3" t="s">
        <v>744</v>
      </c>
      <c r="B16" s="833"/>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3" t="s">
        <v>750</v>
      </c>
      <c r="B23" s="833"/>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40" t="s">
        <v>753</v>
      </c>
      <c r="B26" s="840"/>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41" t="s">
        <v>754</v>
      </c>
      <c r="B27" s="841"/>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41" t="s">
        <v>755</v>
      </c>
      <c r="B28" s="841"/>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42" t="s">
        <v>756</v>
      </c>
      <c r="B29" s="842"/>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43" t="s">
        <v>757</v>
      </c>
      <c r="B30" s="843"/>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44" t="s">
        <v>758</v>
      </c>
      <c r="B31" s="844"/>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45" t="s">
        <v>760</v>
      </c>
      <c r="B32" s="845"/>
      <c r="C32" s="263">
        <f>BALANCE!H335</f>
        <v>2849.63</v>
      </c>
      <c r="D32" s="263">
        <f>BALANCE!H336</f>
        <v>3343.76</v>
      </c>
      <c r="E32" s="263">
        <f>BALANCE!H337</f>
        <v>25.85</v>
      </c>
      <c r="F32" s="263">
        <f>BALANCE!H338</f>
        <v>3024.44</v>
      </c>
      <c r="G32" s="263">
        <f>BALANCE!H339</f>
        <v>3919.81</v>
      </c>
      <c r="H32" s="263">
        <f>BALANCE!H340</f>
        <v>433.59</v>
      </c>
      <c r="I32" s="263">
        <f>BALANCE!H341</f>
        <v>37.619999999999997</v>
      </c>
      <c r="J32" s="263">
        <f>BALANCE!H342</f>
        <v>2.5099999999999998</v>
      </c>
      <c r="K32" s="263">
        <f>BALANCE!H343</f>
        <v>0</v>
      </c>
      <c r="L32" s="263">
        <v>1</v>
      </c>
      <c r="M32" s="263">
        <f>+C32</f>
        <v>2849.63</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8" t="s">
        <v>1125</v>
      </c>
      <c r="B34" s="838"/>
      <c r="C34" s="838"/>
      <c r="D34" s="838"/>
      <c r="E34" s="838"/>
      <c r="F34" s="838"/>
      <c r="G34" s="838"/>
      <c r="H34" s="838"/>
      <c r="I34" s="838"/>
      <c r="J34" s="838"/>
      <c r="K34" s="838"/>
      <c r="L34" s="838"/>
      <c r="M34" s="838"/>
    </row>
    <row r="35" spans="1:13" x14ac:dyDescent="0.2">
      <c r="A35" s="839" t="s">
        <v>1124</v>
      </c>
      <c r="B35" s="839"/>
      <c r="C35" s="839"/>
      <c r="D35" s="839"/>
      <c r="E35" s="839"/>
      <c r="F35" s="839"/>
      <c r="G35" s="839"/>
      <c r="H35" s="839"/>
      <c r="I35" s="839"/>
      <c r="J35" s="839"/>
      <c r="K35" s="839"/>
      <c r="L35" s="839"/>
      <c r="M35" s="839"/>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46" t="s">
        <v>441</v>
      </c>
      <c r="E39" s="846"/>
      <c r="F39" s="846"/>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9" t="str">
        <f>BALANCE!D361</f>
        <v>ГҮЙЦЭТГЭХ ЗАХИРАЛ.................................................................//</v>
      </c>
      <c r="E41" s="829"/>
      <c r="F41" s="829"/>
      <c r="G41" s="829"/>
      <c r="H41" s="829"/>
      <c r="I41" s="829"/>
      <c r="J41" s="829"/>
      <c r="K41" s="829"/>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9" t="str">
        <f>BALANCE!D363</f>
        <v>ЕРӨНХИЙ НЯГТЛАН БОДОГЧ....................................................//</v>
      </c>
      <c r="E43" s="829"/>
      <c r="F43" s="829"/>
      <c r="G43" s="829"/>
      <c r="H43" s="829"/>
      <c r="I43" s="829"/>
      <c r="J43" s="829"/>
      <c r="K43" s="829"/>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9">
        <f>BALANCE!D365</f>
        <v>0</v>
      </c>
      <c r="E45" s="829"/>
      <c r="F45" s="829"/>
      <c r="G45" s="829"/>
      <c r="H45" s="829"/>
      <c r="I45" s="829"/>
      <c r="J45" s="829"/>
      <c r="K45" s="829"/>
    </row>
  </sheetData>
  <sheetProtection password="CA9F" sheet="1" objects="1" scenarios="1"/>
  <mergeCells count="24">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 ref="A9:B9"/>
    <mergeCell ref="A2:M2"/>
    <mergeCell ref="A3:M3"/>
    <mergeCell ref="A4:M4"/>
    <mergeCell ref="A6:B6"/>
    <mergeCell ref="L6:M6"/>
    <mergeCell ref="A7:B8"/>
    <mergeCell ref="C7:K7"/>
    <mergeCell ref="L7:M7"/>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89" t="s">
        <v>761</v>
      </c>
      <c r="B2" s="689"/>
      <c r="C2" s="689"/>
      <c r="D2" s="689"/>
      <c r="E2" s="689"/>
      <c r="F2" s="689"/>
      <c r="G2" s="689"/>
    </row>
    <row r="3" spans="1:9" x14ac:dyDescent="0.2">
      <c r="A3" s="711" t="str">
        <f>+BALANCE!A3</f>
        <v>БАНК БУС САНХҮҮГИЙН БАЙГУУЛЛАГЫН НЭР</v>
      </c>
      <c r="B3" s="711"/>
      <c r="C3" s="711"/>
      <c r="D3" s="711"/>
      <c r="E3" s="711"/>
      <c r="F3" s="711"/>
      <c r="G3" s="711"/>
      <c r="H3" s="105"/>
      <c r="I3" s="105"/>
    </row>
    <row r="4" spans="1:9" x14ac:dyDescent="0.2">
      <c r="A4" s="689" t="str">
        <f>+BALANCE!A4</f>
        <v>БАНК БУС САНХҮҮГИЙН БАЙГУУЛЛАГА</v>
      </c>
      <c r="B4" s="689"/>
      <c r="C4" s="689"/>
      <c r="D4" s="689"/>
      <c r="E4" s="689"/>
      <c r="F4" s="689"/>
      <c r="G4" s="689"/>
      <c r="H4" s="2"/>
      <c r="I4" s="2"/>
    </row>
    <row r="5" spans="1:9" x14ac:dyDescent="0.2">
      <c r="A5" s="834">
        <f>+BALANCE!A6</f>
        <v>44286</v>
      </c>
      <c r="B5" s="834"/>
      <c r="G5" s="175" t="s">
        <v>443</v>
      </c>
    </row>
    <row r="6" spans="1:9" ht="16.5" customHeight="1" x14ac:dyDescent="0.2">
      <c r="A6" s="830" t="s">
        <v>533</v>
      </c>
      <c r="B6" s="830"/>
      <c r="C6" s="830"/>
      <c r="D6" s="830"/>
      <c r="E6" s="830"/>
      <c r="F6" s="847" t="s">
        <v>674</v>
      </c>
      <c r="G6" s="847"/>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57">
        <f>+BALANCESHEET!C47</f>
        <v>0</v>
      </c>
      <c r="G8" s="854">
        <f>+F8-E8</f>
        <v>0</v>
      </c>
    </row>
    <row r="9" spans="1:9" ht="15" customHeight="1" x14ac:dyDescent="0.2">
      <c r="A9" s="264">
        <v>1</v>
      </c>
      <c r="B9" s="106" t="s">
        <v>769</v>
      </c>
      <c r="C9" s="176">
        <f>+BALANCESHEET!C34+BALANCESHEET!C41</f>
        <v>0</v>
      </c>
      <c r="D9" s="269">
        <v>0</v>
      </c>
      <c r="E9" s="270">
        <f>C9*D9</f>
        <v>0</v>
      </c>
      <c r="F9" s="857"/>
      <c r="G9" s="854"/>
    </row>
    <row r="10" spans="1:9" ht="15" customHeight="1" x14ac:dyDescent="0.2">
      <c r="A10" s="264">
        <v>2</v>
      </c>
      <c r="B10" s="106" t="s">
        <v>1179</v>
      </c>
      <c r="C10" s="176">
        <f>+BALANCESHEET!C35+BALANCESHEET!C42</f>
        <v>0</v>
      </c>
      <c r="D10" s="107">
        <v>0.05</v>
      </c>
      <c r="E10" s="270">
        <f>C10*D10</f>
        <v>0</v>
      </c>
      <c r="F10" s="857"/>
      <c r="G10" s="854"/>
    </row>
    <row r="11" spans="1:9" ht="15" customHeight="1" x14ac:dyDescent="0.2">
      <c r="A11" s="271">
        <v>3</v>
      </c>
      <c r="B11" s="272" t="s">
        <v>770</v>
      </c>
      <c r="C11" s="273">
        <f>SUM(C12:C14)</f>
        <v>0</v>
      </c>
      <c r="D11" s="274"/>
      <c r="E11" s="275">
        <f>SUM(E12:E14)</f>
        <v>0</v>
      </c>
      <c r="F11" s="857"/>
      <c r="G11" s="854"/>
    </row>
    <row r="12" spans="1:9" x14ac:dyDescent="0.2">
      <c r="A12" s="276"/>
      <c r="B12" s="108" t="s">
        <v>771</v>
      </c>
      <c r="C12" s="176">
        <f>+BALANCESHEET!C37+BALANCESHEET!C44</f>
        <v>0</v>
      </c>
      <c r="D12" s="107">
        <v>0.25</v>
      </c>
      <c r="E12" s="176">
        <f>C12*D12</f>
        <v>0</v>
      </c>
      <c r="F12" s="857"/>
      <c r="G12" s="854"/>
    </row>
    <row r="13" spans="1:9" x14ac:dyDescent="0.2">
      <c r="A13" s="276"/>
      <c r="B13" s="108" t="s">
        <v>772</v>
      </c>
      <c r="C13" s="176">
        <f>+BALANCESHEET!C38+BALANCESHEET!C45</f>
        <v>0</v>
      </c>
      <c r="D13" s="107">
        <v>0.5</v>
      </c>
      <c r="E13" s="176">
        <f>C13*D13</f>
        <v>0</v>
      </c>
      <c r="F13" s="857"/>
      <c r="G13" s="854"/>
    </row>
    <row r="14" spans="1:9" x14ac:dyDescent="0.2">
      <c r="A14" s="276"/>
      <c r="B14" s="108" t="s">
        <v>773</v>
      </c>
      <c r="C14" s="176">
        <f>+BALANCESHEET!C39+BALANCESHEET!C46</f>
        <v>0</v>
      </c>
      <c r="D14" s="107">
        <v>1</v>
      </c>
      <c r="E14" s="176">
        <f>C14*D14</f>
        <v>0</v>
      </c>
      <c r="F14" s="857"/>
      <c r="G14" s="854"/>
    </row>
    <row r="15" spans="1:9" x14ac:dyDescent="0.2">
      <c r="A15" s="277" t="s">
        <v>774</v>
      </c>
      <c r="B15" s="278" t="s">
        <v>775</v>
      </c>
      <c r="C15" s="279">
        <f>+SUM(C16:C18)</f>
        <v>0</v>
      </c>
      <c r="D15" s="280">
        <v>1</v>
      </c>
      <c r="E15" s="279">
        <f>+SUM(E16:E18)</f>
        <v>0</v>
      </c>
      <c r="F15" s="850">
        <f>+BALANCESHEET!C64</f>
        <v>0</v>
      </c>
      <c r="G15" s="851">
        <f>+F15-E15</f>
        <v>0</v>
      </c>
    </row>
    <row r="16" spans="1:9" ht="15" customHeight="1" x14ac:dyDescent="0.2">
      <c r="A16" s="264">
        <v>4</v>
      </c>
      <c r="B16" s="108" t="s">
        <v>776</v>
      </c>
      <c r="C16" s="281">
        <f>+SUM(BALANCESHEET!C51,BALANCESHEET!C58)</f>
        <v>0</v>
      </c>
      <c r="D16" s="282">
        <v>0</v>
      </c>
      <c r="E16" s="177">
        <f>+C16*D16</f>
        <v>0</v>
      </c>
      <c r="F16" s="850"/>
      <c r="G16" s="851"/>
    </row>
    <row r="17" spans="1:7" ht="14.25" customHeight="1" x14ac:dyDescent="0.2">
      <c r="A17" s="264">
        <v>5</v>
      </c>
      <c r="B17" s="108" t="s">
        <v>1180</v>
      </c>
      <c r="C17" s="177">
        <f>+SUM(BALANCESHEET!C52,BALANCESHEET!C59)</f>
        <v>0</v>
      </c>
      <c r="D17" s="109">
        <v>0.05</v>
      </c>
      <c r="E17" s="177">
        <f>+C17*D17</f>
        <v>0</v>
      </c>
      <c r="F17" s="850"/>
      <c r="G17" s="851"/>
    </row>
    <row r="18" spans="1:7" x14ac:dyDescent="0.2">
      <c r="A18" s="283">
        <v>6</v>
      </c>
      <c r="B18" s="272" t="s">
        <v>777</v>
      </c>
      <c r="C18" s="284">
        <f>+SUM(C19:C21)</f>
        <v>0</v>
      </c>
      <c r="D18" s="285"/>
      <c r="E18" s="284">
        <f>+SUM(E19:E21)</f>
        <v>0</v>
      </c>
      <c r="F18" s="850"/>
      <c r="G18" s="851"/>
    </row>
    <row r="19" spans="1:7" x14ac:dyDescent="0.2">
      <c r="A19" s="264"/>
      <c r="B19" s="108" t="s">
        <v>771</v>
      </c>
      <c r="C19" s="177">
        <f>+SUM(BALANCESHEET!C54,BALANCESHEET!C61)</f>
        <v>0</v>
      </c>
      <c r="D19" s="109">
        <v>0.25</v>
      </c>
      <c r="E19" s="177">
        <f>+C19*D19</f>
        <v>0</v>
      </c>
      <c r="F19" s="850"/>
      <c r="G19" s="851"/>
    </row>
    <row r="20" spans="1:7" x14ac:dyDescent="0.2">
      <c r="A20" s="264"/>
      <c r="B20" s="108" t="s">
        <v>772</v>
      </c>
      <c r="C20" s="177">
        <f>+SUM(BALANCESHEET!C55,BALANCESHEET!C62)</f>
        <v>0</v>
      </c>
      <c r="D20" s="109">
        <v>0.5</v>
      </c>
      <c r="E20" s="177">
        <f>+C20*D20</f>
        <v>0</v>
      </c>
      <c r="F20" s="850"/>
      <c r="G20" s="851"/>
    </row>
    <row r="21" spans="1:7" x14ac:dyDescent="0.2">
      <c r="A21" s="264"/>
      <c r="B21" s="108" t="s">
        <v>773</v>
      </c>
      <c r="C21" s="177">
        <f>+SUM(BALANCESHEET!C56,BALANCESHEET!C63)</f>
        <v>0</v>
      </c>
      <c r="D21" s="109">
        <v>1</v>
      </c>
      <c r="E21" s="177">
        <f>+C21*D21</f>
        <v>0</v>
      </c>
      <c r="F21" s="850"/>
      <c r="G21" s="851"/>
    </row>
    <row r="22" spans="1:7" x14ac:dyDescent="0.2">
      <c r="A22" s="266" t="s">
        <v>778</v>
      </c>
      <c r="B22" s="286" t="s">
        <v>779</v>
      </c>
      <c r="C22" s="287">
        <f>+SUM(C23:C25)</f>
        <v>0</v>
      </c>
      <c r="D22" s="288">
        <v>1</v>
      </c>
      <c r="E22" s="287">
        <f>+SUM(E23:E25)</f>
        <v>0</v>
      </c>
      <c r="F22" s="855">
        <f>+BALANCESHEET!C81</f>
        <v>0</v>
      </c>
      <c r="G22" s="856">
        <f>+F22-E22</f>
        <v>0</v>
      </c>
    </row>
    <row r="23" spans="1:7" x14ac:dyDescent="0.2">
      <c r="A23" s="264">
        <v>7</v>
      </c>
      <c r="B23" s="108" t="s">
        <v>780</v>
      </c>
      <c r="C23" s="289">
        <f>+SUM(BALANCESHEET!C68,BALANCESHEET!C75)</f>
        <v>0</v>
      </c>
      <c r="D23" s="282">
        <v>0</v>
      </c>
      <c r="E23" s="176">
        <f>+C23*D23</f>
        <v>0</v>
      </c>
      <c r="F23" s="855"/>
      <c r="G23" s="856"/>
    </row>
    <row r="24" spans="1:7" x14ac:dyDescent="0.2">
      <c r="A24" s="264">
        <v>8</v>
      </c>
      <c r="B24" s="106" t="s">
        <v>1181</v>
      </c>
      <c r="C24" s="176">
        <f>+SUM(BALANCESHEET!C69,BALANCESHEET!C76)</f>
        <v>0</v>
      </c>
      <c r="D24" s="109">
        <v>0.05</v>
      </c>
      <c r="E24" s="176">
        <f>+C24*D24</f>
        <v>0</v>
      </c>
      <c r="F24" s="855"/>
      <c r="G24" s="856"/>
    </row>
    <row r="25" spans="1:7" x14ac:dyDescent="0.2">
      <c r="A25" s="283">
        <v>9</v>
      </c>
      <c r="B25" s="290" t="s">
        <v>781</v>
      </c>
      <c r="C25" s="273">
        <f>+SUM(C26:C28)</f>
        <v>0</v>
      </c>
      <c r="D25" s="285"/>
      <c r="E25" s="273">
        <f>+SUM(E26:E28)</f>
        <v>0</v>
      </c>
      <c r="F25" s="855"/>
      <c r="G25" s="856"/>
    </row>
    <row r="26" spans="1:7" x14ac:dyDescent="0.2">
      <c r="A26" s="264"/>
      <c r="B26" s="106" t="s">
        <v>771</v>
      </c>
      <c r="C26" s="176">
        <f>+SUM(BALANCESHEET!C71,BALANCESHEET!C78)</f>
        <v>0</v>
      </c>
      <c r="D26" s="109">
        <v>0.25</v>
      </c>
      <c r="E26" s="176">
        <f>+C26*D26</f>
        <v>0</v>
      </c>
      <c r="F26" s="855"/>
      <c r="G26" s="856"/>
    </row>
    <row r="27" spans="1:7" x14ac:dyDescent="0.2">
      <c r="A27" s="264"/>
      <c r="B27" s="106" t="s">
        <v>772</v>
      </c>
      <c r="C27" s="176">
        <f>+SUM(BALANCESHEET!C72,BALANCESHEET!C79)</f>
        <v>0</v>
      </c>
      <c r="D27" s="109">
        <v>0.5</v>
      </c>
      <c r="E27" s="176">
        <f>+C27*D27</f>
        <v>0</v>
      </c>
      <c r="F27" s="855"/>
      <c r="G27" s="856"/>
    </row>
    <row r="28" spans="1:7" x14ac:dyDescent="0.2">
      <c r="A28" s="264"/>
      <c r="B28" s="106" t="s">
        <v>773</v>
      </c>
      <c r="C28" s="176">
        <f>+SUM(BALANCESHEET!C73,BALANCESHEET!C80)</f>
        <v>0</v>
      </c>
      <c r="D28" s="109">
        <v>1</v>
      </c>
      <c r="E28" s="176">
        <f>+C28*D28</f>
        <v>0</v>
      </c>
      <c r="F28" s="855"/>
      <c r="G28" s="856"/>
    </row>
    <row r="29" spans="1:7" x14ac:dyDescent="0.2">
      <c r="A29" s="266" t="s">
        <v>782</v>
      </c>
      <c r="B29" s="286" t="s">
        <v>516</v>
      </c>
      <c r="C29" s="287">
        <f>+SUM(C30:C32)</f>
        <v>0</v>
      </c>
      <c r="D29" s="288">
        <v>1</v>
      </c>
      <c r="E29" s="287">
        <f>+SUM(E30:E32)</f>
        <v>0</v>
      </c>
      <c r="F29" s="850">
        <f>+BALANCESHEET!C109</f>
        <v>0</v>
      </c>
      <c r="G29" s="851">
        <f>+F29-E29</f>
        <v>0</v>
      </c>
    </row>
    <row r="30" spans="1:7" x14ac:dyDescent="0.2">
      <c r="A30" s="264">
        <v>10</v>
      </c>
      <c r="B30" s="106" t="s">
        <v>296</v>
      </c>
      <c r="C30" s="176">
        <f>+SUM(BALANCESHEET!C96,BALANCESHEET!C103)</f>
        <v>0</v>
      </c>
      <c r="D30" s="269">
        <v>0</v>
      </c>
      <c r="E30" s="176">
        <f>+C30*D30</f>
        <v>0</v>
      </c>
      <c r="F30" s="850"/>
      <c r="G30" s="851"/>
    </row>
    <row r="31" spans="1:7" x14ac:dyDescent="0.2">
      <c r="A31" s="264">
        <v>11</v>
      </c>
      <c r="B31" s="106" t="s">
        <v>1175</v>
      </c>
      <c r="C31" s="176">
        <f>+SUM(BALANCESHEET!C97,BALANCESHEET!C104)</f>
        <v>0</v>
      </c>
      <c r="D31" s="109">
        <v>0.05</v>
      </c>
      <c r="E31" s="176">
        <f>+C31*D31</f>
        <v>0</v>
      </c>
      <c r="F31" s="850"/>
      <c r="G31" s="851"/>
    </row>
    <row r="32" spans="1:7" x14ac:dyDescent="0.2">
      <c r="A32" s="283">
        <v>12</v>
      </c>
      <c r="B32" s="290" t="s">
        <v>783</v>
      </c>
      <c r="C32" s="273">
        <f>+SUM(C33:C35)</f>
        <v>0</v>
      </c>
      <c r="D32" s="285"/>
      <c r="E32" s="273">
        <f>+SUM(E33:E35)</f>
        <v>0</v>
      </c>
      <c r="F32" s="850"/>
      <c r="G32" s="851"/>
    </row>
    <row r="33" spans="1:7" x14ac:dyDescent="0.2">
      <c r="A33" s="291"/>
      <c r="B33" s="106" t="s">
        <v>771</v>
      </c>
      <c r="C33" s="176">
        <f>+SUM(BALANCESHEET!C99,BALANCESHEET!C106)</f>
        <v>0</v>
      </c>
      <c r="D33" s="109">
        <v>0.25</v>
      </c>
      <c r="E33" s="176">
        <f>+C33*D33</f>
        <v>0</v>
      </c>
      <c r="F33" s="850"/>
      <c r="G33" s="851"/>
    </row>
    <row r="34" spans="1:7" x14ac:dyDescent="0.2">
      <c r="A34" s="291"/>
      <c r="B34" s="106" t="s">
        <v>772</v>
      </c>
      <c r="C34" s="176">
        <f>+SUM(BALANCESHEET!C100,BALANCESHEET!C107)</f>
        <v>0</v>
      </c>
      <c r="D34" s="109">
        <v>0.5</v>
      </c>
      <c r="E34" s="176">
        <f>+C34*D34</f>
        <v>0</v>
      </c>
      <c r="F34" s="850"/>
      <c r="G34" s="851"/>
    </row>
    <row r="35" spans="1:7" x14ac:dyDescent="0.2">
      <c r="A35" s="291"/>
      <c r="B35" s="106" t="s">
        <v>773</v>
      </c>
      <c r="C35" s="176">
        <f>+SUM(BALANCESHEET!C101,BALANCESHEET!C108)</f>
        <v>0</v>
      </c>
      <c r="D35" s="109">
        <v>1</v>
      </c>
      <c r="E35" s="176">
        <f>+C35*D35</f>
        <v>0</v>
      </c>
      <c r="F35" s="850"/>
      <c r="G35" s="851"/>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52">
        <f>+BALANCESHEET!C84</f>
        <v>0</v>
      </c>
      <c r="G37" s="853">
        <f>+F37-E37</f>
        <v>0</v>
      </c>
    </row>
    <row r="38" spans="1:7" x14ac:dyDescent="0.2">
      <c r="A38" s="206">
        <v>13</v>
      </c>
      <c r="B38" s="108" t="s">
        <v>788</v>
      </c>
      <c r="C38" s="289">
        <f>+BALANCE!D176/1000</f>
        <v>0</v>
      </c>
      <c r="D38" s="297">
        <v>0</v>
      </c>
      <c r="E38" s="176">
        <f>+C38*D38</f>
        <v>0</v>
      </c>
      <c r="F38" s="852"/>
      <c r="G38" s="853"/>
    </row>
    <row r="39" spans="1:7" x14ac:dyDescent="0.2">
      <c r="A39" s="264">
        <v>14</v>
      </c>
      <c r="B39" s="106" t="s">
        <v>1182</v>
      </c>
      <c r="C39" s="176">
        <f>+BALANCE!D177/1000</f>
        <v>0</v>
      </c>
      <c r="D39" s="109">
        <v>0.05</v>
      </c>
      <c r="E39" s="176">
        <f>+C39*D39</f>
        <v>0</v>
      </c>
      <c r="F39" s="852"/>
      <c r="G39" s="853"/>
    </row>
    <row r="40" spans="1:7" x14ac:dyDescent="0.2">
      <c r="A40" s="283">
        <v>15</v>
      </c>
      <c r="B40" s="290" t="s">
        <v>789</v>
      </c>
      <c r="C40" s="273">
        <f>+SUM(C41:C43)</f>
        <v>0</v>
      </c>
      <c r="D40" s="285"/>
      <c r="E40" s="273">
        <f>+SUM(E41:E43)</f>
        <v>0</v>
      </c>
      <c r="F40" s="852"/>
      <c r="G40" s="853"/>
    </row>
    <row r="41" spans="1:7" x14ac:dyDescent="0.2">
      <c r="A41" s="264"/>
      <c r="B41" s="106" t="s">
        <v>771</v>
      </c>
      <c r="C41" s="176">
        <f>+BALANCE!D179/1000</f>
        <v>0</v>
      </c>
      <c r="D41" s="109">
        <v>0.25</v>
      </c>
      <c r="E41" s="176">
        <f>+C41*D41</f>
        <v>0</v>
      </c>
      <c r="F41" s="852"/>
      <c r="G41" s="853"/>
    </row>
    <row r="42" spans="1:7" x14ac:dyDescent="0.2">
      <c r="A42" s="264"/>
      <c r="B42" s="106" t="s">
        <v>772</v>
      </c>
      <c r="C42" s="176">
        <f>+BALANCE!D180/1000</f>
        <v>0</v>
      </c>
      <c r="D42" s="109">
        <v>0.5</v>
      </c>
      <c r="E42" s="176">
        <f>+C42*D42</f>
        <v>0</v>
      </c>
      <c r="F42" s="852"/>
      <c r="G42" s="853"/>
    </row>
    <row r="43" spans="1:7" x14ac:dyDescent="0.2">
      <c r="A43" s="264"/>
      <c r="B43" s="106" t="s">
        <v>773</v>
      </c>
      <c r="C43" s="176">
        <f>+BALANCE!D181/1000</f>
        <v>0</v>
      </c>
      <c r="D43" s="109">
        <v>1</v>
      </c>
      <c r="E43" s="176">
        <f>+C43*D43</f>
        <v>0</v>
      </c>
      <c r="F43" s="852"/>
      <c r="G43" s="853"/>
    </row>
    <row r="44" spans="1:7" ht="25.5" x14ac:dyDescent="0.2">
      <c r="A44" s="266" t="s">
        <v>790</v>
      </c>
      <c r="B44" s="286" t="s">
        <v>791</v>
      </c>
      <c r="C44" s="298">
        <f>+SUM(BALANCE!D332,BALANCE!D333)/1000</f>
        <v>0</v>
      </c>
      <c r="D44" s="299">
        <v>0</v>
      </c>
      <c r="E44" s="298">
        <f>+C44*D44</f>
        <v>0</v>
      </c>
      <c r="F44" s="300"/>
      <c r="G44" s="295"/>
    </row>
    <row r="45" spans="1:7" ht="15.75" customHeight="1" x14ac:dyDescent="0.2">
      <c r="A45" s="848" t="s">
        <v>792</v>
      </c>
      <c r="B45" s="848"/>
      <c r="C45" s="301">
        <f>+C44+C37+C36+C29+C22+C15+C8</f>
        <v>0</v>
      </c>
      <c r="D45" s="302"/>
      <c r="E45" s="301">
        <f>+E8+E15+E22+E29+E36+E37+E44</f>
        <v>0</v>
      </c>
      <c r="F45" s="303">
        <f>+F8+F15+F22+F29+F36+F37+F44</f>
        <v>0</v>
      </c>
      <c r="G45" s="304">
        <f>+G8+G15+G22+G29+G36+G37+G44</f>
        <v>0</v>
      </c>
    </row>
    <row r="47" spans="1:7" x14ac:dyDescent="0.2">
      <c r="A47" s="849" t="s">
        <v>39</v>
      </c>
      <c r="B47" s="849"/>
      <c r="C47" s="3"/>
      <c r="D47" s="137"/>
      <c r="E47" s="137"/>
      <c r="F47" s="13"/>
      <c r="G47" s="14"/>
    </row>
    <row r="48" spans="1:7" x14ac:dyDescent="0.2">
      <c r="B48" s="15"/>
      <c r="C48" s="16"/>
      <c r="D48" s="137"/>
      <c r="E48" s="137"/>
      <c r="F48" s="13"/>
      <c r="G48" s="14"/>
    </row>
    <row r="49" spans="2:7" x14ac:dyDescent="0.2">
      <c r="B49" s="695" t="s">
        <v>441</v>
      </c>
      <c r="C49" s="695"/>
      <c r="D49" s="17"/>
      <c r="F49" s="13"/>
      <c r="G49" s="14"/>
    </row>
    <row r="50" spans="2:7" x14ac:dyDescent="0.2">
      <c r="B50" s="15"/>
      <c r="C50" s="16"/>
      <c r="D50" s="137"/>
      <c r="E50" s="137"/>
      <c r="F50" s="13"/>
      <c r="G50" s="14"/>
    </row>
    <row r="51" spans="2:7" ht="15" customHeight="1" x14ac:dyDescent="0.2">
      <c r="B51" s="829" t="str">
        <f>+BALANCE!D361</f>
        <v>ГҮЙЦЭТГЭХ ЗАХИРАЛ.................................................................//</v>
      </c>
      <c r="C51" s="829"/>
      <c r="D51" s="829"/>
      <c r="E51" s="829"/>
      <c r="F51" s="829"/>
      <c r="G51" s="829"/>
    </row>
    <row r="52" spans="2:7" x14ac:dyDescent="0.2">
      <c r="B52" s="15"/>
      <c r="C52" s="54"/>
      <c r="D52" s="436"/>
      <c r="E52" s="450"/>
      <c r="F52" s="450"/>
      <c r="G52" s="450"/>
    </row>
    <row r="53" spans="2:7" ht="15" customHeight="1" x14ac:dyDescent="0.2">
      <c r="B53" s="829" t="str">
        <f>+BALANCE!D363</f>
        <v>ЕРӨНХИЙ НЯГТЛАН БОДОГЧ....................................................//</v>
      </c>
      <c r="C53" s="829"/>
      <c r="D53" s="829"/>
      <c r="E53" s="829"/>
      <c r="F53" s="829"/>
      <c r="G53" s="829"/>
    </row>
    <row r="54" spans="2:7" x14ac:dyDescent="0.2">
      <c r="B54" s="15"/>
      <c r="C54" s="54"/>
      <c r="D54" s="436"/>
      <c r="E54" s="450"/>
      <c r="F54" s="450"/>
      <c r="G54" s="450"/>
    </row>
    <row r="55" spans="2:7" ht="15" customHeight="1" x14ac:dyDescent="0.2">
      <c r="B55" s="829">
        <f>+BALANCE!D365</f>
        <v>0</v>
      </c>
      <c r="C55" s="829"/>
      <c r="D55" s="829"/>
      <c r="E55" s="829"/>
      <c r="F55" s="829"/>
      <c r="G55" s="829"/>
    </row>
  </sheetData>
  <sheetProtection password="CA9F" sheet="1"/>
  <mergeCells count="22">
    <mergeCell ref="F29:F35"/>
    <mergeCell ref="G29:G35"/>
    <mergeCell ref="F37:F43"/>
    <mergeCell ref="G37:G43"/>
    <mergeCell ref="G8:G14"/>
    <mergeCell ref="F15:F21"/>
    <mergeCell ref="G15:G21"/>
    <mergeCell ref="F22:F28"/>
    <mergeCell ref="G22:G28"/>
    <mergeCell ref="F8:F14"/>
    <mergeCell ref="B55:G55"/>
    <mergeCell ref="B53:G53"/>
    <mergeCell ref="B51:G51"/>
    <mergeCell ref="A45:B45"/>
    <mergeCell ref="A47:B47"/>
    <mergeCell ref="B49:C49"/>
    <mergeCell ref="A2:G2"/>
    <mergeCell ref="A3:G3"/>
    <mergeCell ref="A4:G4"/>
    <mergeCell ref="A5:B5"/>
    <mergeCell ref="A6:E6"/>
    <mergeCell ref="F6:G6"/>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B Tungalag</cp:lastModifiedBy>
  <cp:lastPrinted>2021-03-31T10:10:12Z</cp:lastPrinted>
  <dcterms:created xsi:type="dcterms:W3CDTF">2019-09-09T06:29:41Z</dcterms:created>
  <dcterms:modified xsi:type="dcterms:W3CDTF">2021-04-01T04:43:18Z</dcterms:modified>
</cp:coreProperties>
</file>